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Questa_cartella_di_lavoro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workbookProtection workbookAlgorithmName="SHA-512" workbookHashValue="TfJC+88fca+HINe/pxSkxF/FX6i67fcUsHDQACG8jzFBJ1T9ifHKZAwe6zNi6SFRxjruCg2Avoyv/oS3VYCcYg==" workbookSaltValue="feLLGl9V8gsjZzRj2ClQIg==" workbookSpinCount="100000" lockStructure="1"/>
  <bookViews>
    <workbookView xWindow="0" yWindow="0" windowWidth="28800" windowHeight="12330" tabRatio="759" firstSheet="1" activeTab="1"/>
  </bookViews>
  <sheets>
    <sheet name="calcoli" sheetId="5" state="hidden" r:id="rId1"/>
    <sheet name="SIMULATORE" sheetId="1" r:id="rId2"/>
    <sheet name="Condizioni comm.li" sheetId="9" state="hidden" r:id="rId3"/>
    <sheet name="prodotti" sheetId="3" state="hidden" r:id="rId4"/>
    <sheet name="wkg tabelle" sheetId="21" state="hidden" r:id="rId5"/>
    <sheet name="Piano amm.to" sheetId="17" r:id="rId6"/>
    <sheet name="Vademecum CPI Metlife" sheetId="15" state="hidden" r:id="rId7"/>
    <sheet name="assicurazioni" sheetId="4" state="hidden" r:id="rId8"/>
    <sheet name="sviluppo p. amm.to" sheetId="10" state="hidden" r:id="rId9"/>
  </sheets>
  <definedNames>
    <definedName name="_xlnm._FilterDatabase" localSheetId="2" hidden="1">'Condizioni comm.li'!$B$5:$B$28</definedName>
    <definedName name="_xlnm._FilterDatabase" localSheetId="1" hidden="1">SIMULATORE!$B$6:$F$7</definedName>
    <definedName name="_xlnm._FilterDatabase" localSheetId="4" hidden="1">'wkg tabelle'!$A$2:$G$9</definedName>
    <definedName name="ALTRE_SPESE_MEDICHE">'wkg tabelle'!$U$12:$U$19</definedName>
    <definedName name="ALTRI_BENI_AZIENDE">'wkg tabelle'!$J$12:$J$19</definedName>
    <definedName name="ALTRI_BENI_E_SERVIZI">'wkg tabelle'!$E$3</definedName>
    <definedName name="ALTRI_VEICOLI_NON_TARGATI">'wkg tabelle'!$X$12:$X$19</definedName>
    <definedName name="ALTRO_ARREDAMENTO">'wkg tabelle'!$D$12:$D$18</definedName>
    <definedName name="_xlnm.Print_Area" localSheetId="1">SIMULATORE!$A$2:$I$32</definedName>
    <definedName name="ARREDAMENTO">'wkg tabelle'!$B$3:$B$6</definedName>
    <definedName name="ARREDAMENTO_SENIOR">'wkg tabelle'!$E$12:$E$18</definedName>
    <definedName name="BIKES">'wkg tabelle'!$K$12:$K$19</definedName>
    <definedName name="CASA">'wkg tabelle'!$C$3:$C$8</definedName>
    <definedName name="CASA_GRANDI_INTERVENTI">'wkg tabelle'!$H$12:$H$19</definedName>
    <definedName name="CASA_PICCOLI_INTERVENTI">'wkg tabelle'!$F$12:$F$19</definedName>
    <definedName name="CASA_PICCOLI_INTERVENTI_SENIOR">'wkg tabelle'!$G$12:$G$19</definedName>
    <definedName name="CHIRURGIA_ESTETICA">'wkg tabelle'!$S$12:$S$19</definedName>
    <definedName name="CHIRURGIA_OCULARE">'wkg tabelle'!$T$12:$T$19</definedName>
    <definedName name="CLASSE">'Condizioni comm.li'!$H$5:$H$10</definedName>
    <definedName name="_xlnm.Criteria" localSheetId="2">'Condizioni comm.li'!$K$14:$L$15</definedName>
    <definedName name="_xlnm.Criteria" localSheetId="4">'wkg tabelle'!$I$24:$J$26</definedName>
    <definedName name="CUCINE">'wkg tabelle'!$B$12:$B$18</definedName>
    <definedName name="CURE_MEDICHE">'wkg tabelle'!$F$3:$F$9</definedName>
    <definedName name="CURE_ODONTOIATRICHE">'wkg tabelle'!$Q$12:$Q$19</definedName>
    <definedName name="CURE_ODONTOIATRICHE_SENIOR">'wkg tabelle'!$R$12:$R$19</definedName>
    <definedName name="_xlnm.Extract" localSheetId="2">'Condizioni comm.li'!$S$2</definedName>
    <definedName name="_xlnm.Extract" localSheetId="4">'wkg tabelle'!$I$28:$V$28</definedName>
    <definedName name="FITNESS_E_PALESTRE">'wkg tabelle'!$M$12:$M$19</definedName>
    <definedName name="FOTOVOLTAICO_AZIENDE">'wkg tabelle'!$I$12:$I$19</definedName>
    <definedName name="GOMMONI_E_NATANTI">'wkg tabelle'!$Y$12:$Y$19</definedName>
    <definedName name="IMBOTTITO">'wkg tabelle'!$C$12:$C$18</definedName>
    <definedName name="IMPIANTI_UDITIVI">'wkg tabelle'!$V$12:$V$19</definedName>
    <definedName name="IMPIANTI_UDITIVI_SENIOR">'wkg tabelle'!$W$12:$W$19</definedName>
    <definedName name="ISTRUZIONE_FORMAZIONE">'wkg tabelle'!$P$12:$P$19</definedName>
    <definedName name="MAXIRATA_BIKES">'wkg tabelle'!$L$12:$L$19</definedName>
    <definedName name="MOTORI_MARINI">'wkg tabelle'!$Z$12:$Z$19</definedName>
    <definedName name="NAUTICA">'wkg tabelle'!$X$12:$X$19</definedName>
    <definedName name="PRODOTTO">'wkg tabelle'!$A$12:$A$35</definedName>
    <definedName name="TEMPO_LIBERO">'wkg tabelle'!$D$3:$D$8</definedName>
    <definedName name="TOTALE_PROVVIGIONI">'Condizioni comm.li'!$N$237</definedName>
    <definedName name="TRATTAMENTI_ESTETICI">'wkg tabelle'!$N$12:$N$19</definedName>
    <definedName name="VIAGGI_E_VACANZE">'wkg tabelle'!$O$12:$O$19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1" l="1"/>
  <c r="Y19" i="21"/>
  <c r="Y18" i="21"/>
  <c r="Y17" i="21"/>
  <c r="Y16" i="21"/>
  <c r="Y15" i="21"/>
  <c r="Y14" i="21"/>
  <c r="Y13" i="21"/>
  <c r="Y12" i="21"/>
  <c r="G28" i="9" l="1"/>
  <c r="G29" i="9"/>
  <c r="C230" i="9"/>
  <c r="E230" i="9" s="1"/>
  <c r="C231" i="9"/>
  <c r="E231" i="9" s="1"/>
  <c r="C232" i="9"/>
  <c r="E232" i="9" s="1"/>
  <c r="C214" i="9"/>
  <c r="E214" i="9" s="1"/>
  <c r="C215" i="9"/>
  <c r="E215" i="9" s="1"/>
  <c r="C216" i="9"/>
  <c r="X19" i="21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17" i="9"/>
  <c r="E217" i="9" s="1"/>
  <c r="C218" i="9"/>
  <c r="E218" i="9" s="1"/>
  <c r="C219" i="9"/>
  <c r="E219" i="9" s="1"/>
  <c r="C220" i="9"/>
  <c r="E220" i="9" s="1"/>
  <c r="C221" i="9"/>
  <c r="E221" i="9" s="1"/>
  <c r="C222" i="9"/>
  <c r="E222" i="9" s="1"/>
  <c r="C223" i="9"/>
  <c r="E223" i="9" s="1"/>
  <c r="G10" i="9"/>
  <c r="C213" i="9"/>
  <c r="E213" i="9" s="1"/>
  <c r="C212" i="9"/>
  <c r="E212" i="9" s="1"/>
  <c r="C211" i="9"/>
  <c r="X14" i="21" s="1"/>
  <c r="C210" i="9"/>
  <c r="E210" i="9" s="1"/>
  <c r="C209" i="9"/>
  <c r="E209" i="9" s="1"/>
  <c r="G27" i="9"/>
  <c r="G21" i="9"/>
  <c r="G22" i="9"/>
  <c r="G23" i="9"/>
  <c r="G24" i="9"/>
  <c r="G25" i="9"/>
  <c r="G26" i="9"/>
  <c r="G20" i="9"/>
  <c r="G19" i="9"/>
  <c r="G18" i="9"/>
  <c r="G17" i="9"/>
  <c r="G16" i="9"/>
  <c r="G15" i="9"/>
  <c r="G14" i="9"/>
  <c r="G11" i="9"/>
  <c r="G12" i="9"/>
  <c r="G13" i="9"/>
  <c r="G9" i="9"/>
  <c r="G6" i="9"/>
  <c r="G7" i="9"/>
  <c r="G8" i="9"/>
  <c r="G5" i="9"/>
  <c r="A5" i="9" s="1"/>
  <c r="R6" i="9"/>
  <c r="R7" i="9"/>
  <c r="R8" i="9"/>
  <c r="R5" i="9"/>
  <c r="M5" i="9" s="1"/>
  <c r="X16" i="21" l="1"/>
  <c r="X15" i="21"/>
  <c r="E211" i="9"/>
  <c r="E216" i="9"/>
  <c r="X12" i="21"/>
  <c r="X13" i="21"/>
  <c r="X18" i="21"/>
  <c r="X17" i="21"/>
  <c r="M6" i="9"/>
  <c r="M7" i="9" s="1"/>
  <c r="A6" i="9"/>
  <c r="D7" i="3"/>
  <c r="A7" i="9" l="1"/>
  <c r="A8" i="9" s="1"/>
  <c r="A9" i="9" s="1"/>
  <c r="A10" i="9" s="1"/>
  <c r="M8" i="9"/>
  <c r="C192" i="9"/>
  <c r="U19" i="21" s="1"/>
  <c r="C191" i="9"/>
  <c r="U18" i="21" s="1"/>
  <c r="C190" i="9"/>
  <c r="U17" i="21" s="1"/>
  <c r="C189" i="9"/>
  <c r="U16" i="21" s="1"/>
  <c r="C188" i="9"/>
  <c r="E188" i="9" s="1"/>
  <c r="C187" i="9"/>
  <c r="E187" i="9" s="1"/>
  <c r="C186" i="9"/>
  <c r="E186" i="9" s="1"/>
  <c r="C185" i="9"/>
  <c r="E185" i="9" s="1"/>
  <c r="C184" i="9"/>
  <c r="E184" i="9" s="1"/>
  <c r="C183" i="9"/>
  <c r="T18" i="21" s="1"/>
  <c r="C182" i="9"/>
  <c r="T17" i="21" s="1"/>
  <c r="C181" i="9"/>
  <c r="T16" i="21" s="1"/>
  <c r="C180" i="9"/>
  <c r="T15" i="21" s="1"/>
  <c r="C179" i="9"/>
  <c r="T14" i="21" s="1"/>
  <c r="C178" i="9"/>
  <c r="E178" i="9" s="1"/>
  <c r="C177" i="9"/>
  <c r="E177" i="9" s="1"/>
  <c r="C176" i="9"/>
  <c r="S19" i="21" s="1"/>
  <c r="C175" i="9"/>
  <c r="S18" i="21" s="1"/>
  <c r="C174" i="9"/>
  <c r="S17" i="21" s="1"/>
  <c r="C173" i="9"/>
  <c r="E173" i="9" s="1"/>
  <c r="C172" i="9"/>
  <c r="S15" i="21" s="1"/>
  <c r="C171" i="9"/>
  <c r="S14" i="21" s="1"/>
  <c r="C170" i="9"/>
  <c r="S13" i="21" s="1"/>
  <c r="C169" i="9"/>
  <c r="S12" i="21" s="1"/>
  <c r="C168" i="9"/>
  <c r="R19" i="21" s="1"/>
  <c r="C167" i="9"/>
  <c r="R18" i="21" s="1"/>
  <c r="C166" i="9"/>
  <c r="E166" i="9" s="1"/>
  <c r="C165" i="9"/>
  <c r="E165" i="9" s="1"/>
  <c r="C164" i="9"/>
  <c r="R15" i="21" s="1"/>
  <c r="C163" i="9"/>
  <c r="R14" i="21" s="1"/>
  <c r="C162" i="9"/>
  <c r="E162" i="9" s="1"/>
  <c r="C161" i="9"/>
  <c r="R12" i="21" s="1"/>
  <c r="C160" i="9"/>
  <c r="Q19" i="21" s="1"/>
  <c r="C159" i="9"/>
  <c r="Q18" i="21" s="1"/>
  <c r="C158" i="9"/>
  <c r="Q17" i="21" s="1"/>
  <c r="C157" i="9"/>
  <c r="E157" i="9" s="1"/>
  <c r="C156" i="9"/>
  <c r="Q15" i="21" s="1"/>
  <c r="C155" i="9"/>
  <c r="Q14" i="21" s="1"/>
  <c r="C154" i="9"/>
  <c r="E154" i="9" s="1"/>
  <c r="C153" i="9"/>
  <c r="Q12" i="21" s="1"/>
  <c r="E23" i="9"/>
  <c r="E20" i="9"/>
  <c r="E21" i="9"/>
  <c r="E22" i="9"/>
  <c r="E24" i="9"/>
  <c r="E18" i="9"/>
  <c r="C144" i="9"/>
  <c r="O19" i="21" s="1"/>
  <c r="C143" i="9"/>
  <c r="O18" i="21" s="1"/>
  <c r="C142" i="9"/>
  <c r="O17" i="21" s="1"/>
  <c r="C141" i="9"/>
  <c r="O16" i="21" s="1"/>
  <c r="C140" i="9"/>
  <c r="O15" i="21" s="1"/>
  <c r="C139" i="9"/>
  <c r="O14" i="21" s="1"/>
  <c r="C138" i="9"/>
  <c r="O13" i="21" s="1"/>
  <c r="C137" i="9"/>
  <c r="E137" i="9" s="1"/>
  <c r="C136" i="9"/>
  <c r="N19" i="21" s="1"/>
  <c r="C135" i="9"/>
  <c r="N18" i="21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M15" i="21" s="1"/>
  <c r="C123" i="9"/>
  <c r="M14" i="21" s="1"/>
  <c r="C122" i="9"/>
  <c r="E122" i="9" s="1"/>
  <c r="C121" i="9"/>
  <c r="M12" i="21" s="1"/>
  <c r="E16" i="9"/>
  <c r="E17" i="9"/>
  <c r="E26" i="9"/>
  <c r="E25" i="9"/>
  <c r="E19" i="9"/>
  <c r="E15" i="9"/>
  <c r="E14" i="9"/>
  <c r="E13" i="9"/>
  <c r="E12" i="9"/>
  <c r="E11" i="9"/>
  <c r="E10" i="9"/>
  <c r="E9" i="9"/>
  <c r="E8" i="9"/>
  <c r="E7" i="9"/>
  <c r="E6" i="9"/>
  <c r="E5" i="9"/>
  <c r="W8" i="5" l="1"/>
  <c r="U8" i="5" s="1"/>
  <c r="W6" i="5"/>
  <c r="U6" i="5" s="1"/>
  <c r="A11" i="9"/>
  <c r="U14" i="21"/>
  <c r="S16" i="21"/>
  <c r="U12" i="21"/>
  <c r="R13" i="21"/>
  <c r="T19" i="21"/>
  <c r="U15" i="21"/>
  <c r="U13" i="21"/>
  <c r="E174" i="9"/>
  <c r="E172" i="9"/>
  <c r="E159" i="9"/>
  <c r="E158" i="9"/>
  <c r="E191" i="9"/>
  <c r="E189" i="9"/>
  <c r="E176" i="9"/>
  <c r="R16" i="21"/>
  <c r="E190" i="9"/>
  <c r="E160" i="9"/>
  <c r="W9" i="5"/>
  <c r="U9" i="5" s="1"/>
  <c r="W7" i="5"/>
  <c r="U7" i="5" s="1"/>
  <c r="E161" i="9"/>
  <c r="Q13" i="21"/>
  <c r="E175" i="9"/>
  <c r="T12" i="21"/>
  <c r="T13" i="21"/>
  <c r="E164" i="9"/>
  <c r="E183" i="9"/>
  <c r="E163" i="9"/>
  <c r="E182" i="9"/>
  <c r="E192" i="9"/>
  <c r="E171" i="9"/>
  <c r="E170" i="9"/>
  <c r="E181" i="9"/>
  <c r="R17" i="21"/>
  <c r="E167" i="9"/>
  <c r="E153" i="9"/>
  <c r="E180" i="9"/>
  <c r="E155" i="9"/>
  <c r="Q16" i="21"/>
  <c r="E179" i="9"/>
  <c r="E169" i="9"/>
  <c r="E168" i="9"/>
  <c r="E156" i="9"/>
  <c r="E123" i="9"/>
  <c r="E124" i="9"/>
  <c r="M13" i="21"/>
  <c r="E141" i="9"/>
  <c r="M19" i="21"/>
  <c r="E135" i="9"/>
  <c r="E139" i="9"/>
  <c r="E140" i="9"/>
  <c r="E136" i="9"/>
  <c r="E143" i="9"/>
  <c r="N16" i="21"/>
  <c r="M18" i="21"/>
  <c r="N17" i="21"/>
  <c r="M17" i="21"/>
  <c r="E121" i="9"/>
  <c r="E138" i="9"/>
  <c r="M16" i="21"/>
  <c r="O12" i="21"/>
  <c r="E142" i="9"/>
  <c r="N13" i="21"/>
  <c r="E144" i="9"/>
  <c r="N14" i="21"/>
  <c r="N12" i="21"/>
  <c r="N15" i="21"/>
  <c r="B8" i="21"/>
  <c r="B7" i="21"/>
  <c r="A12" i="9" l="1"/>
  <c r="C208" i="9"/>
  <c r="E208" i="9" s="1"/>
  <c r="C207" i="9"/>
  <c r="E207" i="9" s="1"/>
  <c r="C206" i="9"/>
  <c r="E206" i="9" s="1"/>
  <c r="C205" i="9"/>
  <c r="E205" i="9" s="1"/>
  <c r="C204" i="9"/>
  <c r="E204" i="9" s="1"/>
  <c r="C203" i="9"/>
  <c r="E203" i="9" s="1"/>
  <c r="C202" i="9"/>
  <c r="E202" i="9" s="1"/>
  <c r="C201" i="9"/>
  <c r="E201" i="9" s="1"/>
  <c r="C193" i="9"/>
  <c r="E193" i="9" s="1"/>
  <c r="C200" i="9"/>
  <c r="E200" i="9" s="1"/>
  <c r="C199" i="9"/>
  <c r="E199" i="9" s="1"/>
  <c r="C198" i="9"/>
  <c r="E198" i="9" s="1"/>
  <c r="C197" i="9"/>
  <c r="E197" i="9" s="1"/>
  <c r="C196" i="9"/>
  <c r="E196" i="9" s="1"/>
  <c r="C195" i="9"/>
  <c r="E195" i="9" s="1"/>
  <c r="C194" i="9"/>
  <c r="E194" i="9" s="1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B63" i="21" s="1"/>
  <c r="V16" i="21"/>
  <c r="V17" i="21"/>
  <c r="V19" i="21"/>
  <c r="W15" i="21"/>
  <c r="V12" i="21"/>
  <c r="W16" i="21"/>
  <c r="W13" i="21"/>
  <c r="W14" i="21"/>
  <c r="V13" i="21"/>
  <c r="W17" i="21"/>
  <c r="W12" i="21"/>
  <c r="V14" i="21"/>
  <c r="W18" i="21"/>
  <c r="V15" i="21"/>
  <c r="W19" i="21"/>
  <c r="V18" i="21"/>
  <c r="C17" i="5"/>
  <c r="B56" i="21" l="1"/>
  <c r="A31" i="21" s="1"/>
  <c r="B58" i="21"/>
  <c r="A33" i="21" s="1"/>
  <c r="B46" i="21"/>
  <c r="A21" i="21" s="1"/>
  <c r="B44" i="21"/>
  <c r="A19" i="21" s="1"/>
  <c r="B48" i="21"/>
  <c r="A23" i="21" s="1"/>
  <c r="B39" i="21"/>
  <c r="A14" i="21" s="1"/>
  <c r="B51" i="21"/>
  <c r="A26" i="21" s="1"/>
  <c r="B49" i="21"/>
  <c r="A24" i="21" s="1"/>
  <c r="B60" i="21"/>
  <c r="A35" i="21" s="1"/>
  <c r="B50" i="21"/>
  <c r="A25" i="21" s="1"/>
  <c r="B43" i="21"/>
  <c r="A18" i="21" s="1"/>
  <c r="B38" i="21"/>
  <c r="A13" i="21" s="1"/>
  <c r="B37" i="21"/>
  <c r="A12" i="21" s="1"/>
  <c r="B47" i="21"/>
  <c r="A22" i="21" s="1"/>
  <c r="B52" i="21"/>
  <c r="A27" i="21" s="1"/>
  <c r="B61" i="21"/>
  <c r="B59" i="21"/>
  <c r="A34" i="21" s="1"/>
  <c r="B55" i="21"/>
  <c r="A30" i="21" s="1"/>
  <c r="B62" i="21"/>
  <c r="B54" i="21"/>
  <c r="A29" i="21" s="1"/>
  <c r="B57" i="21"/>
  <c r="A32" i="21" s="1"/>
  <c r="B53" i="21"/>
  <c r="A28" i="21" s="1"/>
  <c r="B42" i="21"/>
  <c r="A17" i="21" s="1"/>
  <c r="B45" i="21"/>
  <c r="A20" i="21" s="1"/>
  <c r="B41" i="21"/>
  <c r="A16" i="21" s="1"/>
  <c r="B40" i="21"/>
  <c r="A15" i="21" s="1"/>
  <c r="C7" i="5"/>
  <c r="C152" i="9"/>
  <c r="C151" i="9"/>
  <c r="C150" i="9"/>
  <c r="C149" i="9"/>
  <c r="P16" i="21" s="1"/>
  <c r="C148" i="9"/>
  <c r="P15" i="21" s="1"/>
  <c r="C147" i="9"/>
  <c r="P14" i="21" s="1"/>
  <c r="C146" i="9"/>
  <c r="P13" i="21" s="1"/>
  <c r="C145" i="9"/>
  <c r="P12" i="21" s="1"/>
  <c r="C120" i="9"/>
  <c r="E120" i="9" s="1"/>
  <c r="C119" i="9"/>
  <c r="C118" i="9"/>
  <c r="C117" i="9"/>
  <c r="L16" i="21" s="1"/>
  <c r="C116" i="9"/>
  <c r="L15" i="21" s="1"/>
  <c r="C115" i="9"/>
  <c r="C114" i="9"/>
  <c r="L13" i="21" s="1"/>
  <c r="C113" i="9"/>
  <c r="L12" i="21" s="1"/>
  <c r="C112" i="9"/>
  <c r="K19" i="21" s="1"/>
  <c r="C111" i="9"/>
  <c r="K18" i="21" s="1"/>
  <c r="C110" i="9"/>
  <c r="K17" i="21" s="1"/>
  <c r="C109" i="9"/>
  <c r="K16" i="21" s="1"/>
  <c r="C108" i="9"/>
  <c r="C107" i="9"/>
  <c r="C106" i="9"/>
  <c r="C105" i="9"/>
  <c r="C104" i="9"/>
  <c r="J19" i="21" s="1"/>
  <c r="C103" i="9"/>
  <c r="C102" i="9"/>
  <c r="J17" i="21" s="1"/>
  <c r="C101" i="9"/>
  <c r="J16" i="21" s="1"/>
  <c r="C100" i="9"/>
  <c r="C99" i="9"/>
  <c r="C98" i="9"/>
  <c r="C97" i="9"/>
  <c r="C96" i="9"/>
  <c r="C95" i="9"/>
  <c r="C94" i="9"/>
  <c r="I17" i="21" s="1"/>
  <c r="C93" i="9"/>
  <c r="C92" i="9"/>
  <c r="I15" i="21" s="1"/>
  <c r="C91" i="9"/>
  <c r="C90" i="9"/>
  <c r="C89" i="9"/>
  <c r="E89" i="9" s="1"/>
  <c r="C88" i="9"/>
  <c r="H19" i="21" s="1"/>
  <c r="C87" i="9"/>
  <c r="C86" i="9"/>
  <c r="C85" i="9"/>
  <c r="C84" i="9"/>
  <c r="C83" i="9"/>
  <c r="C82" i="9"/>
  <c r="C81" i="9"/>
  <c r="C80" i="9"/>
  <c r="G19" i="21" s="1"/>
  <c r="C79" i="9"/>
  <c r="G18" i="21" s="1"/>
  <c r="C78" i="9"/>
  <c r="G17" i="21" s="1"/>
  <c r="C77" i="9"/>
  <c r="G16" i="21" s="1"/>
  <c r="C76" i="9"/>
  <c r="C75" i="9"/>
  <c r="C74" i="9"/>
  <c r="C73" i="9"/>
  <c r="C72" i="9"/>
  <c r="F19" i="21" s="1"/>
  <c r="C71" i="9"/>
  <c r="F18" i="21" s="1"/>
  <c r="C70" i="9"/>
  <c r="C69" i="9"/>
  <c r="C68" i="9"/>
  <c r="C67" i="9"/>
  <c r="C66" i="9"/>
  <c r="F13" i="21" s="1"/>
  <c r="C65" i="9"/>
  <c r="C64" i="9"/>
  <c r="E19" i="21" s="1"/>
  <c r="C63" i="9"/>
  <c r="E18" i="21" s="1"/>
  <c r="C62" i="9"/>
  <c r="E17" i="21" s="1"/>
  <c r="C61" i="9"/>
  <c r="E16" i="21" s="1"/>
  <c r="C60" i="9"/>
  <c r="C59" i="9"/>
  <c r="C58" i="9"/>
  <c r="C56" i="9"/>
  <c r="E56" i="9" s="1"/>
  <c r="C55" i="9"/>
  <c r="E55" i="9" s="1"/>
  <c r="C54" i="9"/>
  <c r="E54" i="9" s="1"/>
  <c r="C53" i="9"/>
  <c r="E53" i="9" s="1"/>
  <c r="C52" i="9"/>
  <c r="E52" i="9" s="1"/>
  <c r="C51" i="9"/>
  <c r="D14" i="21" s="1"/>
  <c r="C50" i="9"/>
  <c r="E50" i="9" s="1"/>
  <c r="C49" i="9"/>
  <c r="E49" i="9" s="1"/>
  <c r="C48" i="9"/>
  <c r="C47" i="9"/>
  <c r="C18" i="21" s="1"/>
  <c r="C46" i="9"/>
  <c r="C17" i="21" s="1"/>
  <c r="C45" i="9"/>
  <c r="C16" i="21" s="1"/>
  <c r="C44" i="9"/>
  <c r="C15" i="21" s="1"/>
  <c r="C43" i="9"/>
  <c r="C14" i="21" s="1"/>
  <c r="C42" i="9"/>
  <c r="C13" i="21" s="1"/>
  <c r="C41" i="9"/>
  <c r="C40" i="9"/>
  <c r="B19" i="21" s="1"/>
  <c r="C39" i="9"/>
  <c r="B18" i="21" s="1"/>
  <c r="C38" i="9"/>
  <c r="B17" i="21" s="1"/>
  <c r="C37" i="9"/>
  <c r="B16" i="21" s="1"/>
  <c r="C36" i="9"/>
  <c r="B15" i="21" s="1"/>
  <c r="C35" i="9"/>
  <c r="B14" i="21" s="1"/>
  <c r="C34" i="9"/>
  <c r="B13" i="21" s="1"/>
  <c r="C57" i="9"/>
  <c r="C33" i="9"/>
  <c r="D8" i="5" l="1"/>
  <c r="D7" i="5"/>
  <c r="C12" i="5"/>
  <c r="D16" i="21"/>
  <c r="E150" i="9"/>
  <c r="P17" i="21"/>
  <c r="E151" i="9"/>
  <c r="P18" i="21"/>
  <c r="E152" i="9"/>
  <c r="P19" i="21"/>
  <c r="E64" i="9"/>
  <c r="E92" i="9"/>
  <c r="E94" i="9"/>
  <c r="E74" i="9"/>
  <c r="G13" i="21"/>
  <c r="E86" i="9"/>
  <c r="H17" i="21"/>
  <c r="E90" i="9"/>
  <c r="I13" i="21"/>
  <c r="E59" i="9"/>
  <c r="E14" i="21"/>
  <c r="E75" i="9"/>
  <c r="G14" i="21"/>
  <c r="E87" i="9"/>
  <c r="H18" i="21"/>
  <c r="E91" i="9"/>
  <c r="I14" i="21"/>
  <c r="E103" i="9"/>
  <c r="J18" i="21"/>
  <c r="E115" i="9"/>
  <c r="L14" i="21"/>
  <c r="E76" i="9"/>
  <c r="G15" i="21"/>
  <c r="E65" i="9"/>
  <c r="F12" i="21"/>
  <c r="E105" i="9"/>
  <c r="K12" i="21"/>
  <c r="E83" i="9"/>
  <c r="H14" i="21"/>
  <c r="E60" i="9"/>
  <c r="E15" i="21"/>
  <c r="E73" i="9"/>
  <c r="G12" i="21"/>
  <c r="E93" i="9"/>
  <c r="I16" i="21"/>
  <c r="E41" i="9"/>
  <c r="C12" i="21"/>
  <c r="E48" i="9"/>
  <c r="C19" i="21"/>
  <c r="E85" i="9"/>
  <c r="H16" i="21"/>
  <c r="E106" i="9"/>
  <c r="K13" i="21"/>
  <c r="L17" i="21"/>
  <c r="E67" i="9"/>
  <c r="F14" i="21"/>
  <c r="E95" i="9"/>
  <c r="I18" i="21"/>
  <c r="E107" i="9"/>
  <c r="K14" i="21"/>
  <c r="L18" i="21"/>
  <c r="E66" i="9"/>
  <c r="E68" i="9"/>
  <c r="F15" i="21"/>
  <c r="E96" i="9"/>
  <c r="I19" i="21"/>
  <c r="E108" i="9"/>
  <c r="K15" i="21"/>
  <c r="L19" i="21"/>
  <c r="E97" i="9"/>
  <c r="J12" i="21"/>
  <c r="E69" i="9"/>
  <c r="F16" i="21"/>
  <c r="E81" i="9"/>
  <c r="H12" i="21"/>
  <c r="E57" i="9"/>
  <c r="E12" i="21"/>
  <c r="E58" i="9"/>
  <c r="E13" i="21"/>
  <c r="E70" i="9"/>
  <c r="F17" i="21"/>
  <c r="E82" i="9"/>
  <c r="H13" i="21"/>
  <c r="E98" i="9"/>
  <c r="J13" i="21"/>
  <c r="E119" i="9"/>
  <c r="E99" i="9"/>
  <c r="J14" i="21"/>
  <c r="E84" i="9"/>
  <c r="H15" i="21"/>
  <c r="E100" i="9"/>
  <c r="J15" i="21"/>
  <c r="E71" i="9"/>
  <c r="E145" i="9"/>
  <c r="E102" i="9"/>
  <c r="E146" i="9"/>
  <c r="E104" i="9"/>
  <c r="E147" i="9"/>
  <c r="E78" i="9"/>
  <c r="E148" i="9"/>
  <c r="E111" i="9"/>
  <c r="E149" i="9"/>
  <c r="E114" i="9"/>
  <c r="E88" i="9"/>
  <c r="E42" i="9"/>
  <c r="E116" i="9"/>
  <c r="E117" i="9"/>
  <c r="E62" i="9"/>
  <c r="E118" i="9"/>
  <c r="E43" i="9"/>
  <c r="E79" i="9"/>
  <c r="E44" i="9"/>
  <c r="E80" i="9"/>
  <c r="E45" i="9"/>
  <c r="E109" i="9"/>
  <c r="D15" i="21"/>
  <c r="E46" i="9"/>
  <c r="E110" i="9"/>
  <c r="E47" i="9"/>
  <c r="E72" i="9"/>
  <c r="E112" i="9"/>
  <c r="E61" i="9"/>
  <c r="E101" i="9"/>
  <c r="E51" i="9"/>
  <c r="E63" i="9"/>
  <c r="E77" i="9"/>
  <c r="E40" i="9"/>
  <c r="E113" i="9"/>
  <c r="C33" i="5"/>
  <c r="AI6" i="4"/>
  <c r="K11" i="9" l="1"/>
  <c r="C31" i="5" l="1"/>
  <c r="G26" i="1"/>
  <c r="G27" i="1"/>
  <c r="I12" i="21"/>
  <c r="D17" i="21"/>
  <c r="D13" i="21"/>
  <c r="D12" i="21"/>
  <c r="B12" i="21"/>
  <c r="H29" i="1"/>
  <c r="D18" i="21" l="1"/>
  <c r="D19" i="21"/>
  <c r="C69" i="5" l="1"/>
  <c r="C13" i="5" l="1"/>
  <c r="E39" i="9" l="1"/>
  <c r="E38" i="9"/>
  <c r="E37" i="9"/>
  <c r="E36" i="9"/>
  <c r="E35" i="9"/>
  <c r="E34" i="9"/>
  <c r="E33" i="9"/>
  <c r="C9" i="5"/>
  <c r="D13" i="5" l="1"/>
  <c r="C11" i="5"/>
  <c r="H28" i="1" l="1"/>
  <c r="I28" i="1"/>
  <c r="B6" i="10" l="1"/>
  <c r="B7" i="10" l="1"/>
  <c r="B8" i="10" l="1"/>
  <c r="B9" i="10" l="1"/>
  <c r="B10" i="10" l="1"/>
  <c r="C16" i="5"/>
  <c r="B11" i="10" l="1"/>
  <c r="A87" i="17" l="1"/>
  <c r="A99" i="17"/>
  <c r="A111" i="17"/>
  <c r="A123" i="17"/>
  <c r="A135" i="17"/>
  <c r="A147" i="17"/>
  <c r="A13" i="17"/>
  <c r="A25" i="17"/>
  <c r="A37" i="17"/>
  <c r="A49" i="17"/>
  <c r="A62" i="17"/>
  <c r="A74" i="17"/>
  <c r="A102" i="17"/>
  <c r="A138" i="17"/>
  <c r="A150" i="17"/>
  <c r="A40" i="17"/>
  <c r="A53" i="17"/>
  <c r="A152" i="17"/>
  <c r="A54" i="17"/>
  <c r="A46" i="17"/>
  <c r="A88" i="17"/>
  <c r="A100" i="17"/>
  <c r="A112" i="17"/>
  <c r="A124" i="17"/>
  <c r="A136" i="17"/>
  <c r="A148" i="17"/>
  <c r="A14" i="17"/>
  <c r="A26" i="17"/>
  <c r="A38" i="17"/>
  <c r="A50" i="17"/>
  <c r="A63" i="17"/>
  <c r="A75" i="17"/>
  <c r="A89" i="17"/>
  <c r="A101" i="17"/>
  <c r="A113" i="17"/>
  <c r="A125" i="17"/>
  <c r="A137" i="17"/>
  <c r="A149" i="17"/>
  <c r="A15" i="17"/>
  <c r="A27" i="17"/>
  <c r="A39" i="17"/>
  <c r="A51" i="17"/>
  <c r="A64" i="17"/>
  <c r="A76" i="17"/>
  <c r="A114" i="17"/>
  <c r="A28" i="17"/>
  <c r="A77" i="17"/>
  <c r="A116" i="17"/>
  <c r="A71" i="17"/>
  <c r="A90" i="17"/>
  <c r="A126" i="17"/>
  <c r="A16" i="17"/>
  <c r="A52" i="17"/>
  <c r="A104" i="17"/>
  <c r="A67" i="17"/>
  <c r="A22" i="17"/>
  <c r="A91" i="17"/>
  <c r="A103" i="17"/>
  <c r="A115" i="17"/>
  <c r="A127" i="17"/>
  <c r="A139" i="17"/>
  <c r="A151" i="17"/>
  <c r="A17" i="17"/>
  <c r="A41" i="17"/>
  <c r="A30" i="17"/>
  <c r="A144" i="17"/>
  <c r="A92" i="17"/>
  <c r="A18" i="17"/>
  <c r="A132" i="17"/>
  <c r="A93" i="17"/>
  <c r="A105" i="17"/>
  <c r="A117" i="17"/>
  <c r="A129" i="17"/>
  <c r="A141" i="17"/>
  <c r="A153" i="17"/>
  <c r="A19" i="17"/>
  <c r="A31" i="17"/>
  <c r="A43" i="17"/>
  <c r="A56" i="17"/>
  <c r="A68" i="17"/>
  <c r="A80" i="17"/>
  <c r="A81" i="17"/>
  <c r="A95" i="17"/>
  <c r="A119" i="17"/>
  <c r="A143" i="17"/>
  <c r="A21" i="17"/>
  <c r="A70" i="17"/>
  <c r="A84" i="17"/>
  <c r="A108" i="17"/>
  <c r="A34" i="17"/>
  <c r="A94" i="17"/>
  <c r="A106" i="17"/>
  <c r="A118" i="17"/>
  <c r="A130" i="17"/>
  <c r="A142" i="17"/>
  <c r="A8" i="17"/>
  <c r="A20" i="17"/>
  <c r="A32" i="17"/>
  <c r="A44" i="17"/>
  <c r="A57" i="17"/>
  <c r="A69" i="17"/>
  <c r="A107" i="17"/>
  <c r="A131" i="17"/>
  <c r="A9" i="17"/>
  <c r="A33" i="17"/>
  <c r="A45" i="17"/>
  <c r="A58" i="17"/>
  <c r="A96" i="17"/>
  <c r="A59" i="17"/>
  <c r="A85" i="17"/>
  <c r="A97" i="17"/>
  <c r="A109" i="17"/>
  <c r="A121" i="17"/>
  <c r="A133" i="17"/>
  <c r="A145" i="17"/>
  <c r="A11" i="17"/>
  <c r="A23" i="17"/>
  <c r="A35" i="17"/>
  <c r="A47" i="17"/>
  <c r="A60" i="17"/>
  <c r="A72" i="17"/>
  <c r="A7" i="17"/>
  <c r="A55" i="17" s="1"/>
  <c r="A110" i="17"/>
  <c r="A134" i="17"/>
  <c r="A146" i="17"/>
  <c r="A24" i="17"/>
  <c r="A48" i="17"/>
  <c r="A73" i="17"/>
  <c r="A29" i="17"/>
  <c r="A66" i="17"/>
  <c r="A140" i="17"/>
  <c r="A42" i="17"/>
  <c r="A82" i="17"/>
  <c r="A10" i="17"/>
  <c r="A86" i="17"/>
  <c r="A98" i="17"/>
  <c r="A122" i="17"/>
  <c r="A12" i="17"/>
  <c r="A36" i="17"/>
  <c r="A61" i="17"/>
  <c r="A65" i="17"/>
  <c r="A78" i="17"/>
  <c r="A128" i="17"/>
  <c r="A79" i="17"/>
  <c r="A120" i="17"/>
  <c r="A83" i="17"/>
  <c r="B12" i="10"/>
  <c r="B13" i="10" l="1"/>
  <c r="C45" i="5"/>
  <c r="B14" i="10" l="1"/>
  <c r="C8" i="5"/>
  <c r="F16" i="1" l="1"/>
  <c r="C34" i="5"/>
  <c r="L237" i="9" s="1"/>
  <c r="B15" i="10"/>
  <c r="B16" i="10" s="1"/>
  <c r="T150" i="10"/>
  <c r="T146" i="10"/>
  <c r="T151" i="10"/>
  <c r="T152" i="10"/>
  <c r="T147" i="10"/>
  <c r="T148" i="10"/>
  <c r="T149" i="10"/>
  <c r="X63" i="10"/>
  <c r="X75" i="10"/>
  <c r="X87" i="10"/>
  <c r="X99" i="10"/>
  <c r="X111" i="10"/>
  <c r="X123" i="10"/>
  <c r="X135" i="10"/>
  <c r="X147" i="10"/>
  <c r="W64" i="10"/>
  <c r="W76" i="10"/>
  <c r="W88" i="10"/>
  <c r="W100" i="10"/>
  <c r="V60" i="10"/>
  <c r="V72" i="10"/>
  <c r="V84" i="10"/>
  <c r="V96" i="10"/>
  <c r="V108" i="10"/>
  <c r="V120" i="10"/>
  <c r="V132" i="10"/>
  <c r="V144" i="10"/>
  <c r="X112" i="10"/>
  <c r="X148" i="10"/>
  <c r="W65" i="10"/>
  <c r="W101" i="10"/>
  <c r="V61" i="10"/>
  <c r="V85" i="10"/>
  <c r="V121" i="10"/>
  <c r="X116" i="10"/>
  <c r="V89" i="10"/>
  <c r="X117" i="10"/>
  <c r="W94" i="10"/>
  <c r="X64" i="10"/>
  <c r="X76" i="10"/>
  <c r="X100" i="10"/>
  <c r="X136" i="10"/>
  <c r="W89" i="10"/>
  <c r="V97" i="10"/>
  <c r="V133" i="10"/>
  <c r="V74" i="10"/>
  <c r="V110" i="10"/>
  <c r="V146" i="10"/>
  <c r="V147" i="10"/>
  <c r="X67" i="10"/>
  <c r="X115" i="10"/>
  <c r="W56" i="10"/>
  <c r="W92" i="10"/>
  <c r="V64" i="10"/>
  <c r="V124" i="10"/>
  <c r="X128" i="10"/>
  <c r="W69" i="10"/>
  <c r="V77" i="10"/>
  <c r="V149" i="10"/>
  <c r="X81" i="10"/>
  <c r="X65" i="10"/>
  <c r="X77" i="10"/>
  <c r="X89" i="10"/>
  <c r="X101" i="10"/>
  <c r="X113" i="10"/>
  <c r="X125" i="10"/>
  <c r="X137" i="10"/>
  <c r="X149" i="10"/>
  <c r="W54" i="10"/>
  <c r="W66" i="10"/>
  <c r="W78" i="10"/>
  <c r="V86" i="10"/>
  <c r="V122" i="10"/>
  <c r="X79" i="10"/>
  <c r="X127" i="10"/>
  <c r="W80" i="10"/>
  <c r="V88" i="10"/>
  <c r="V136" i="10"/>
  <c r="X80" i="10"/>
  <c r="X140" i="10"/>
  <c r="W93" i="10"/>
  <c r="V101" i="10"/>
  <c r="X93" i="10"/>
  <c r="W70" i="10"/>
  <c r="X54" i="10"/>
  <c r="X66" i="10"/>
  <c r="X78" i="10"/>
  <c r="X90" i="10"/>
  <c r="X102" i="10"/>
  <c r="X114" i="10"/>
  <c r="X126" i="10"/>
  <c r="X138" i="10"/>
  <c r="X150" i="10"/>
  <c r="W55" i="10"/>
  <c r="W67" i="10"/>
  <c r="W79" i="10"/>
  <c r="W91" i="10"/>
  <c r="V63" i="10"/>
  <c r="V75" i="10"/>
  <c r="V87" i="10"/>
  <c r="V99" i="10"/>
  <c r="V111" i="10"/>
  <c r="V123" i="10"/>
  <c r="X91" i="10"/>
  <c r="X151" i="10"/>
  <c r="V76" i="10"/>
  <c r="V112" i="10"/>
  <c r="X68" i="10"/>
  <c r="X104" i="10"/>
  <c r="V125" i="10"/>
  <c r="X105" i="10"/>
  <c r="X141" i="10"/>
  <c r="W82" i="10"/>
  <c r="X60" i="10"/>
  <c r="X72" i="10"/>
  <c r="X84" i="10"/>
  <c r="X96" i="10"/>
  <c r="X108" i="10"/>
  <c r="X120" i="10"/>
  <c r="X132" i="10"/>
  <c r="X144" i="10"/>
  <c r="W61" i="10"/>
  <c r="W73" i="10"/>
  <c r="W85" i="10"/>
  <c r="W97" i="10"/>
  <c r="V57" i="10"/>
  <c r="V69" i="10"/>
  <c r="V81" i="10"/>
  <c r="V93" i="10"/>
  <c r="V105" i="10"/>
  <c r="V117" i="10"/>
  <c r="V129" i="10"/>
  <c r="V141" i="10"/>
  <c r="X61" i="10"/>
  <c r="X73" i="10"/>
  <c r="X85" i="10"/>
  <c r="X97" i="10"/>
  <c r="X109" i="10"/>
  <c r="X121" i="10"/>
  <c r="X133" i="10"/>
  <c r="X145" i="10"/>
  <c r="W62" i="10"/>
  <c r="W74" i="10"/>
  <c r="W86" i="10"/>
  <c r="W98" i="10"/>
  <c r="V58" i="10"/>
  <c r="V70" i="10"/>
  <c r="V82" i="10"/>
  <c r="V94" i="10"/>
  <c r="V106" i="10"/>
  <c r="V118" i="10"/>
  <c r="V130" i="10"/>
  <c r="V142" i="10"/>
  <c r="W57" i="10"/>
  <c r="V113" i="10"/>
  <c r="X57" i="10"/>
  <c r="X129" i="10"/>
  <c r="W58" i="10"/>
  <c r="X62" i="10"/>
  <c r="X74" i="10"/>
  <c r="X86" i="10"/>
  <c r="X98" i="10"/>
  <c r="X110" i="10"/>
  <c r="X122" i="10"/>
  <c r="X134" i="10"/>
  <c r="X146" i="10"/>
  <c r="W63" i="10"/>
  <c r="W75" i="10"/>
  <c r="W87" i="10"/>
  <c r="W99" i="10"/>
  <c r="V59" i="10"/>
  <c r="V71" i="10"/>
  <c r="V83" i="10"/>
  <c r="V95" i="10"/>
  <c r="V107" i="10"/>
  <c r="V119" i="10"/>
  <c r="V131" i="10"/>
  <c r="V143" i="10"/>
  <c r="X88" i="10"/>
  <c r="X124" i="10"/>
  <c r="W77" i="10"/>
  <c r="V73" i="10"/>
  <c r="V109" i="10"/>
  <c r="V145" i="10"/>
  <c r="W90" i="10"/>
  <c r="V62" i="10"/>
  <c r="V98" i="10"/>
  <c r="V134" i="10"/>
  <c r="V135" i="10"/>
  <c r="X55" i="10"/>
  <c r="X103" i="10"/>
  <c r="X139" i="10"/>
  <c r="W68" i="10"/>
  <c r="V100" i="10"/>
  <c r="V148" i="10"/>
  <c r="X56" i="10"/>
  <c r="X92" i="10"/>
  <c r="X152" i="10"/>
  <c r="W81" i="10"/>
  <c r="V65" i="10"/>
  <c r="V137" i="10"/>
  <c r="X69" i="10"/>
  <c r="V66" i="10"/>
  <c r="X59" i="10"/>
  <c r="X71" i="10"/>
  <c r="X143" i="10"/>
  <c r="W96" i="10"/>
  <c r="V126" i="10"/>
  <c r="X83" i="10"/>
  <c r="W83" i="10"/>
  <c r="W84" i="10"/>
  <c r="V115" i="10"/>
  <c r="X70" i="10"/>
  <c r="W95" i="10"/>
  <c r="V116" i="10"/>
  <c r="V78" i="10"/>
  <c r="X82" i="10"/>
  <c r="V79" i="10"/>
  <c r="V80" i="10"/>
  <c r="X94" i="10"/>
  <c r="V90" i="10"/>
  <c r="V138" i="10"/>
  <c r="X95" i="10"/>
  <c r="V91" i="10"/>
  <c r="V139" i="10"/>
  <c r="X106" i="10"/>
  <c r="W59" i="10"/>
  <c r="V92" i="10"/>
  <c r="V140" i="10"/>
  <c r="X107" i="10"/>
  <c r="W60" i="10"/>
  <c r="V54" i="10"/>
  <c r="V102" i="10"/>
  <c r="V150" i="10"/>
  <c r="X118" i="10"/>
  <c r="W71" i="10"/>
  <c r="V55" i="10"/>
  <c r="V103" i="10"/>
  <c r="V151" i="10"/>
  <c r="X119" i="10"/>
  <c r="W72" i="10"/>
  <c r="V56" i="10"/>
  <c r="V104" i="10"/>
  <c r="V152" i="10"/>
  <c r="X58" i="10"/>
  <c r="X130" i="10"/>
  <c r="V114" i="10"/>
  <c r="X131" i="10"/>
  <c r="V67" i="10"/>
  <c r="X142" i="10"/>
  <c r="V68" i="10"/>
  <c r="V127" i="10"/>
  <c r="V128" i="10"/>
  <c r="B17" i="10" l="1"/>
  <c r="B18" i="10" l="1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4" i="4"/>
  <c r="C47" i="5"/>
  <c r="C14" i="5"/>
  <c r="C5" i="5"/>
  <c r="C4" i="5"/>
  <c r="C15" i="5" l="1"/>
  <c r="F21" i="1" s="1"/>
  <c r="C46" i="5"/>
  <c r="W5" i="10" s="1"/>
  <c r="B19" i="10"/>
  <c r="F2" i="10"/>
  <c r="C6" i="5"/>
  <c r="C13" i="1" s="1"/>
  <c r="X5" i="10" l="1"/>
  <c r="V5" i="10"/>
  <c r="D27" i="1"/>
  <c r="C55" i="5"/>
  <c r="B20" i="10"/>
  <c r="C17" i="1"/>
  <c r="B21" i="10" l="1"/>
  <c r="T134" i="10" l="1"/>
  <c r="T137" i="10"/>
  <c r="T145" i="10"/>
  <c r="T141" i="10"/>
  <c r="T142" i="10"/>
  <c r="T140" i="10"/>
  <c r="T144" i="10"/>
  <c r="T138" i="10"/>
  <c r="T131" i="10"/>
  <c r="T132" i="10"/>
  <c r="T143" i="10"/>
  <c r="T133" i="10"/>
  <c r="T136" i="10"/>
  <c r="T139" i="10"/>
  <c r="T135" i="10"/>
  <c r="B22" i="10"/>
  <c r="B23" i="10" l="1"/>
  <c r="B24" i="10" l="1"/>
  <c r="B25" i="10" l="1"/>
  <c r="B26" i="10" l="1"/>
  <c r="B27" i="10" l="1"/>
  <c r="B28" i="10" l="1"/>
  <c r="B29" i="10" l="1"/>
  <c r="B30" i="10" l="1"/>
  <c r="B31" i="10" l="1"/>
  <c r="B32" i="10" l="1"/>
  <c r="B33" i="10" l="1"/>
  <c r="B34" i="10" l="1"/>
  <c r="B35" i="10" l="1"/>
  <c r="B36" i="10" l="1"/>
  <c r="B37" i="10" l="1"/>
  <c r="B38" i="10" l="1"/>
  <c r="B39" i="10" l="1"/>
  <c r="B40" i="10" l="1"/>
  <c r="B41" i="10" l="1"/>
  <c r="B42" i="10" l="1"/>
  <c r="B43" i="10" l="1"/>
  <c r="B44" i="10" l="1"/>
  <c r="B45" i="10" l="1"/>
  <c r="B46" i="10" l="1"/>
  <c r="B47" i="10" l="1"/>
  <c r="B48" i="10" l="1"/>
  <c r="B49" i="10" l="1"/>
  <c r="B50" i="10" l="1"/>
  <c r="B51" i="10" l="1"/>
  <c r="B52" i="10" l="1"/>
  <c r="B53" i="10" l="1"/>
  <c r="B54" i="10" l="1"/>
  <c r="B55" i="10" l="1"/>
  <c r="B56" i="10" l="1"/>
  <c r="B57" i="10" l="1"/>
  <c r="B58" i="10" l="1"/>
  <c r="B59" i="10" l="1"/>
  <c r="B60" i="10" l="1"/>
  <c r="B61" i="10" l="1"/>
  <c r="B62" i="10" l="1"/>
  <c r="B63" i="10" l="1"/>
  <c r="B64" i="10" l="1"/>
  <c r="B65" i="10" l="1"/>
  <c r="B66" i="10" l="1"/>
  <c r="B67" i="10" l="1"/>
  <c r="B68" i="10" l="1"/>
  <c r="B69" i="10" l="1"/>
  <c r="B70" i="10" l="1"/>
  <c r="B71" i="10" l="1"/>
  <c r="B72" i="10" l="1"/>
  <c r="B73" i="10" l="1"/>
  <c r="B74" i="10" l="1"/>
  <c r="B75" i="10" l="1"/>
  <c r="B76" i="10" l="1"/>
  <c r="B77" i="10" l="1"/>
  <c r="B78" i="10" l="1"/>
  <c r="B79" i="10" l="1"/>
  <c r="B80" i="10" l="1"/>
  <c r="B81" i="10" l="1"/>
  <c r="B82" i="10" l="1"/>
  <c r="B83" i="10" l="1"/>
  <c r="B84" i="10" l="1"/>
  <c r="B85" i="10" l="1"/>
  <c r="B86" i="10" l="1"/>
  <c r="B87" i="10" l="1"/>
  <c r="B88" i="10" l="1"/>
  <c r="B89" i="10" l="1"/>
  <c r="B90" i="10" l="1"/>
  <c r="B91" i="10" l="1"/>
  <c r="B92" i="10" l="1"/>
  <c r="B93" i="10" l="1"/>
  <c r="B94" i="10" l="1"/>
  <c r="B95" i="10" l="1"/>
  <c r="B96" i="10" l="1"/>
  <c r="B97" i="10" l="1"/>
  <c r="B98" i="10" l="1"/>
  <c r="B99" i="10" l="1"/>
  <c r="B100" i="10" l="1"/>
  <c r="B101" i="10" l="1"/>
  <c r="B102" i="10" l="1"/>
  <c r="W102" i="10" l="1"/>
  <c r="B103" i="10"/>
  <c r="W103" i="10" l="1"/>
  <c r="B104" i="10"/>
  <c r="W104" i="10" l="1"/>
  <c r="B105" i="10"/>
  <c r="W105" i="10" l="1"/>
  <c r="B106" i="10"/>
  <c r="W106" i="10" l="1"/>
  <c r="B107" i="10"/>
  <c r="W107" i="10" l="1"/>
  <c r="B108" i="10"/>
  <c r="W108" i="10" l="1"/>
  <c r="B109" i="10"/>
  <c r="W109" i="10" l="1"/>
  <c r="B110" i="10"/>
  <c r="W110" i="10" l="1"/>
  <c r="B111" i="10"/>
  <c r="W111" i="10" l="1"/>
  <c r="B112" i="10"/>
  <c r="W112" i="10" l="1"/>
  <c r="B113" i="10"/>
  <c r="W113" i="10" l="1"/>
  <c r="B114" i="10"/>
  <c r="W114" i="10" l="1"/>
  <c r="B115" i="10"/>
  <c r="W115" i="10" l="1"/>
  <c r="B116" i="10"/>
  <c r="W116" i="10" l="1"/>
  <c r="B117" i="10"/>
  <c r="W117" i="10" l="1"/>
  <c r="B118" i="10"/>
  <c r="W118" i="10" l="1"/>
  <c r="B119" i="10"/>
  <c r="W119" i="10" l="1"/>
  <c r="B120" i="10"/>
  <c r="W120" i="10" l="1"/>
  <c r="B121" i="10"/>
  <c r="W121" i="10" l="1"/>
  <c r="B122" i="10"/>
  <c r="W122" i="10" l="1"/>
  <c r="B123" i="10"/>
  <c r="W123" i="10" l="1"/>
  <c r="B124" i="10"/>
  <c r="W124" i="10" l="1"/>
  <c r="B125" i="10"/>
  <c r="W125" i="10" l="1"/>
  <c r="B126" i="10"/>
  <c r="W126" i="10" l="1"/>
  <c r="B127" i="10"/>
  <c r="W127" i="10" l="1"/>
  <c r="B128" i="10"/>
  <c r="W128" i="10" l="1"/>
  <c r="B129" i="10"/>
  <c r="W129" i="10" l="1"/>
  <c r="B130" i="10"/>
  <c r="W130" i="10" l="1"/>
  <c r="B131" i="10"/>
  <c r="W131" i="10" l="1"/>
  <c r="B132" i="10"/>
  <c r="W132" i="10" l="1"/>
  <c r="B133" i="10"/>
  <c r="K132" i="10"/>
  <c r="W133" i="10" l="1"/>
  <c r="B134" i="10"/>
  <c r="K133" i="10"/>
  <c r="W134" i="10" l="1"/>
  <c r="B135" i="10"/>
  <c r="K134" i="10"/>
  <c r="W135" i="10" l="1"/>
  <c r="B136" i="10"/>
  <c r="K135" i="10"/>
  <c r="W136" i="10" l="1"/>
  <c r="K136" i="10"/>
  <c r="B137" i="10"/>
  <c r="W137" i="10" l="1"/>
  <c r="B138" i="10"/>
  <c r="K137" i="10"/>
  <c r="W138" i="10" l="1"/>
  <c r="B139" i="10"/>
  <c r="K138" i="10"/>
  <c r="W139" i="10" l="1"/>
  <c r="B140" i="10"/>
  <c r="K139" i="10"/>
  <c r="W140" i="10" l="1"/>
  <c r="B141" i="10"/>
  <c r="K140" i="10"/>
  <c r="W141" i="10" l="1"/>
  <c r="B142" i="10"/>
  <c r="K141" i="10"/>
  <c r="W142" i="10" l="1"/>
  <c r="B143" i="10"/>
  <c r="K142" i="10"/>
  <c r="W143" i="10" l="1"/>
  <c r="B144" i="10"/>
  <c r="K143" i="10"/>
  <c r="W144" i="10" l="1"/>
  <c r="K144" i="10"/>
  <c r="B145" i="10"/>
  <c r="W145" i="10" l="1"/>
  <c r="B146" i="10"/>
  <c r="K145" i="10"/>
  <c r="W146" i="10" l="1"/>
  <c r="H146" i="10"/>
  <c r="B147" i="10"/>
  <c r="K146" i="10"/>
  <c r="W147" i="10" l="1"/>
  <c r="H147" i="10"/>
  <c r="B148" i="10"/>
  <c r="K147" i="10"/>
  <c r="W148" i="10" l="1"/>
  <c r="H148" i="10"/>
  <c r="B149" i="10"/>
  <c r="K148" i="10"/>
  <c r="W149" i="10" l="1"/>
  <c r="H149" i="10"/>
  <c r="B150" i="10"/>
  <c r="K149" i="10"/>
  <c r="W150" i="10" l="1"/>
  <c r="H150" i="10"/>
  <c r="B151" i="10"/>
  <c r="K150" i="10"/>
  <c r="W151" i="10" l="1"/>
  <c r="H151" i="10"/>
  <c r="B152" i="10"/>
  <c r="K151" i="10"/>
  <c r="W152" i="10" l="1"/>
  <c r="H152" i="10"/>
  <c r="K152" i="10"/>
  <c r="C146" i="10" l="1"/>
  <c r="C147" i="10"/>
  <c r="C148" i="10"/>
  <c r="C149" i="10"/>
  <c r="C150" i="10"/>
  <c r="C151" i="10"/>
  <c r="C152" i="10"/>
  <c r="P150" i="10" l="1"/>
  <c r="P149" i="10"/>
  <c r="P151" i="10"/>
  <c r="P146" i="10"/>
  <c r="P152" i="10"/>
  <c r="P147" i="10"/>
  <c r="P148" i="10"/>
  <c r="D146" i="10"/>
  <c r="B147" i="17" s="1"/>
  <c r="D147" i="10"/>
  <c r="D148" i="10"/>
  <c r="B149" i="17" s="1"/>
  <c r="D149" i="10"/>
  <c r="B150" i="17" s="1"/>
  <c r="D150" i="10"/>
  <c r="B151" i="17" s="1"/>
  <c r="D151" i="10"/>
  <c r="B152" i="17" s="1"/>
  <c r="D152" i="10"/>
  <c r="B153" i="17" s="1"/>
  <c r="M152" i="10"/>
  <c r="L152" i="10"/>
  <c r="L151" i="10"/>
  <c r="M151" i="10"/>
  <c r="M150" i="10"/>
  <c r="L150" i="10"/>
  <c r="L149" i="10"/>
  <c r="M149" i="10"/>
  <c r="M148" i="10"/>
  <c r="L148" i="10"/>
  <c r="L147" i="10"/>
  <c r="M147" i="10"/>
  <c r="L146" i="10"/>
  <c r="M146" i="10"/>
  <c r="B148" i="17" l="1"/>
  <c r="C147" i="17" l="1"/>
  <c r="E147" i="10"/>
  <c r="R147" i="10" s="1"/>
  <c r="E151" i="10"/>
  <c r="R151" i="10" s="1"/>
  <c r="E152" i="10"/>
  <c r="R152" i="10" s="1"/>
  <c r="E150" i="10"/>
  <c r="R150" i="10" s="1"/>
  <c r="E148" i="10"/>
  <c r="R148" i="10" s="1"/>
  <c r="E146" i="10"/>
  <c r="R146" i="10" s="1"/>
  <c r="E149" i="10"/>
  <c r="R149" i="10" s="1"/>
  <c r="Q149" i="10" l="1"/>
  <c r="Q148" i="10"/>
  <c r="Q147" i="10"/>
  <c r="Q150" i="10"/>
  <c r="Q152" i="10"/>
  <c r="Q146" i="10"/>
  <c r="Q151" i="10"/>
  <c r="G146" i="10" l="1"/>
  <c r="F146" i="10" l="1"/>
  <c r="I146" i="10" l="1"/>
  <c r="J146" i="10"/>
  <c r="G147" i="10" l="1"/>
  <c r="F147" i="10" l="1"/>
  <c r="J147" i="10" l="1"/>
  <c r="I147" i="10"/>
  <c r="G148" i="10" l="1"/>
  <c r="F148" i="10" l="1"/>
  <c r="I148" i="10" l="1"/>
  <c r="J148" i="10"/>
  <c r="G149" i="10" l="1"/>
  <c r="F149" i="10" l="1"/>
  <c r="D147" i="17" s="1"/>
  <c r="E147" i="17" l="1"/>
  <c r="J149" i="10"/>
  <c r="F147" i="17" s="1"/>
  <c r="I149" i="10"/>
  <c r="G150" i="10" l="1"/>
  <c r="F150" i="10" l="1"/>
  <c r="D148" i="17" s="1"/>
  <c r="E151" i="17" l="1"/>
  <c r="E148" i="17"/>
  <c r="D151" i="17"/>
  <c r="I150" i="10"/>
  <c r="J150" i="10"/>
  <c r="F148" i="17" s="1"/>
  <c r="F151" i="17" l="1"/>
  <c r="G151" i="10"/>
  <c r="E149" i="17" l="1"/>
  <c r="F151" i="10"/>
  <c r="D149" i="17" s="1"/>
  <c r="D152" i="17" l="1"/>
  <c r="I151" i="10"/>
  <c r="J151" i="10"/>
  <c r="F149" i="17" s="1"/>
  <c r="E152" i="17"/>
  <c r="F152" i="17" l="1"/>
  <c r="G152" i="10"/>
  <c r="F152" i="10" l="1"/>
  <c r="D150" i="17" s="1"/>
  <c r="E153" i="17" l="1"/>
  <c r="E150" i="17"/>
  <c r="D153" i="17"/>
  <c r="I152" i="10"/>
  <c r="J152" i="10"/>
  <c r="F153" i="17" l="1"/>
  <c r="F150" i="17"/>
  <c r="C140" i="10" l="1"/>
  <c r="C132" i="10"/>
  <c r="C138" i="10"/>
  <c r="C141" i="10"/>
  <c r="C143" i="10"/>
  <c r="C142" i="10"/>
  <c r="C145" i="10"/>
  <c r="C135" i="10"/>
  <c r="C136" i="10"/>
  <c r="C137" i="10"/>
  <c r="C144" i="10"/>
  <c r="C133" i="10"/>
  <c r="C134" i="10"/>
  <c r="C139" i="10"/>
  <c r="L142" i="10" l="1"/>
  <c r="M142" i="10"/>
  <c r="P134" i="10"/>
  <c r="D138" i="10"/>
  <c r="B139" i="17" s="1"/>
  <c r="D143" i="10"/>
  <c r="B144" i="17" s="1"/>
  <c r="D145" i="10"/>
  <c r="B146" i="17" s="1"/>
  <c r="D135" i="10"/>
  <c r="B136" i="17" s="1"/>
  <c r="P138" i="10"/>
  <c r="P142" i="10"/>
  <c r="P137" i="10"/>
  <c r="D139" i="10"/>
  <c r="B140" i="17" s="1"/>
  <c r="P131" i="10"/>
  <c r="D140" i="10"/>
  <c r="B141" i="17" s="1"/>
  <c r="D144" i="10"/>
  <c r="B145" i="17" s="1"/>
  <c r="D137" i="10"/>
  <c r="B138" i="17" s="1"/>
  <c r="P143" i="10"/>
  <c r="D141" i="10"/>
  <c r="B142" i="17" s="1"/>
  <c r="P139" i="10"/>
  <c r="P132" i="10"/>
  <c r="D142" i="10"/>
  <c r="B143" i="17" s="1"/>
  <c r="P135" i="10"/>
  <c r="P140" i="10"/>
  <c r="P144" i="10"/>
  <c r="P136" i="10"/>
  <c r="D132" i="10"/>
  <c r="B133" i="17" s="1"/>
  <c r="D136" i="10"/>
  <c r="B137" i="17" s="1"/>
  <c r="P133" i="10"/>
  <c r="D133" i="10"/>
  <c r="B134" i="17" s="1"/>
  <c r="P141" i="10"/>
  <c r="P145" i="10"/>
  <c r="D134" i="10"/>
  <c r="B135" i="17" s="1"/>
  <c r="M143" i="10"/>
  <c r="L143" i="10"/>
  <c r="M136" i="10"/>
  <c r="L136" i="10"/>
  <c r="L145" i="10"/>
  <c r="M145" i="10"/>
  <c r="L139" i="10"/>
  <c r="M139" i="10"/>
  <c r="M141" i="10"/>
  <c r="L141" i="10"/>
  <c r="M134" i="10"/>
  <c r="L134" i="10"/>
  <c r="L135" i="10"/>
  <c r="M135" i="10"/>
  <c r="L133" i="10"/>
  <c r="M133" i="10"/>
  <c r="M138" i="10"/>
  <c r="L138" i="10"/>
  <c r="M144" i="10"/>
  <c r="L144" i="10"/>
  <c r="L132" i="10"/>
  <c r="M132" i="10"/>
  <c r="M137" i="10"/>
  <c r="L137" i="10"/>
  <c r="M140" i="10"/>
  <c r="L140" i="10"/>
  <c r="C137" i="17" l="1"/>
  <c r="C136" i="17"/>
  <c r="C143" i="17"/>
  <c r="C144" i="17"/>
  <c r="C142" i="17"/>
  <c r="C145" i="17"/>
  <c r="C141" i="17"/>
  <c r="C132" i="17"/>
  <c r="C134" i="17"/>
  <c r="C140" i="17"/>
  <c r="C138" i="17"/>
  <c r="C146" i="17"/>
  <c r="C135" i="17"/>
  <c r="C139" i="17"/>
  <c r="C133" i="17"/>
  <c r="E136" i="10"/>
  <c r="E139" i="10"/>
  <c r="E134" i="10"/>
  <c r="E135" i="10"/>
  <c r="E140" i="10"/>
  <c r="E133" i="10"/>
  <c r="E144" i="10"/>
  <c r="E137" i="10"/>
  <c r="E141" i="10"/>
  <c r="E145" i="10"/>
  <c r="E143" i="10"/>
  <c r="E142" i="10"/>
  <c r="E132" i="10"/>
  <c r="E138" i="10"/>
  <c r="Q135" i="10" l="1"/>
  <c r="Q138" i="10"/>
  <c r="Q134" i="10"/>
  <c r="Q132" i="10"/>
  <c r="Q139" i="10"/>
  <c r="Q142" i="10"/>
  <c r="Q136" i="10"/>
  <c r="Q133" i="10"/>
  <c r="Q143" i="10"/>
  <c r="Q145" i="10"/>
  <c r="Q140" i="10"/>
  <c r="Q141" i="10"/>
  <c r="Q137" i="10"/>
  <c r="Q144" i="10"/>
  <c r="E132" i="17" l="1"/>
  <c r="G132" i="10" l="1"/>
  <c r="H132" i="10" l="1"/>
  <c r="F132" i="10"/>
  <c r="J132" i="10" l="1"/>
  <c r="I132" i="10"/>
  <c r="E133" i="17"/>
  <c r="G133" i="10" l="1"/>
  <c r="H133" i="10" l="1"/>
  <c r="F133" i="10"/>
  <c r="I133" i="10" l="1"/>
  <c r="J133" i="10"/>
  <c r="E134" i="17"/>
  <c r="G134" i="10" l="1"/>
  <c r="H134" i="10" l="1"/>
  <c r="E135" i="17" s="1"/>
  <c r="F134" i="10"/>
  <c r="D132" i="17" l="1"/>
  <c r="I134" i="10"/>
  <c r="J134" i="10"/>
  <c r="F132" i="17" l="1"/>
  <c r="G135" i="10"/>
  <c r="H135" i="10" l="1"/>
  <c r="E136" i="17" s="1"/>
  <c r="F135" i="10"/>
  <c r="D133" i="17" l="1"/>
  <c r="J135" i="10"/>
  <c r="I135" i="10"/>
  <c r="F133" i="17" l="1"/>
  <c r="G136" i="10"/>
  <c r="H136" i="10" l="1"/>
  <c r="E137" i="17" s="1"/>
  <c r="F136" i="10"/>
  <c r="D134" i="17" l="1"/>
  <c r="I136" i="10"/>
  <c r="J136" i="10"/>
  <c r="F134" i="17" l="1"/>
  <c r="G137" i="10"/>
  <c r="H137" i="10" l="1"/>
  <c r="E138" i="17" s="1"/>
  <c r="F137" i="10"/>
  <c r="D135" i="17" l="1"/>
  <c r="I137" i="10"/>
  <c r="J137" i="10"/>
  <c r="F135" i="17" l="1"/>
  <c r="G138" i="10"/>
  <c r="H138" i="10" l="1"/>
  <c r="E139" i="17" s="1"/>
  <c r="F138" i="10"/>
  <c r="D136" i="17" l="1"/>
  <c r="I138" i="10"/>
  <c r="J138" i="10"/>
  <c r="F136" i="17" l="1"/>
  <c r="G139" i="10"/>
  <c r="H139" i="10" l="1"/>
  <c r="E140" i="17" s="1"/>
  <c r="F139" i="10"/>
  <c r="D137" i="17" l="1"/>
  <c r="I139" i="10"/>
  <c r="J139" i="10"/>
  <c r="F137" i="17" l="1"/>
  <c r="G140" i="10"/>
  <c r="H140" i="10" l="1"/>
  <c r="E141" i="17" s="1"/>
  <c r="F140" i="10"/>
  <c r="D138" i="17" l="1"/>
  <c r="J140" i="10"/>
  <c r="I140" i="10"/>
  <c r="F138" i="17" l="1"/>
  <c r="G141" i="10"/>
  <c r="H141" i="10" l="1"/>
  <c r="E142" i="17" s="1"/>
  <c r="F141" i="10"/>
  <c r="D139" i="17" l="1"/>
  <c r="I141" i="10"/>
  <c r="J141" i="10"/>
  <c r="F139" i="17" l="1"/>
  <c r="G142" i="10"/>
  <c r="H142" i="10" l="1"/>
  <c r="E143" i="17" s="1"/>
  <c r="F142" i="10"/>
  <c r="D140" i="17" l="1"/>
  <c r="I142" i="10"/>
  <c r="J142" i="10"/>
  <c r="F140" i="17" l="1"/>
  <c r="G143" i="10"/>
  <c r="H143" i="10" l="1"/>
  <c r="E144" i="17" s="1"/>
  <c r="F143" i="10"/>
  <c r="D141" i="17" l="1"/>
  <c r="D144" i="17"/>
  <c r="J143" i="10"/>
  <c r="I143" i="10"/>
  <c r="F141" i="17" l="1"/>
  <c r="G144" i="10"/>
  <c r="F144" i="17"/>
  <c r="H144" i="10" l="1"/>
  <c r="E145" i="17" s="1"/>
  <c r="F144" i="10"/>
  <c r="D142" i="17" l="1"/>
  <c r="D145" i="17"/>
  <c r="I144" i="10"/>
  <c r="J144" i="10"/>
  <c r="F142" i="17" l="1"/>
  <c r="G145" i="10"/>
  <c r="F145" i="17"/>
  <c r="H145" i="10" l="1"/>
  <c r="F145" i="10"/>
  <c r="D143" i="17" l="1"/>
  <c r="D146" i="17"/>
  <c r="I145" i="10"/>
  <c r="J145" i="10"/>
  <c r="E146" i="17"/>
  <c r="F143" i="17" l="1"/>
  <c r="F146" i="17"/>
  <c r="R142" i="10" l="1"/>
  <c r="R136" i="10"/>
  <c r="R141" i="10"/>
  <c r="R134" i="10"/>
  <c r="R145" i="10"/>
  <c r="R139" i="10"/>
  <c r="R135" i="10"/>
  <c r="R133" i="10"/>
  <c r="R132" i="10"/>
  <c r="R137" i="10"/>
  <c r="R140" i="10"/>
  <c r="R138" i="10"/>
  <c r="R144" i="10"/>
  <c r="R143" i="10"/>
  <c r="K129" i="10" l="1"/>
  <c r="K130" i="10"/>
  <c r="K131" i="10"/>
  <c r="T126" i="10"/>
  <c r="T127" i="10"/>
  <c r="T130" i="10"/>
  <c r="T128" i="10"/>
  <c r="T129" i="10"/>
  <c r="C131" i="10" l="1"/>
  <c r="C129" i="10"/>
  <c r="C130" i="10"/>
  <c r="L130" i="10" l="1"/>
  <c r="M130" i="10"/>
  <c r="P129" i="10"/>
  <c r="P130" i="10"/>
  <c r="D130" i="10"/>
  <c r="B131" i="17" s="1"/>
  <c r="P127" i="10"/>
  <c r="D129" i="10"/>
  <c r="B130" i="17" s="1"/>
  <c r="P128" i="10"/>
  <c r="D131" i="10"/>
  <c r="B132" i="17" s="1"/>
  <c r="L129" i="10"/>
  <c r="M129" i="10"/>
  <c r="L131" i="10"/>
  <c r="M131" i="10"/>
  <c r="P126" i="10"/>
  <c r="B129" i="17" l="1"/>
  <c r="B128" i="17"/>
  <c r="C129" i="17" l="1"/>
  <c r="C131" i="17"/>
  <c r="C130" i="17"/>
  <c r="C128" i="17"/>
  <c r="E131" i="10"/>
  <c r="E129" i="10"/>
  <c r="E130" i="10"/>
  <c r="C127" i="17"/>
  <c r="Q130" i="10" l="1"/>
  <c r="Q129" i="10"/>
  <c r="Q131" i="10"/>
  <c r="D127" i="17" l="1"/>
  <c r="E127" i="17"/>
  <c r="F127" i="17" l="1"/>
  <c r="D128" i="17" l="1"/>
  <c r="E128" i="17"/>
  <c r="G129" i="10" l="1"/>
  <c r="F128" i="17"/>
  <c r="H129" i="10" l="1"/>
  <c r="F129" i="10"/>
  <c r="D129" i="17" l="1"/>
  <c r="J129" i="10"/>
  <c r="I129" i="10"/>
  <c r="E129" i="17"/>
  <c r="G130" i="10" l="1"/>
  <c r="F129" i="17"/>
  <c r="H130" i="10" l="1"/>
  <c r="F130" i="10"/>
  <c r="D130" i="17" l="1"/>
  <c r="I130" i="10"/>
  <c r="J130" i="10"/>
  <c r="E130" i="17"/>
  <c r="G131" i="10" l="1"/>
  <c r="F130" i="17"/>
  <c r="H131" i="10" l="1"/>
  <c r="F131" i="10"/>
  <c r="D131" i="17" l="1"/>
  <c r="I131" i="10"/>
  <c r="J131" i="10"/>
  <c r="F131" i="17" s="1"/>
  <c r="E131" i="17"/>
  <c r="R130" i="10" l="1"/>
  <c r="R129" i="10"/>
  <c r="R131" i="10"/>
  <c r="B127" i="17" l="1"/>
  <c r="C32" i="5" l="1"/>
  <c r="C43" i="5" l="1"/>
  <c r="Q5" i="10" s="1"/>
  <c r="K237" i="9"/>
  <c r="C20" i="5"/>
  <c r="C18" i="5" s="1"/>
  <c r="C19" i="5" s="1"/>
  <c r="D24" i="1"/>
  <c r="D9" i="5"/>
  <c r="F10" i="1" l="1"/>
  <c r="C44" i="5"/>
  <c r="R5" i="10" s="1"/>
  <c r="C54" i="5"/>
  <c r="I20" i="1" s="1"/>
  <c r="C42" i="5"/>
  <c r="D13" i="1" s="1"/>
  <c r="E21" i="1"/>
  <c r="J237" i="9"/>
  <c r="C64" i="5"/>
  <c r="D15" i="5"/>
  <c r="D12" i="1" s="1"/>
  <c r="N10" i="10"/>
  <c r="C63" i="5"/>
  <c r="M3" i="10"/>
  <c r="N11" i="10"/>
  <c r="I237" i="9"/>
  <c r="C67" i="5"/>
  <c r="N8" i="10"/>
  <c r="L3" i="10"/>
  <c r="C10" i="5"/>
  <c r="D16" i="5"/>
  <c r="K3" i="10"/>
  <c r="H237" i="9"/>
  <c r="C48" i="5"/>
  <c r="C35" i="5" l="1"/>
  <c r="K128" i="10"/>
  <c r="K127" i="10"/>
  <c r="K126" i="10"/>
  <c r="K95" i="10"/>
  <c r="K125" i="10"/>
  <c r="K96" i="10"/>
  <c r="K84" i="10"/>
  <c r="K99" i="10"/>
  <c r="K107" i="10"/>
  <c r="K104" i="10"/>
  <c r="K114" i="10"/>
  <c r="K108" i="10"/>
  <c r="K124" i="10"/>
  <c r="K82" i="10"/>
  <c r="K111" i="10"/>
  <c r="K98" i="10"/>
  <c r="K91" i="10"/>
  <c r="K115" i="10"/>
  <c r="K97" i="10"/>
  <c r="K110" i="10"/>
  <c r="K88" i="10"/>
  <c r="K85" i="10"/>
  <c r="K90" i="10"/>
  <c r="K89" i="10"/>
  <c r="K123" i="10"/>
  <c r="K81" i="10"/>
  <c r="K87" i="10"/>
  <c r="K119" i="10"/>
  <c r="K83" i="10"/>
  <c r="K113" i="10"/>
  <c r="K121" i="10"/>
  <c r="K122" i="10"/>
  <c r="K79" i="10"/>
  <c r="K116" i="10"/>
  <c r="K101" i="10"/>
  <c r="K94" i="10"/>
  <c r="K92" i="10"/>
  <c r="K86" i="10"/>
  <c r="K109" i="10"/>
  <c r="K105" i="10"/>
  <c r="K93" i="10"/>
  <c r="K102" i="10"/>
  <c r="K120" i="10"/>
  <c r="K106" i="10"/>
  <c r="K112" i="10"/>
  <c r="K117" i="10"/>
  <c r="K118" i="10"/>
  <c r="K103" i="10"/>
  <c r="K100" i="10"/>
  <c r="K80" i="10"/>
  <c r="K78" i="10"/>
  <c r="E17" i="1"/>
  <c r="C50" i="5"/>
  <c r="C57" i="5"/>
  <c r="C36" i="5" s="1"/>
  <c r="C68" i="5"/>
  <c r="K39" i="10"/>
  <c r="K49" i="10"/>
  <c r="K47" i="10"/>
  <c r="K23" i="10"/>
  <c r="K46" i="10"/>
  <c r="K63" i="10"/>
  <c r="K45" i="10"/>
  <c r="K34" i="10"/>
  <c r="K68" i="10"/>
  <c r="K33" i="10"/>
  <c r="K48" i="10"/>
  <c r="K38" i="10"/>
  <c r="K65" i="10"/>
  <c r="K26" i="10"/>
  <c r="K67" i="10"/>
  <c r="K66" i="10"/>
  <c r="K61" i="10"/>
  <c r="K25" i="10"/>
  <c r="K76" i="10"/>
  <c r="K35" i="10"/>
  <c r="K36" i="10"/>
  <c r="K21" i="10"/>
  <c r="K56" i="10"/>
  <c r="K42" i="10"/>
  <c r="K37" i="10"/>
  <c r="K29" i="10"/>
  <c r="K77" i="10"/>
  <c r="K75" i="10"/>
  <c r="K59" i="10"/>
  <c r="K40" i="10"/>
  <c r="K43" i="10"/>
  <c r="K60" i="10"/>
  <c r="K51" i="10"/>
  <c r="K54" i="10"/>
  <c r="K55" i="10"/>
  <c r="K41" i="10"/>
  <c r="K27" i="10"/>
  <c r="K28" i="10"/>
  <c r="K50" i="10"/>
  <c r="K72" i="10"/>
  <c r="K44" i="10"/>
  <c r="K22" i="10"/>
  <c r="K31" i="10"/>
  <c r="K73" i="10"/>
  <c r="K64" i="10"/>
  <c r="K62" i="10"/>
  <c r="K24" i="10"/>
  <c r="K69" i="10"/>
  <c r="K52" i="10"/>
  <c r="K57" i="10"/>
  <c r="K32" i="10"/>
  <c r="K53" i="10"/>
  <c r="K74" i="10"/>
  <c r="K58" i="10"/>
  <c r="K71" i="10"/>
  <c r="K70" i="10"/>
  <c r="K30" i="10"/>
  <c r="K7" i="10"/>
  <c r="K8" i="10"/>
  <c r="K6" i="10"/>
  <c r="E6" i="1"/>
  <c r="K10" i="10"/>
  <c r="K9" i="10"/>
  <c r="K20" i="10"/>
  <c r="K18" i="10"/>
  <c r="K11" i="10"/>
  <c r="K17" i="10"/>
  <c r="K14" i="10"/>
  <c r="K16" i="10"/>
  <c r="K19" i="10"/>
  <c r="K13" i="10"/>
  <c r="K15" i="10"/>
  <c r="K12" i="10"/>
  <c r="J5" i="10"/>
  <c r="P5" i="10"/>
  <c r="T5" i="10"/>
  <c r="I19" i="1"/>
  <c r="C56" i="5"/>
  <c r="F7" i="1"/>
  <c r="F12" i="1"/>
  <c r="P31" i="10" l="1"/>
  <c r="P30" i="10"/>
  <c r="F11" i="1"/>
  <c r="C128" i="10"/>
  <c r="C126" i="10"/>
  <c r="C127" i="10"/>
  <c r="C80" i="10"/>
  <c r="C93" i="10"/>
  <c r="C117" i="10"/>
  <c r="C111" i="10"/>
  <c r="C121" i="10"/>
  <c r="C105" i="10"/>
  <c r="C87" i="10"/>
  <c r="C113" i="10"/>
  <c r="C98" i="10"/>
  <c r="C79" i="10"/>
  <c r="C122" i="10"/>
  <c r="C97" i="10"/>
  <c r="C84" i="10"/>
  <c r="C92" i="10"/>
  <c r="C108" i="10"/>
  <c r="C90" i="10"/>
  <c r="C124" i="10"/>
  <c r="C102" i="10"/>
  <c r="C116" i="10"/>
  <c r="C103" i="10"/>
  <c r="C91" i="10"/>
  <c r="C119" i="10"/>
  <c r="C109" i="10"/>
  <c r="C96" i="10"/>
  <c r="C101" i="10"/>
  <c r="C83" i="10"/>
  <c r="C106" i="10"/>
  <c r="C107" i="10"/>
  <c r="C118" i="10"/>
  <c r="C89" i="10"/>
  <c r="C125" i="10"/>
  <c r="C115" i="10"/>
  <c r="C78" i="10"/>
  <c r="C110" i="10"/>
  <c r="C85" i="10"/>
  <c r="C86" i="10"/>
  <c r="C123" i="10"/>
  <c r="C114" i="10"/>
  <c r="C100" i="10"/>
  <c r="C99" i="10"/>
  <c r="C94" i="10"/>
  <c r="C120" i="10"/>
  <c r="C82" i="10"/>
  <c r="C88" i="10"/>
  <c r="C95" i="10"/>
  <c r="C81" i="10"/>
  <c r="C104" i="10"/>
  <c r="C112" i="10"/>
  <c r="C59" i="5"/>
  <c r="V46" i="10"/>
  <c r="V18" i="10"/>
  <c r="V17" i="10"/>
  <c r="V36" i="10"/>
  <c r="V9" i="10"/>
  <c r="V15" i="10"/>
  <c r="V24" i="10"/>
  <c r="V19" i="10"/>
  <c r="V14" i="10"/>
  <c r="V37" i="10"/>
  <c r="V43" i="10"/>
  <c r="V7" i="10"/>
  <c r="V6" i="10"/>
  <c r="V40" i="10"/>
  <c r="V29" i="10"/>
  <c r="V30" i="10"/>
  <c r="V48" i="10"/>
  <c r="V22" i="10"/>
  <c r="V16" i="10"/>
  <c r="V49" i="10"/>
  <c r="V33" i="10"/>
  <c r="V27" i="10"/>
  <c r="V38" i="10"/>
  <c r="V52" i="10"/>
  <c r="V13" i="10"/>
  <c r="V50" i="10"/>
  <c r="V41" i="10"/>
  <c r="V28" i="10"/>
  <c r="V42" i="10"/>
  <c r="V34" i="10"/>
  <c r="V20" i="10"/>
  <c r="V44" i="10"/>
  <c r="V53" i="10"/>
  <c r="V26" i="10"/>
  <c r="V8" i="10"/>
  <c r="V12" i="10"/>
  <c r="V31" i="10"/>
  <c r="V10" i="10"/>
  <c r="V23" i="10"/>
  <c r="V47" i="10"/>
  <c r="V39" i="10"/>
  <c r="V35" i="10"/>
  <c r="V32" i="10"/>
  <c r="V25" i="10"/>
  <c r="V45" i="10"/>
  <c r="V21" i="10"/>
  <c r="V11" i="10"/>
  <c r="I13" i="1"/>
  <c r="V51" i="10"/>
  <c r="C60" i="5"/>
  <c r="C61" i="5" s="1"/>
  <c r="C58" i="5"/>
  <c r="T73" i="10" s="1"/>
  <c r="C58" i="10"/>
  <c r="C46" i="10"/>
  <c r="X46" i="10" s="1"/>
  <c r="C59" i="10"/>
  <c r="C23" i="10"/>
  <c r="C27" i="10"/>
  <c r="C21" i="10"/>
  <c r="C63" i="10"/>
  <c r="C66" i="10"/>
  <c r="C67" i="10"/>
  <c r="C49" i="10"/>
  <c r="W49" i="10" s="1"/>
  <c r="C24" i="10"/>
  <c r="C55" i="10"/>
  <c r="C31" i="10"/>
  <c r="C56" i="10"/>
  <c r="C54" i="10"/>
  <c r="C42" i="10"/>
  <c r="C25" i="10"/>
  <c r="C30" i="10"/>
  <c r="C77" i="10"/>
  <c r="C33" i="10"/>
  <c r="C74" i="10"/>
  <c r="C22" i="10"/>
  <c r="C44" i="10"/>
  <c r="X44" i="10" s="1"/>
  <c r="C61" i="10"/>
  <c r="C41" i="10"/>
  <c r="C75" i="10"/>
  <c r="C72" i="10"/>
  <c r="C73" i="10"/>
  <c r="C60" i="10"/>
  <c r="C29" i="10"/>
  <c r="C48" i="10"/>
  <c r="X48" i="10" s="1"/>
  <c r="C43" i="10"/>
  <c r="W43" i="10" s="1"/>
  <c r="C26" i="10"/>
  <c r="C68" i="10"/>
  <c r="C28" i="10"/>
  <c r="C62" i="10"/>
  <c r="C34" i="10"/>
  <c r="C40" i="10"/>
  <c r="C50" i="10"/>
  <c r="X50" i="10" s="1"/>
  <c r="C47" i="10"/>
  <c r="X47" i="10" s="1"/>
  <c r="C35" i="10"/>
  <c r="C52" i="10"/>
  <c r="X52" i="10" s="1"/>
  <c r="C70" i="10"/>
  <c r="C36" i="10"/>
  <c r="C53" i="10"/>
  <c r="X53" i="10" s="1"/>
  <c r="C39" i="10"/>
  <c r="C45" i="10"/>
  <c r="X45" i="10" s="1"/>
  <c r="C38" i="10"/>
  <c r="C71" i="10"/>
  <c r="C57" i="10"/>
  <c r="C65" i="10"/>
  <c r="C69" i="10"/>
  <c r="C32" i="10"/>
  <c r="C64" i="10"/>
  <c r="C76" i="10"/>
  <c r="C51" i="10"/>
  <c r="W51" i="10" s="1"/>
  <c r="C37" i="10"/>
  <c r="G6" i="10"/>
  <c r="C8" i="10"/>
  <c r="C6" i="10"/>
  <c r="C7" i="10"/>
  <c r="C15" i="10"/>
  <c r="C14" i="10"/>
  <c r="C20" i="10"/>
  <c r="C11" i="10"/>
  <c r="C16" i="10"/>
  <c r="C19" i="10"/>
  <c r="C17" i="10"/>
  <c r="C12" i="10"/>
  <c r="C10" i="10"/>
  <c r="C9" i="10"/>
  <c r="C18" i="10"/>
  <c r="C13" i="10"/>
  <c r="P7" i="10" l="1"/>
  <c r="P8" i="10"/>
  <c r="P20" i="10"/>
  <c r="P21" i="10"/>
  <c r="P22" i="10"/>
  <c r="P23" i="10"/>
  <c r="P24" i="10"/>
  <c r="P25" i="10"/>
  <c r="P26" i="10"/>
  <c r="P27" i="10"/>
  <c r="P28" i="10"/>
  <c r="P19" i="10"/>
  <c r="P6" i="10"/>
  <c r="P9" i="10"/>
  <c r="P10" i="10"/>
  <c r="P11" i="10"/>
  <c r="P12" i="10"/>
  <c r="P13" i="10"/>
  <c r="P14" i="10"/>
  <c r="P15" i="10"/>
  <c r="P16" i="10"/>
  <c r="P17" i="10"/>
  <c r="P18" i="10"/>
  <c r="P29" i="10"/>
  <c r="T64" i="10"/>
  <c r="T42" i="10"/>
  <c r="T58" i="10"/>
  <c r="T71" i="10"/>
  <c r="D128" i="10"/>
  <c r="D126" i="10"/>
  <c r="D127" i="10"/>
  <c r="T62" i="10"/>
  <c r="M127" i="10"/>
  <c r="L127" i="10"/>
  <c r="T31" i="10"/>
  <c r="M126" i="10"/>
  <c r="L126" i="10"/>
  <c r="T72" i="10"/>
  <c r="T52" i="10"/>
  <c r="L128" i="10"/>
  <c r="M128" i="10"/>
  <c r="T54" i="10"/>
  <c r="T46" i="10"/>
  <c r="T47" i="10"/>
  <c r="M85" i="10"/>
  <c r="L85" i="10"/>
  <c r="L122" i="10"/>
  <c r="M122" i="10"/>
  <c r="L109" i="10"/>
  <c r="M109" i="10"/>
  <c r="T68" i="10"/>
  <c r="T48" i="10"/>
  <c r="T65" i="10"/>
  <c r="M81" i="10"/>
  <c r="L81" i="10"/>
  <c r="M110" i="10"/>
  <c r="L110" i="10"/>
  <c r="M119" i="10"/>
  <c r="L119" i="10"/>
  <c r="L79" i="10"/>
  <c r="M79" i="10"/>
  <c r="L96" i="10"/>
  <c r="M96" i="10"/>
  <c r="L104" i="10"/>
  <c r="M104" i="10"/>
  <c r="T75" i="10"/>
  <c r="T53" i="10"/>
  <c r="T63" i="10"/>
  <c r="L95" i="10"/>
  <c r="M95" i="10"/>
  <c r="M78" i="10"/>
  <c r="L78" i="10"/>
  <c r="M91" i="10"/>
  <c r="L91" i="10"/>
  <c r="M98" i="10"/>
  <c r="L98" i="10"/>
  <c r="T44" i="10"/>
  <c r="T45" i="10"/>
  <c r="T61" i="10"/>
  <c r="L88" i="10"/>
  <c r="M88" i="10"/>
  <c r="L115" i="10"/>
  <c r="M115" i="10"/>
  <c r="M103" i="10"/>
  <c r="L103" i="10"/>
  <c r="M113" i="10"/>
  <c r="L113" i="10"/>
  <c r="G237" i="9"/>
  <c r="P90" i="10"/>
  <c r="P104" i="10"/>
  <c r="D107" i="10"/>
  <c r="P93" i="10"/>
  <c r="D87" i="10"/>
  <c r="P112" i="10"/>
  <c r="D101" i="10"/>
  <c r="P81" i="10"/>
  <c r="P82" i="10"/>
  <c r="P107" i="10"/>
  <c r="D114" i="10"/>
  <c r="P84" i="10"/>
  <c r="D91" i="10"/>
  <c r="P96" i="10"/>
  <c r="D104" i="10"/>
  <c r="B105" i="17" s="1"/>
  <c r="P94" i="10"/>
  <c r="P95" i="10"/>
  <c r="P87" i="10"/>
  <c r="D97" i="10"/>
  <c r="D92" i="10"/>
  <c r="D90" i="10"/>
  <c r="D100" i="10"/>
  <c r="D99" i="10"/>
  <c r="D106" i="10"/>
  <c r="D124" i="10"/>
  <c r="D83" i="10"/>
  <c r="P110" i="10"/>
  <c r="D95" i="10"/>
  <c r="P109" i="10"/>
  <c r="D84" i="10"/>
  <c r="P80" i="10"/>
  <c r="P101" i="10"/>
  <c r="P85" i="10"/>
  <c r="P98" i="10"/>
  <c r="D116" i="10"/>
  <c r="P121" i="10"/>
  <c r="P100" i="10"/>
  <c r="D85" i="10"/>
  <c r="P102" i="10"/>
  <c r="D103" i="10"/>
  <c r="P106" i="10"/>
  <c r="P83" i="10"/>
  <c r="P86" i="10"/>
  <c r="P78" i="10"/>
  <c r="P105" i="10"/>
  <c r="D86" i="10"/>
  <c r="P92" i="10"/>
  <c r="D121" i="10"/>
  <c r="B122" i="17" s="1"/>
  <c r="P115" i="10"/>
  <c r="P113" i="10"/>
  <c r="P89" i="10"/>
  <c r="D89" i="10"/>
  <c r="D118" i="10"/>
  <c r="D117" i="10"/>
  <c r="D102" i="10"/>
  <c r="P122" i="10"/>
  <c r="P123" i="10"/>
  <c r="P118" i="10"/>
  <c r="D115" i="10"/>
  <c r="D105" i="10"/>
  <c r="D110" i="10"/>
  <c r="B108" i="17" s="1"/>
  <c r="D94" i="10"/>
  <c r="P97" i="10"/>
  <c r="D80" i="10"/>
  <c r="B81" i="17" s="1"/>
  <c r="D108" i="10"/>
  <c r="D119" i="10"/>
  <c r="D93" i="10"/>
  <c r="P125" i="10"/>
  <c r="D125" i="10"/>
  <c r="D82" i="10"/>
  <c r="P116" i="10"/>
  <c r="D79" i="10"/>
  <c r="D96" i="10"/>
  <c r="P91" i="10"/>
  <c r="D112" i="10"/>
  <c r="P119" i="10"/>
  <c r="D123" i="10"/>
  <c r="B124" i="17" s="1"/>
  <c r="D88" i="10"/>
  <c r="B89" i="17" s="1"/>
  <c r="D98" i="10"/>
  <c r="D113" i="10"/>
  <c r="P108" i="10"/>
  <c r="D111" i="10"/>
  <c r="P124" i="10"/>
  <c r="P114" i="10"/>
  <c r="D78" i="10"/>
  <c r="D122" i="10"/>
  <c r="D81" i="10"/>
  <c r="P99" i="10"/>
  <c r="P88" i="10"/>
  <c r="P120" i="10"/>
  <c r="P103" i="10"/>
  <c r="P79" i="10"/>
  <c r="D120" i="10"/>
  <c r="P111" i="10"/>
  <c r="D109" i="10"/>
  <c r="P117" i="10"/>
  <c r="T59" i="10"/>
  <c r="T76" i="10"/>
  <c r="T56" i="10"/>
  <c r="M82" i="10"/>
  <c r="L82" i="10"/>
  <c r="L125" i="10"/>
  <c r="M125" i="10"/>
  <c r="L116" i="10"/>
  <c r="M116" i="10"/>
  <c r="L87" i="10"/>
  <c r="M87" i="10"/>
  <c r="T69" i="10"/>
  <c r="T70" i="10"/>
  <c r="T55" i="10"/>
  <c r="M120" i="10"/>
  <c r="L120" i="10"/>
  <c r="M89" i="10"/>
  <c r="L89" i="10"/>
  <c r="M102" i="10"/>
  <c r="L102" i="10"/>
  <c r="L105" i="10"/>
  <c r="M105" i="10"/>
  <c r="L86" i="10"/>
  <c r="M86" i="10"/>
  <c r="T22" i="10"/>
  <c r="T83" i="10"/>
  <c r="T84" i="10"/>
  <c r="T109" i="10"/>
  <c r="T102" i="10"/>
  <c r="T100" i="10"/>
  <c r="T105" i="10"/>
  <c r="T85" i="10"/>
  <c r="T111" i="10"/>
  <c r="T117" i="10"/>
  <c r="T123" i="10"/>
  <c r="T95" i="10"/>
  <c r="T121" i="10"/>
  <c r="T119" i="10"/>
  <c r="T104" i="10"/>
  <c r="T101" i="10"/>
  <c r="T81" i="10"/>
  <c r="T80" i="10"/>
  <c r="T106" i="10"/>
  <c r="T125" i="10"/>
  <c r="T90" i="10"/>
  <c r="T115" i="10"/>
  <c r="T118" i="10"/>
  <c r="T108" i="10"/>
  <c r="T112" i="10"/>
  <c r="T120" i="10"/>
  <c r="T114" i="10"/>
  <c r="T116" i="10"/>
  <c r="T97" i="10"/>
  <c r="T113" i="10"/>
  <c r="T82" i="10"/>
  <c r="T96" i="10"/>
  <c r="T99" i="10"/>
  <c r="T79" i="10"/>
  <c r="T91" i="10"/>
  <c r="T122" i="10"/>
  <c r="T89" i="10"/>
  <c r="T78" i="10"/>
  <c r="T86" i="10"/>
  <c r="T124" i="10"/>
  <c r="T88" i="10"/>
  <c r="T87" i="10"/>
  <c r="T92" i="10"/>
  <c r="T93" i="10"/>
  <c r="T103" i="10"/>
  <c r="T110" i="10"/>
  <c r="T98" i="10"/>
  <c r="T107" i="10"/>
  <c r="T94" i="10"/>
  <c r="L94" i="10"/>
  <c r="M94" i="10"/>
  <c r="M118" i="10"/>
  <c r="L118" i="10"/>
  <c r="M124" i="10"/>
  <c r="L124" i="10"/>
  <c r="L121" i="10"/>
  <c r="M121" i="10"/>
  <c r="T74" i="10"/>
  <c r="L99" i="10"/>
  <c r="M99" i="10"/>
  <c r="M107" i="10"/>
  <c r="L107" i="10"/>
  <c r="L90" i="10"/>
  <c r="M90" i="10"/>
  <c r="L111" i="10"/>
  <c r="M111" i="10"/>
  <c r="M112" i="10"/>
  <c r="L112" i="10"/>
  <c r="T67" i="10"/>
  <c r="T43" i="10"/>
  <c r="T66" i="10"/>
  <c r="M100" i="10"/>
  <c r="L100" i="10"/>
  <c r="L106" i="10"/>
  <c r="M106" i="10"/>
  <c r="M108" i="10"/>
  <c r="L108" i="10"/>
  <c r="L117" i="10"/>
  <c r="M117" i="10"/>
  <c r="T60" i="10"/>
  <c r="T50" i="10"/>
  <c r="T51" i="10"/>
  <c r="M114" i="10"/>
  <c r="L114" i="10"/>
  <c r="L83" i="10"/>
  <c r="M83" i="10"/>
  <c r="M92" i="10"/>
  <c r="L92" i="10"/>
  <c r="M93" i="10"/>
  <c r="L93" i="10"/>
  <c r="M97" i="10"/>
  <c r="L97" i="10"/>
  <c r="T49" i="10"/>
  <c r="T77" i="10"/>
  <c r="T57" i="10"/>
  <c r="L123" i="10"/>
  <c r="M123" i="10"/>
  <c r="M101" i="10"/>
  <c r="L101" i="10"/>
  <c r="M84" i="10"/>
  <c r="L84" i="10"/>
  <c r="M80" i="10"/>
  <c r="L80" i="10"/>
  <c r="T39" i="10"/>
  <c r="T35" i="10"/>
  <c r="T41" i="10"/>
  <c r="T38" i="10"/>
  <c r="T40" i="10"/>
  <c r="T32" i="10"/>
  <c r="T33" i="10"/>
  <c r="T37" i="10"/>
  <c r="T36" i="10"/>
  <c r="T34" i="10"/>
  <c r="W47" i="10"/>
  <c r="V3" i="10"/>
  <c r="C49" i="5" s="1"/>
  <c r="I15" i="1" s="1"/>
  <c r="W45" i="10"/>
  <c r="W46" i="10"/>
  <c r="W52" i="10"/>
  <c r="W50" i="10"/>
  <c r="W48" i="10"/>
  <c r="W53" i="10"/>
  <c r="X49" i="10"/>
  <c r="W44" i="10"/>
  <c r="X51" i="10"/>
  <c r="X43" i="10"/>
  <c r="C62" i="5"/>
  <c r="C65" i="5" s="1"/>
  <c r="T17" i="10"/>
  <c r="T8" i="10"/>
  <c r="T21" i="10"/>
  <c r="T7" i="10"/>
  <c r="T9" i="10"/>
  <c r="T18" i="10"/>
  <c r="T24" i="10"/>
  <c r="T6" i="10"/>
  <c r="T14" i="10"/>
  <c r="T11" i="10"/>
  <c r="T26" i="10"/>
  <c r="T25" i="10"/>
  <c r="T20" i="10"/>
  <c r="T23" i="10"/>
  <c r="T13" i="10"/>
  <c r="T30" i="10"/>
  <c r="T10" i="10"/>
  <c r="T15" i="10"/>
  <c r="T28" i="10"/>
  <c r="T19" i="10"/>
  <c r="T12" i="10"/>
  <c r="T29" i="10"/>
  <c r="T16" i="10"/>
  <c r="T27" i="10"/>
  <c r="M45" i="10"/>
  <c r="L45" i="10"/>
  <c r="L39" i="10"/>
  <c r="M39" i="10"/>
  <c r="M68" i="10"/>
  <c r="L68" i="10"/>
  <c r="L22" i="10"/>
  <c r="M22" i="10"/>
  <c r="L49" i="10"/>
  <c r="M49" i="10"/>
  <c r="M28" i="10"/>
  <c r="L28" i="10"/>
  <c r="M74" i="10"/>
  <c r="L74" i="10"/>
  <c r="L67" i="10"/>
  <c r="M67" i="10"/>
  <c r="L61" i="10"/>
  <c r="M61" i="10"/>
  <c r="L43" i="10"/>
  <c r="M43" i="10"/>
  <c r="L33" i="10"/>
  <c r="M33" i="10"/>
  <c r="L66" i="10"/>
  <c r="M66" i="10"/>
  <c r="M55" i="10"/>
  <c r="L55" i="10"/>
  <c r="L24" i="10"/>
  <c r="M24" i="10"/>
  <c r="L53" i="10"/>
  <c r="M53" i="10"/>
  <c r="M76" i="10"/>
  <c r="L76" i="10"/>
  <c r="L70" i="10"/>
  <c r="M70" i="10"/>
  <c r="M48" i="10"/>
  <c r="L48" i="10"/>
  <c r="M77" i="10"/>
  <c r="L77" i="10"/>
  <c r="L63" i="10"/>
  <c r="M63" i="10"/>
  <c r="L37" i="10"/>
  <c r="M37" i="10"/>
  <c r="L52" i="10"/>
  <c r="M52" i="10"/>
  <c r="L29" i="10"/>
  <c r="M29" i="10"/>
  <c r="M30" i="10"/>
  <c r="L30" i="10"/>
  <c r="M21" i="10"/>
  <c r="L21" i="10"/>
  <c r="M44" i="10"/>
  <c r="L44" i="10"/>
  <c r="M36" i="10"/>
  <c r="L36" i="10"/>
  <c r="L35" i="10"/>
  <c r="M35" i="10"/>
  <c r="L25" i="10"/>
  <c r="M25" i="10"/>
  <c r="M27" i="10"/>
  <c r="L27" i="10"/>
  <c r="M38" i="10"/>
  <c r="L38" i="10"/>
  <c r="M64" i="10"/>
  <c r="L64" i="10"/>
  <c r="L32" i="10"/>
  <c r="M32" i="10"/>
  <c r="M69" i="10"/>
  <c r="L69" i="10"/>
  <c r="L47" i="10"/>
  <c r="M47" i="10"/>
  <c r="L73" i="10"/>
  <c r="M73" i="10"/>
  <c r="L42" i="10"/>
  <c r="M42" i="10"/>
  <c r="L23" i="10"/>
  <c r="M23" i="10"/>
  <c r="M51" i="10"/>
  <c r="L51" i="10"/>
  <c r="M60" i="10"/>
  <c r="L60" i="10"/>
  <c r="L65" i="10"/>
  <c r="M65" i="10"/>
  <c r="M50" i="10"/>
  <c r="L50" i="10"/>
  <c r="M72" i="10"/>
  <c r="L72" i="10"/>
  <c r="M54" i="10"/>
  <c r="L54" i="10"/>
  <c r="M59" i="10"/>
  <c r="L59" i="10"/>
  <c r="L62" i="10"/>
  <c r="M62" i="10"/>
  <c r="M40" i="10"/>
  <c r="L40" i="10"/>
  <c r="M56" i="10"/>
  <c r="L56" i="10"/>
  <c r="M46" i="10"/>
  <c r="L46" i="10"/>
  <c r="M26" i="10"/>
  <c r="L26" i="10"/>
  <c r="D75" i="10"/>
  <c r="D62" i="10"/>
  <c r="D43" i="10"/>
  <c r="P64" i="10"/>
  <c r="P50" i="10"/>
  <c r="P65" i="10"/>
  <c r="P45" i="10"/>
  <c r="D67" i="10"/>
  <c r="D55" i="10"/>
  <c r="P39" i="10"/>
  <c r="D52" i="10"/>
  <c r="D60" i="10"/>
  <c r="P51" i="10"/>
  <c r="D57" i="10"/>
  <c r="P42" i="10"/>
  <c r="P62" i="10"/>
  <c r="P72" i="10"/>
  <c r="D77" i="10"/>
  <c r="P35" i="10"/>
  <c r="D58" i="10"/>
  <c r="D25" i="10"/>
  <c r="P59" i="10"/>
  <c r="D39" i="10"/>
  <c r="D72" i="10"/>
  <c r="P43" i="10"/>
  <c r="P71" i="10"/>
  <c r="D40" i="10"/>
  <c r="D59" i="10"/>
  <c r="D71" i="10"/>
  <c r="P34" i="10"/>
  <c r="D49" i="10"/>
  <c r="D53" i="10"/>
  <c r="P49" i="10"/>
  <c r="P56" i="10"/>
  <c r="D22" i="10"/>
  <c r="P33" i="10"/>
  <c r="P38" i="10"/>
  <c r="D66" i="10"/>
  <c r="P77" i="10"/>
  <c r="D68" i="10"/>
  <c r="D48" i="10"/>
  <c r="D35" i="10"/>
  <c r="P66" i="10"/>
  <c r="D41" i="10"/>
  <c r="D36" i="10"/>
  <c r="P52" i="10"/>
  <c r="P36" i="10"/>
  <c r="D50" i="10"/>
  <c r="P57" i="10"/>
  <c r="D44" i="10"/>
  <c r="D74" i="10"/>
  <c r="D73" i="10"/>
  <c r="P69" i="10"/>
  <c r="D46" i="10"/>
  <c r="P61" i="10"/>
  <c r="P41" i="10"/>
  <c r="D61" i="10"/>
  <c r="P47" i="10"/>
  <c r="D21" i="10"/>
  <c r="P75" i="10"/>
  <c r="P70" i="10"/>
  <c r="P74" i="10"/>
  <c r="D69" i="10"/>
  <c r="D56" i="10"/>
  <c r="D31" i="10"/>
  <c r="D42" i="10"/>
  <c r="P63" i="10"/>
  <c r="D47" i="10"/>
  <c r="D63" i="10"/>
  <c r="D26" i="10"/>
  <c r="D64" i="10"/>
  <c r="P60" i="10"/>
  <c r="P54" i="10"/>
  <c r="P44" i="10"/>
  <c r="P73" i="10"/>
  <c r="P48" i="10"/>
  <c r="D76" i="10"/>
  <c r="D70" i="10"/>
  <c r="D65" i="10"/>
  <c r="P40" i="10"/>
  <c r="D24" i="10"/>
  <c r="P32" i="10"/>
  <c r="D37" i="10"/>
  <c r="D33" i="10"/>
  <c r="D38" i="10"/>
  <c r="P55" i="10"/>
  <c r="P67" i="10"/>
  <c r="D23" i="10"/>
  <c r="P76" i="10"/>
  <c r="D51" i="10"/>
  <c r="D54" i="10"/>
  <c r="P46" i="10"/>
  <c r="D45" i="10"/>
  <c r="D28" i="10"/>
  <c r="P53" i="10"/>
  <c r="D32" i="10"/>
  <c r="P58" i="10"/>
  <c r="D29" i="10"/>
  <c r="P37" i="10"/>
  <c r="D30" i="10"/>
  <c r="D27" i="10"/>
  <c r="P68" i="10"/>
  <c r="D34" i="10"/>
  <c r="M57" i="10"/>
  <c r="L57" i="10"/>
  <c r="L75" i="10"/>
  <c r="M75" i="10"/>
  <c r="M71" i="10"/>
  <c r="L71" i="10"/>
  <c r="L34" i="10"/>
  <c r="M34" i="10"/>
  <c r="L41" i="10"/>
  <c r="M41" i="10"/>
  <c r="M31" i="10"/>
  <c r="L31" i="10"/>
  <c r="M58" i="10"/>
  <c r="L58" i="10"/>
  <c r="L7" i="10"/>
  <c r="M7" i="10"/>
  <c r="F6" i="10"/>
  <c r="I6" i="10" s="1"/>
  <c r="L6" i="10"/>
  <c r="M6" i="10"/>
  <c r="D6" i="10"/>
  <c r="D7" i="10"/>
  <c r="D8" i="10"/>
  <c r="L8" i="10"/>
  <c r="M8" i="10"/>
  <c r="H6" i="10"/>
  <c r="L10" i="10"/>
  <c r="M10" i="10"/>
  <c r="L9" i="10"/>
  <c r="M9" i="10"/>
  <c r="M20" i="10"/>
  <c r="L20" i="10"/>
  <c r="L17" i="10"/>
  <c r="M17" i="10"/>
  <c r="M19" i="10"/>
  <c r="L19" i="10"/>
  <c r="M14" i="10"/>
  <c r="L14" i="10"/>
  <c r="L18" i="10"/>
  <c r="M18" i="10"/>
  <c r="L12" i="10"/>
  <c r="M12" i="10"/>
  <c r="L11" i="10"/>
  <c r="M11" i="10"/>
  <c r="M15" i="10"/>
  <c r="L15" i="10"/>
  <c r="I6" i="1"/>
  <c r="D14" i="10"/>
  <c r="D17" i="10"/>
  <c r="D19" i="10"/>
  <c r="E12" i="1"/>
  <c r="D18" i="10"/>
  <c r="D10" i="10"/>
  <c r="D9" i="10"/>
  <c r="D12" i="10"/>
  <c r="D20" i="10"/>
  <c r="D16" i="10"/>
  <c r="D11" i="10"/>
  <c r="D13" i="10"/>
  <c r="D15" i="10"/>
  <c r="L16" i="10"/>
  <c r="M16" i="10"/>
  <c r="L13" i="10"/>
  <c r="M13" i="10"/>
  <c r="B109" i="17" l="1"/>
  <c r="B55" i="17"/>
  <c r="B120" i="17"/>
  <c r="B102" i="17"/>
  <c r="B45" i="17"/>
  <c r="B125" i="17"/>
  <c r="B85" i="17"/>
  <c r="B76" i="17"/>
  <c r="B52" i="17"/>
  <c r="B70" i="17"/>
  <c r="B99" i="17"/>
  <c r="B66" i="17"/>
  <c r="B77" i="17"/>
  <c r="B57" i="17"/>
  <c r="B39" i="17"/>
  <c r="B59" i="17"/>
  <c r="B49" i="17"/>
  <c r="B121" i="17"/>
  <c r="B68" i="17"/>
  <c r="B94" i="17"/>
  <c r="B60" i="17"/>
  <c r="B104" i="17"/>
  <c r="B71" i="17"/>
  <c r="B63" i="17"/>
  <c r="B61" i="17"/>
  <c r="B47" i="17"/>
  <c r="B53" i="17"/>
  <c r="B101" i="17"/>
  <c r="B65" i="17"/>
  <c r="B74" i="17"/>
  <c r="B56" i="17"/>
  <c r="B54" i="17"/>
  <c r="B98" i="17"/>
  <c r="B118" i="17"/>
  <c r="B67" i="17"/>
  <c r="B64" i="17"/>
  <c r="B51" i="17"/>
  <c r="B96" i="17"/>
  <c r="B48" i="17"/>
  <c r="B62" i="17"/>
  <c r="B73" i="17"/>
  <c r="B58" i="17"/>
  <c r="B44" i="17"/>
  <c r="B95" i="17"/>
  <c r="B97" i="17"/>
  <c r="B92" i="17"/>
  <c r="B50" i="17"/>
  <c r="B80" i="17"/>
  <c r="B107" i="17"/>
  <c r="B84" i="17"/>
  <c r="B111" i="17"/>
  <c r="B100" i="17"/>
  <c r="B87" i="17"/>
  <c r="B90" i="17"/>
  <c r="B93" i="17"/>
  <c r="B106" i="17"/>
  <c r="B116" i="17"/>
  <c r="B119" i="17"/>
  <c r="B79" i="17"/>
  <c r="B82" i="17"/>
  <c r="B110" i="17"/>
  <c r="B83" i="17"/>
  <c r="B86" i="17"/>
  <c r="B103" i="17"/>
  <c r="B113" i="17"/>
  <c r="B114" i="17"/>
  <c r="B117" i="17"/>
  <c r="B112" i="17"/>
  <c r="B115" i="17"/>
  <c r="B123" i="17"/>
  <c r="B126" i="17"/>
  <c r="B88" i="17"/>
  <c r="B91" i="17"/>
  <c r="I26" i="1"/>
  <c r="C66" i="5"/>
  <c r="I21" i="1" s="1"/>
  <c r="B32" i="17"/>
  <c r="B40" i="17"/>
  <c r="B34" i="17"/>
  <c r="B37" i="17"/>
  <c r="B33" i="17"/>
  <c r="B42" i="17"/>
  <c r="B35" i="17"/>
  <c r="B41" i="17"/>
  <c r="B36" i="17"/>
  <c r="B38" i="17"/>
  <c r="B24" i="17"/>
  <c r="O237" i="9"/>
  <c r="B22" i="17"/>
  <c r="B31" i="17"/>
  <c r="B29" i="17"/>
  <c r="B26" i="17"/>
  <c r="B19" i="17"/>
  <c r="B27" i="17"/>
  <c r="B30" i="17"/>
  <c r="B23" i="17"/>
  <c r="T3" i="10"/>
  <c r="B8" i="17"/>
  <c r="B13" i="17"/>
  <c r="J6" i="10"/>
  <c r="B9" i="17"/>
  <c r="B18" i="17"/>
  <c r="B21" i="17"/>
  <c r="B17" i="17"/>
  <c r="B20" i="17"/>
  <c r="B43" i="17"/>
  <c r="B46" i="17"/>
  <c r="B75" i="17"/>
  <c r="B78" i="17"/>
  <c r="B69" i="17"/>
  <c r="B72" i="17"/>
  <c r="B7" i="17"/>
  <c r="B25" i="17"/>
  <c r="B28" i="17"/>
  <c r="B12" i="17"/>
  <c r="B16" i="17"/>
  <c r="B11" i="17"/>
  <c r="B14" i="17"/>
  <c r="B15" i="17"/>
  <c r="B10" i="17"/>
  <c r="M2" i="10"/>
  <c r="P3" i="10"/>
  <c r="C39" i="5" s="1"/>
  <c r="R237" i="9" l="1"/>
  <c r="S237" i="9" s="1"/>
  <c r="G7" i="10"/>
  <c r="H7" i="10" s="1"/>
  <c r="B237" i="9"/>
  <c r="I9" i="1"/>
  <c r="C37" i="5"/>
  <c r="E126" i="10" l="1"/>
  <c r="E128" i="10"/>
  <c r="E127" i="10"/>
  <c r="C80" i="17"/>
  <c r="C104" i="17"/>
  <c r="C106" i="17"/>
  <c r="C121" i="17"/>
  <c r="C113" i="17"/>
  <c r="C86" i="17"/>
  <c r="C99" i="17"/>
  <c r="C82" i="17"/>
  <c r="C120" i="17"/>
  <c r="C93" i="17"/>
  <c r="C83" i="17"/>
  <c r="C119" i="17"/>
  <c r="C122" i="17"/>
  <c r="C102" i="17"/>
  <c r="C100" i="17"/>
  <c r="C97" i="17"/>
  <c r="C123" i="17"/>
  <c r="C109" i="17"/>
  <c r="C89" i="17"/>
  <c r="C95" i="17"/>
  <c r="C110" i="17"/>
  <c r="C126" i="17"/>
  <c r="C96" i="17"/>
  <c r="C112" i="17"/>
  <c r="C101" i="17"/>
  <c r="C84" i="17"/>
  <c r="C92" i="17"/>
  <c r="C125" i="17"/>
  <c r="C103" i="17"/>
  <c r="C114" i="17"/>
  <c r="C79" i="17"/>
  <c r="C81" i="17"/>
  <c r="C115" i="17"/>
  <c r="C116" i="17"/>
  <c r="C107" i="17"/>
  <c r="C108" i="17"/>
  <c r="C94" i="17"/>
  <c r="C124" i="17"/>
  <c r="C118" i="17"/>
  <c r="C87" i="17"/>
  <c r="C98" i="17"/>
  <c r="C91" i="17"/>
  <c r="C85" i="17"/>
  <c r="C105" i="17"/>
  <c r="C111" i="17"/>
  <c r="C90" i="17"/>
  <c r="C88" i="17"/>
  <c r="C117" i="17"/>
  <c r="E120" i="10"/>
  <c r="E96" i="10"/>
  <c r="E80" i="10"/>
  <c r="E118" i="10"/>
  <c r="E121" i="10"/>
  <c r="E107" i="10"/>
  <c r="E111" i="10"/>
  <c r="E83" i="10"/>
  <c r="E119" i="10"/>
  <c r="E117" i="10"/>
  <c r="E125" i="10"/>
  <c r="E87" i="10"/>
  <c r="E100" i="10"/>
  <c r="E108" i="10"/>
  <c r="E123" i="10"/>
  <c r="E84" i="10"/>
  <c r="E89" i="10"/>
  <c r="E105" i="10"/>
  <c r="E115" i="10"/>
  <c r="E94" i="10"/>
  <c r="E124" i="10"/>
  <c r="E113" i="10"/>
  <c r="E99" i="10"/>
  <c r="E90" i="10"/>
  <c r="E114" i="10"/>
  <c r="E82" i="10"/>
  <c r="E116" i="10"/>
  <c r="E81" i="10"/>
  <c r="E106" i="10"/>
  <c r="E101" i="10"/>
  <c r="E122" i="10"/>
  <c r="E78" i="10"/>
  <c r="E112" i="10"/>
  <c r="E103" i="10"/>
  <c r="E91" i="10"/>
  <c r="E97" i="10"/>
  <c r="E88" i="10"/>
  <c r="E95" i="10"/>
  <c r="E92" i="10"/>
  <c r="E104" i="10"/>
  <c r="E109" i="10"/>
  <c r="E79" i="10"/>
  <c r="E85" i="10"/>
  <c r="E93" i="10"/>
  <c r="E110" i="10"/>
  <c r="E86" i="10"/>
  <c r="E98" i="10"/>
  <c r="E102" i="10"/>
  <c r="F7" i="10"/>
  <c r="C32" i="17"/>
  <c r="C42" i="17"/>
  <c r="C73" i="17"/>
  <c r="C22" i="17"/>
  <c r="C58" i="17"/>
  <c r="C62" i="17"/>
  <c r="C74" i="17"/>
  <c r="C53" i="17"/>
  <c r="C56" i="17"/>
  <c r="C27" i="17"/>
  <c r="C40" i="17"/>
  <c r="C36" i="17"/>
  <c r="C31" i="17"/>
  <c r="C60" i="17"/>
  <c r="C47" i="17"/>
  <c r="C67" i="17"/>
  <c r="C50" i="17"/>
  <c r="C33" i="17"/>
  <c r="C20" i="17"/>
  <c r="C30" i="17"/>
  <c r="C55" i="17"/>
  <c r="C54" i="17"/>
  <c r="C69" i="17"/>
  <c r="C48" i="17"/>
  <c r="C66" i="17"/>
  <c r="C38" i="17"/>
  <c r="C21" i="17"/>
  <c r="C23" i="17"/>
  <c r="C25" i="17"/>
  <c r="C28" i="17"/>
  <c r="C37" i="17"/>
  <c r="C24" i="17"/>
  <c r="C64" i="17"/>
  <c r="C26" i="17"/>
  <c r="C41" i="17"/>
  <c r="C65" i="17"/>
  <c r="C34" i="17"/>
  <c r="C29" i="17"/>
  <c r="C61" i="17"/>
  <c r="C70" i="17"/>
  <c r="C75" i="17"/>
  <c r="C46" i="17"/>
  <c r="C39" i="17"/>
  <c r="C19" i="17"/>
  <c r="C68" i="17"/>
  <c r="C45" i="17"/>
  <c r="C49" i="17"/>
  <c r="C63" i="17"/>
  <c r="C57" i="17"/>
  <c r="C52" i="17"/>
  <c r="C78" i="17"/>
  <c r="C76" i="17"/>
  <c r="C77" i="17"/>
  <c r="C71" i="17"/>
  <c r="C72" i="17"/>
  <c r="C44" i="17"/>
  <c r="C59" i="17"/>
  <c r="C35" i="17"/>
  <c r="C51" i="17"/>
  <c r="C43" i="17"/>
  <c r="E57" i="10"/>
  <c r="E41" i="10"/>
  <c r="E58" i="10"/>
  <c r="E75" i="10"/>
  <c r="E31" i="10"/>
  <c r="E62" i="10"/>
  <c r="E71" i="10"/>
  <c r="E27" i="10"/>
  <c r="E23" i="10"/>
  <c r="E43" i="10"/>
  <c r="E32" i="10"/>
  <c r="E49" i="10"/>
  <c r="E38" i="10"/>
  <c r="E45" i="10"/>
  <c r="E24" i="10"/>
  <c r="E73" i="10"/>
  <c r="E67" i="10"/>
  <c r="E36" i="10"/>
  <c r="E37" i="10"/>
  <c r="E21" i="10"/>
  <c r="E47" i="10"/>
  <c r="E42" i="10"/>
  <c r="E69" i="10"/>
  <c r="E28" i="10"/>
  <c r="E34" i="10"/>
  <c r="E25" i="10"/>
  <c r="E46" i="10"/>
  <c r="E77" i="10"/>
  <c r="E59" i="10"/>
  <c r="E70" i="10"/>
  <c r="E55" i="10"/>
  <c r="E33" i="10"/>
  <c r="E60" i="10"/>
  <c r="E68" i="10"/>
  <c r="E64" i="10"/>
  <c r="E22" i="10"/>
  <c r="E29" i="10"/>
  <c r="E74" i="10"/>
  <c r="E35" i="10"/>
  <c r="E39" i="10"/>
  <c r="E40" i="10"/>
  <c r="E72" i="10"/>
  <c r="E53" i="10"/>
  <c r="E50" i="10"/>
  <c r="E44" i="10"/>
  <c r="E51" i="10"/>
  <c r="E30" i="10"/>
  <c r="E26" i="10"/>
  <c r="E52" i="10"/>
  <c r="E65" i="10"/>
  <c r="E56" i="10"/>
  <c r="E63" i="10"/>
  <c r="E76" i="10"/>
  <c r="E54" i="10"/>
  <c r="E48" i="10"/>
  <c r="E66" i="10"/>
  <c r="E61" i="10"/>
  <c r="E8" i="10"/>
  <c r="E7" i="10"/>
  <c r="E6" i="10"/>
  <c r="C16" i="17"/>
  <c r="C13" i="17"/>
  <c r="C12" i="17"/>
  <c r="C8" i="17"/>
  <c r="C15" i="17"/>
  <c r="C11" i="17"/>
  <c r="C10" i="17"/>
  <c r="C18" i="17"/>
  <c r="C9" i="17"/>
  <c r="C7" i="17"/>
  <c r="C17" i="17"/>
  <c r="C14" i="17"/>
  <c r="E13" i="10"/>
  <c r="E14" i="10"/>
  <c r="E17" i="10"/>
  <c r="C38" i="5"/>
  <c r="E15" i="10"/>
  <c r="E12" i="10"/>
  <c r="E11" i="10"/>
  <c r="I7" i="1"/>
  <c r="E9" i="10"/>
  <c r="E10" i="10"/>
  <c r="E16" i="10"/>
  <c r="E19" i="10"/>
  <c r="E18" i="10"/>
  <c r="E20" i="10"/>
  <c r="Q127" i="10" l="1"/>
  <c r="Q128" i="10"/>
  <c r="Q126" i="10"/>
  <c r="Q90" i="10"/>
  <c r="Q98" i="10"/>
  <c r="Q91" i="10"/>
  <c r="Q99" i="10"/>
  <c r="Q125" i="10"/>
  <c r="Q87" i="10"/>
  <c r="Q86" i="10"/>
  <c r="Q103" i="10"/>
  <c r="Q113" i="10"/>
  <c r="Q117" i="10"/>
  <c r="Q102" i="10"/>
  <c r="Q112" i="10"/>
  <c r="Q124" i="10"/>
  <c r="Q119" i="10"/>
  <c r="Q93" i="10"/>
  <c r="Q78" i="10"/>
  <c r="Q94" i="10"/>
  <c r="Q83" i="10"/>
  <c r="Q85" i="10"/>
  <c r="Q122" i="10"/>
  <c r="Q115" i="10"/>
  <c r="Q111" i="10"/>
  <c r="Q79" i="10"/>
  <c r="Q105" i="10"/>
  <c r="Q107" i="10"/>
  <c r="Q97" i="10"/>
  <c r="Q110" i="10"/>
  <c r="Q109" i="10"/>
  <c r="Q106" i="10"/>
  <c r="Q89" i="10"/>
  <c r="Q121" i="10"/>
  <c r="Q104" i="10"/>
  <c r="Q81" i="10"/>
  <c r="Q84" i="10"/>
  <c r="Q118" i="10"/>
  <c r="Q92" i="10"/>
  <c r="Q116" i="10"/>
  <c r="Q123" i="10"/>
  <c r="Q80" i="10"/>
  <c r="Q95" i="10"/>
  <c r="Q82" i="10"/>
  <c r="Q108" i="10"/>
  <c r="Q96" i="10"/>
  <c r="Q101" i="10"/>
  <c r="Q88" i="10"/>
  <c r="Q114" i="10"/>
  <c r="Q100" i="10"/>
  <c r="Q120" i="10"/>
  <c r="I7" i="10"/>
  <c r="J7" i="10"/>
  <c r="G8" i="10" s="1"/>
  <c r="Q49" i="10"/>
  <c r="Q43" i="10"/>
  <c r="Q28" i="10"/>
  <c r="Q23" i="10"/>
  <c r="Q69" i="10"/>
  <c r="Q51" i="10"/>
  <c r="Q68" i="10"/>
  <c r="Q42" i="10"/>
  <c r="Q61" i="10"/>
  <c r="Q66" i="10"/>
  <c r="Q21" i="10"/>
  <c r="Q27" i="10"/>
  <c r="Q60" i="10"/>
  <c r="Q48" i="10"/>
  <c r="Q53" i="10"/>
  <c r="Q55" i="10"/>
  <c r="Q37" i="10"/>
  <c r="Q71" i="10"/>
  <c r="Q30" i="10"/>
  <c r="Q32" i="10"/>
  <c r="Q54" i="10"/>
  <c r="Q72" i="10"/>
  <c r="Q70" i="10"/>
  <c r="Q36" i="10"/>
  <c r="Q62" i="10"/>
  <c r="Q26" i="10"/>
  <c r="Q64" i="10"/>
  <c r="Q44" i="10"/>
  <c r="Q76" i="10"/>
  <c r="Q40" i="10"/>
  <c r="Q59" i="10"/>
  <c r="Q67" i="10"/>
  <c r="Q31" i="10"/>
  <c r="Q22" i="10"/>
  <c r="Q47" i="10"/>
  <c r="Q63" i="10"/>
  <c r="Q39" i="10"/>
  <c r="Q77" i="10"/>
  <c r="Q73" i="10"/>
  <c r="Q75" i="10"/>
  <c r="Q50" i="10"/>
  <c r="Q56" i="10"/>
  <c r="Q35" i="10"/>
  <c r="Q46" i="10"/>
  <c r="Q24" i="10"/>
  <c r="Q58" i="10"/>
  <c r="Q33" i="10"/>
  <c r="Q65" i="10"/>
  <c r="Q45" i="10"/>
  <c r="Q41" i="10"/>
  <c r="Q74" i="10"/>
  <c r="Q25" i="10"/>
  <c r="Q52" i="10"/>
  <c r="Q29" i="10"/>
  <c r="Q34" i="10"/>
  <c r="Q38" i="10"/>
  <c r="Q57" i="10"/>
  <c r="Q6" i="10"/>
  <c r="Q7" i="10"/>
  <c r="Q8" i="10"/>
  <c r="Q15" i="10"/>
  <c r="Q18" i="10"/>
  <c r="Q12" i="10"/>
  <c r="Q19" i="10"/>
  <c r="Q13" i="10"/>
  <c r="Q10" i="10"/>
  <c r="Q20" i="10"/>
  <c r="Q14" i="10"/>
  <c r="Q9" i="10"/>
  <c r="Q17" i="10"/>
  <c r="Q16" i="10"/>
  <c r="Q11" i="10"/>
  <c r="H8" i="10" l="1"/>
  <c r="F8" i="10"/>
  <c r="Q3" i="10"/>
  <c r="C41" i="5" s="1"/>
  <c r="I11" i="1" l="1"/>
  <c r="F6" i="1"/>
  <c r="I8" i="10"/>
  <c r="J8" i="10"/>
  <c r="G9" i="10" l="1"/>
  <c r="H9" i="10" s="1"/>
  <c r="E7" i="17" l="1"/>
  <c r="F9" i="10"/>
  <c r="J9" i="10" l="1"/>
  <c r="G10" i="10" s="1"/>
  <c r="H10" i="10" s="1"/>
  <c r="D7" i="17"/>
  <c r="I9" i="10"/>
  <c r="E8" i="17" l="1"/>
  <c r="F7" i="17"/>
  <c r="F10" i="10"/>
  <c r="D8" i="17" l="1"/>
  <c r="J10" i="10"/>
  <c r="I10" i="10"/>
  <c r="F8" i="17" l="1"/>
  <c r="G11" i="10"/>
  <c r="H11" i="10" s="1"/>
  <c r="E9" i="17" l="1"/>
  <c r="F11" i="10"/>
  <c r="D9" i="17" l="1"/>
  <c r="I11" i="10"/>
  <c r="J11" i="10"/>
  <c r="F9" i="17" l="1"/>
  <c r="G12" i="10"/>
  <c r="H12" i="10" s="1"/>
  <c r="E10" i="17" s="1"/>
  <c r="F12" i="10" l="1"/>
  <c r="D10" i="17" l="1"/>
  <c r="J12" i="10"/>
  <c r="I12" i="10"/>
  <c r="F10" i="17" l="1"/>
  <c r="G13" i="10"/>
  <c r="F13" i="10" s="1"/>
  <c r="D11" i="17" l="1"/>
  <c r="H13" i="10"/>
  <c r="E11" i="17" s="1"/>
  <c r="I13" i="10"/>
  <c r="J13" i="10"/>
  <c r="F11" i="17" l="1"/>
  <c r="G14" i="10"/>
  <c r="H14" i="10" l="1"/>
  <c r="E12" i="17" s="1"/>
  <c r="F14" i="10"/>
  <c r="D12" i="17" l="1"/>
  <c r="J14" i="10"/>
  <c r="F12" i="17" s="1"/>
  <c r="I14" i="10"/>
  <c r="G15" i="10" l="1"/>
  <c r="H15" i="10" l="1"/>
  <c r="E13" i="17" s="1"/>
  <c r="F15" i="10"/>
  <c r="D13" i="17" l="1"/>
  <c r="I15" i="10"/>
  <c r="J15" i="10"/>
  <c r="F13" i="17" l="1"/>
  <c r="G16" i="10"/>
  <c r="H16" i="10" l="1"/>
  <c r="E14" i="17" s="1"/>
  <c r="F16" i="10"/>
  <c r="D14" i="17" l="1"/>
  <c r="J16" i="10"/>
  <c r="I16" i="10"/>
  <c r="F14" i="17" l="1"/>
  <c r="G17" i="10"/>
  <c r="H17" i="10" l="1"/>
  <c r="E15" i="17" s="1"/>
  <c r="F17" i="10"/>
  <c r="D15" i="17" l="1"/>
  <c r="I17" i="10"/>
  <c r="J17" i="10"/>
  <c r="F15" i="17" l="1"/>
  <c r="G18" i="10"/>
  <c r="H18" i="10" l="1"/>
  <c r="F18" i="10"/>
  <c r="D16" i="17" l="1"/>
  <c r="I18" i="10"/>
  <c r="J18" i="10"/>
  <c r="F16" i="17" s="1"/>
  <c r="E16" i="17"/>
  <c r="G19" i="10" l="1"/>
  <c r="H19" i="10" l="1"/>
  <c r="F19" i="10"/>
  <c r="D17" i="17" s="1"/>
  <c r="J19" i="10" l="1"/>
  <c r="F17" i="17" s="1"/>
  <c r="I19" i="10"/>
  <c r="E17" i="17"/>
  <c r="G20" i="10" l="1"/>
  <c r="H20" i="10" l="1"/>
  <c r="F20" i="10"/>
  <c r="D18" i="17" s="1"/>
  <c r="E18" i="17" l="1"/>
  <c r="I20" i="10"/>
  <c r="J20" i="10"/>
  <c r="F18" i="17" l="1"/>
  <c r="G21" i="10"/>
  <c r="H21" i="10" l="1"/>
  <c r="F21" i="10"/>
  <c r="E19" i="17" l="1"/>
  <c r="D19" i="17"/>
  <c r="J21" i="10"/>
  <c r="I21" i="10"/>
  <c r="F19" i="17" l="1"/>
  <c r="G22" i="10"/>
  <c r="H22" i="10" l="1"/>
  <c r="F22" i="10"/>
  <c r="E20" i="17" l="1"/>
  <c r="D20" i="17"/>
  <c r="I22" i="10"/>
  <c r="J22" i="10"/>
  <c r="F20" i="17" l="1"/>
  <c r="G23" i="10"/>
  <c r="H23" i="10" l="1"/>
  <c r="F23" i="10"/>
  <c r="E21" i="17" l="1"/>
  <c r="D21" i="17"/>
  <c r="I23" i="10"/>
  <c r="J23" i="10"/>
  <c r="F21" i="17" l="1"/>
  <c r="G24" i="10"/>
  <c r="H24" i="10" l="1"/>
  <c r="E22" i="17" s="1"/>
  <c r="F24" i="10"/>
  <c r="D22" i="17" l="1"/>
  <c r="J24" i="10"/>
  <c r="I24" i="10"/>
  <c r="F22" i="17" l="1"/>
  <c r="G25" i="10"/>
  <c r="H25" i="10" l="1"/>
  <c r="E23" i="17" s="1"/>
  <c r="F25" i="10"/>
  <c r="D23" i="17" l="1"/>
  <c r="I25" i="10"/>
  <c r="J25" i="10"/>
  <c r="F23" i="17" l="1"/>
  <c r="G26" i="10"/>
  <c r="H26" i="10" l="1"/>
  <c r="E24" i="17" s="1"/>
  <c r="F26" i="10"/>
  <c r="D24" i="17" l="1"/>
  <c r="I26" i="10"/>
  <c r="J26" i="10"/>
  <c r="F24" i="17" l="1"/>
  <c r="G27" i="10"/>
  <c r="H27" i="10" l="1"/>
  <c r="E25" i="17" s="1"/>
  <c r="F27" i="10"/>
  <c r="D25" i="17" l="1"/>
  <c r="J27" i="10"/>
  <c r="I27" i="10"/>
  <c r="F25" i="17" l="1"/>
  <c r="G28" i="10"/>
  <c r="H28" i="10" l="1"/>
  <c r="E26" i="17" s="1"/>
  <c r="F28" i="10"/>
  <c r="D26" i="17" l="1"/>
  <c r="I28" i="10"/>
  <c r="J28" i="10"/>
  <c r="F26" i="17" l="1"/>
  <c r="G29" i="10"/>
  <c r="H29" i="10" l="1"/>
  <c r="E27" i="17" s="1"/>
  <c r="F29" i="10"/>
  <c r="D27" i="17" l="1"/>
  <c r="I29" i="10"/>
  <c r="J29" i="10"/>
  <c r="F27" i="17" l="1"/>
  <c r="G30" i="10"/>
  <c r="H30" i="10" l="1"/>
  <c r="E28" i="17" s="1"/>
  <c r="F30" i="10"/>
  <c r="D28" i="17" l="1"/>
  <c r="J30" i="10"/>
  <c r="I30" i="10"/>
  <c r="F28" i="17" l="1"/>
  <c r="G31" i="10"/>
  <c r="H31" i="10" l="1"/>
  <c r="E29" i="17" s="1"/>
  <c r="F31" i="10"/>
  <c r="D29" i="17" l="1"/>
  <c r="I31" i="10"/>
  <c r="J31" i="10"/>
  <c r="F29" i="17" l="1"/>
  <c r="G32" i="10"/>
  <c r="H32" i="10" l="1"/>
  <c r="E30" i="17" s="1"/>
  <c r="F32" i="10"/>
  <c r="D30" i="17" l="1"/>
  <c r="I32" i="10"/>
  <c r="J32" i="10"/>
  <c r="F30" i="17" l="1"/>
  <c r="G33" i="10"/>
  <c r="H33" i="10" l="1"/>
  <c r="E31" i="17" s="1"/>
  <c r="F33" i="10"/>
  <c r="D31" i="17" l="1"/>
  <c r="I33" i="10"/>
  <c r="J33" i="10"/>
  <c r="F31" i="17" l="1"/>
  <c r="G34" i="10"/>
  <c r="H34" i="10" l="1"/>
  <c r="E32" i="17" s="1"/>
  <c r="F34" i="10"/>
  <c r="D32" i="17" l="1"/>
  <c r="I34" i="10"/>
  <c r="J34" i="10"/>
  <c r="F32" i="17" l="1"/>
  <c r="G35" i="10"/>
  <c r="H35" i="10" l="1"/>
  <c r="E33" i="17" s="1"/>
  <c r="F35" i="10"/>
  <c r="D33" i="17" l="1"/>
  <c r="I35" i="10"/>
  <c r="J35" i="10"/>
  <c r="F33" i="17" l="1"/>
  <c r="G36" i="10"/>
  <c r="H36" i="10" l="1"/>
  <c r="E34" i="17" s="1"/>
  <c r="F36" i="10"/>
  <c r="D34" i="17" l="1"/>
  <c r="J36" i="10"/>
  <c r="I36" i="10"/>
  <c r="F34" i="17" l="1"/>
  <c r="G37" i="10"/>
  <c r="H37" i="10" l="1"/>
  <c r="E35" i="17" s="1"/>
  <c r="F37" i="10"/>
  <c r="D35" i="17" l="1"/>
  <c r="I37" i="10"/>
  <c r="J37" i="10"/>
  <c r="F35" i="17" s="1"/>
  <c r="G38" i="10" l="1"/>
  <c r="H38" i="10" l="1"/>
  <c r="E36" i="17" s="1"/>
  <c r="F38" i="10"/>
  <c r="D36" i="17" l="1"/>
  <c r="J38" i="10"/>
  <c r="I38" i="10"/>
  <c r="F36" i="17" l="1"/>
  <c r="G39" i="10"/>
  <c r="H39" i="10" l="1"/>
  <c r="E37" i="17" s="1"/>
  <c r="F39" i="10"/>
  <c r="D37" i="17" l="1"/>
  <c r="I39" i="10"/>
  <c r="J39" i="10"/>
  <c r="F37" i="17" l="1"/>
  <c r="G40" i="10"/>
  <c r="H40" i="10" l="1"/>
  <c r="E38" i="17" s="1"/>
  <c r="F40" i="10"/>
  <c r="D38" i="17" l="1"/>
  <c r="J40" i="10"/>
  <c r="I40" i="10"/>
  <c r="F38" i="17" l="1"/>
  <c r="G41" i="10"/>
  <c r="H41" i="10" l="1"/>
  <c r="E39" i="17" s="1"/>
  <c r="F41" i="10"/>
  <c r="D39" i="17" l="1"/>
  <c r="I41" i="10"/>
  <c r="J41" i="10"/>
  <c r="F39" i="17" l="1"/>
  <c r="G42" i="10"/>
  <c r="H42" i="10" l="1"/>
  <c r="E40" i="17" s="1"/>
  <c r="F42" i="10"/>
  <c r="D40" i="17" l="1"/>
  <c r="J42" i="10"/>
  <c r="I42" i="10"/>
  <c r="F40" i="17" l="1"/>
  <c r="G43" i="10"/>
  <c r="H43" i="10" l="1"/>
  <c r="E41" i="17" s="1"/>
  <c r="F43" i="10"/>
  <c r="D41" i="17" l="1"/>
  <c r="I43" i="10"/>
  <c r="J43" i="10"/>
  <c r="F41" i="17" l="1"/>
  <c r="G44" i="10"/>
  <c r="H44" i="10" l="1"/>
  <c r="F44" i="10"/>
  <c r="E42" i="17" l="1"/>
  <c r="D42" i="17"/>
  <c r="J44" i="10"/>
  <c r="I44" i="10"/>
  <c r="F42" i="17" l="1"/>
  <c r="G45" i="10"/>
  <c r="H45" i="10" l="1"/>
  <c r="F45" i="10"/>
  <c r="E43" i="17" l="1"/>
  <c r="D43" i="17"/>
  <c r="I45" i="10"/>
  <c r="J45" i="10"/>
  <c r="F43" i="17" l="1"/>
  <c r="G46" i="10"/>
  <c r="H46" i="10" l="1"/>
  <c r="F46" i="10"/>
  <c r="E44" i="17" l="1"/>
  <c r="D44" i="17"/>
  <c r="J46" i="10"/>
  <c r="I46" i="10"/>
  <c r="F44" i="17" l="1"/>
  <c r="G47" i="10"/>
  <c r="H47" i="10" l="1"/>
  <c r="F47" i="10"/>
  <c r="E45" i="17" l="1"/>
  <c r="D45" i="17"/>
  <c r="I47" i="10"/>
  <c r="J47" i="10"/>
  <c r="F45" i="17" l="1"/>
  <c r="G48" i="10"/>
  <c r="H48" i="10" l="1"/>
  <c r="F48" i="10"/>
  <c r="E46" i="17" l="1"/>
  <c r="D46" i="17"/>
  <c r="J48" i="10"/>
  <c r="I48" i="10"/>
  <c r="F46" i="17" l="1"/>
  <c r="G49" i="10"/>
  <c r="H49" i="10" l="1"/>
  <c r="F49" i="10"/>
  <c r="E47" i="17" l="1"/>
  <c r="D47" i="17"/>
  <c r="I49" i="10"/>
  <c r="J49" i="10"/>
  <c r="F47" i="17" l="1"/>
  <c r="G50" i="10"/>
  <c r="H50" i="10" l="1"/>
  <c r="F50" i="10"/>
  <c r="E48" i="17" l="1"/>
  <c r="D48" i="17"/>
  <c r="J50" i="10"/>
  <c r="I50" i="10"/>
  <c r="F48" i="17" l="1"/>
  <c r="G51" i="10"/>
  <c r="H51" i="10" l="1"/>
  <c r="F51" i="10"/>
  <c r="E49" i="17" l="1"/>
  <c r="D49" i="17"/>
  <c r="I51" i="10"/>
  <c r="J51" i="10"/>
  <c r="F49" i="17" l="1"/>
  <c r="G52" i="10"/>
  <c r="H52" i="10" l="1"/>
  <c r="F52" i="10"/>
  <c r="E50" i="17" l="1"/>
  <c r="D50" i="17"/>
  <c r="J52" i="10"/>
  <c r="I52" i="10"/>
  <c r="F50" i="17" l="1"/>
  <c r="G53" i="10"/>
  <c r="H53" i="10" l="1"/>
  <c r="F53" i="10"/>
  <c r="E51" i="17" l="1"/>
  <c r="D51" i="17"/>
  <c r="I53" i="10"/>
  <c r="J53" i="10"/>
  <c r="F51" i="17" l="1"/>
  <c r="G54" i="10"/>
  <c r="H54" i="10" l="1"/>
  <c r="F54" i="10"/>
  <c r="E52" i="17" l="1"/>
  <c r="D52" i="17"/>
  <c r="J54" i="10"/>
  <c r="I54" i="10"/>
  <c r="F52" i="17" l="1"/>
  <c r="G55" i="10"/>
  <c r="H55" i="10" l="1"/>
  <c r="F55" i="10"/>
  <c r="E53" i="17" l="1"/>
  <c r="D53" i="17"/>
  <c r="J55" i="10"/>
  <c r="I55" i="10"/>
  <c r="F53" i="17" l="1"/>
  <c r="G56" i="10"/>
  <c r="H56" i="10" l="1"/>
  <c r="F56" i="10"/>
  <c r="E54" i="17" l="1"/>
  <c r="D54" i="17"/>
  <c r="I56" i="10"/>
  <c r="J56" i="10"/>
  <c r="F54" i="17" l="1"/>
  <c r="G57" i="10"/>
  <c r="H57" i="10" l="1"/>
  <c r="F57" i="10"/>
  <c r="E55" i="17" l="1"/>
  <c r="D55" i="17"/>
  <c r="J57" i="10"/>
  <c r="I57" i="10"/>
  <c r="F55" i="17" l="1"/>
  <c r="G58" i="10"/>
  <c r="H58" i="10" l="1"/>
  <c r="F58" i="10"/>
  <c r="E56" i="17" l="1"/>
  <c r="D56" i="17"/>
  <c r="I58" i="10"/>
  <c r="J58" i="10"/>
  <c r="F56" i="17" l="1"/>
  <c r="G59" i="10"/>
  <c r="H59" i="10" l="1"/>
  <c r="F59" i="10"/>
  <c r="E57" i="17" l="1"/>
  <c r="D57" i="17"/>
  <c r="J59" i="10"/>
  <c r="I59" i="10"/>
  <c r="F57" i="17" l="1"/>
  <c r="G60" i="10"/>
  <c r="H60" i="10" l="1"/>
  <c r="F60" i="10"/>
  <c r="E58" i="17" l="1"/>
  <c r="D58" i="17"/>
  <c r="I60" i="10"/>
  <c r="J60" i="10"/>
  <c r="F58" i="17" l="1"/>
  <c r="G61" i="10"/>
  <c r="H61" i="10" l="1"/>
  <c r="F61" i="10"/>
  <c r="E59" i="17" l="1"/>
  <c r="D59" i="17"/>
  <c r="J61" i="10"/>
  <c r="I61" i="10"/>
  <c r="F59" i="17" l="1"/>
  <c r="G62" i="10"/>
  <c r="H62" i="10" l="1"/>
  <c r="F62" i="10"/>
  <c r="E60" i="17" l="1"/>
  <c r="D60" i="17"/>
  <c r="I62" i="10"/>
  <c r="J62" i="10"/>
  <c r="F60" i="17" l="1"/>
  <c r="G63" i="10"/>
  <c r="H63" i="10" l="1"/>
  <c r="F63" i="10"/>
  <c r="E61" i="17" l="1"/>
  <c r="D61" i="17"/>
  <c r="J63" i="10"/>
  <c r="I63" i="10"/>
  <c r="F61" i="17" l="1"/>
  <c r="G64" i="10"/>
  <c r="H64" i="10" l="1"/>
  <c r="F64" i="10"/>
  <c r="E62" i="17" l="1"/>
  <c r="D62" i="17"/>
  <c r="I64" i="10"/>
  <c r="J64" i="10"/>
  <c r="F62" i="17" l="1"/>
  <c r="G65" i="10"/>
  <c r="H65" i="10" l="1"/>
  <c r="F65" i="10"/>
  <c r="E63" i="17" l="1"/>
  <c r="D63" i="17"/>
  <c r="J65" i="10"/>
  <c r="I65" i="10"/>
  <c r="F63" i="17" l="1"/>
  <c r="G66" i="10"/>
  <c r="H66" i="10" l="1"/>
  <c r="F66" i="10"/>
  <c r="E64" i="17" l="1"/>
  <c r="D64" i="17"/>
  <c r="J66" i="10"/>
  <c r="I66" i="10"/>
  <c r="F64" i="17" l="1"/>
  <c r="G67" i="10"/>
  <c r="H67" i="10" l="1"/>
  <c r="F67" i="10"/>
  <c r="E65" i="17" l="1"/>
  <c r="D65" i="17"/>
  <c r="I67" i="10"/>
  <c r="J67" i="10"/>
  <c r="F65" i="17" l="1"/>
  <c r="G68" i="10"/>
  <c r="H68" i="10" l="1"/>
  <c r="F68" i="10"/>
  <c r="E66" i="17" l="1"/>
  <c r="D66" i="17"/>
  <c r="J68" i="10"/>
  <c r="I68" i="10"/>
  <c r="F66" i="17" l="1"/>
  <c r="G69" i="10"/>
  <c r="H69" i="10" l="1"/>
  <c r="F69" i="10"/>
  <c r="E67" i="17" l="1"/>
  <c r="D67" i="17"/>
  <c r="J69" i="10"/>
  <c r="I69" i="10"/>
  <c r="F67" i="17" l="1"/>
  <c r="G70" i="10"/>
  <c r="H70" i="10" l="1"/>
  <c r="F70" i="10"/>
  <c r="E68" i="17" l="1"/>
  <c r="D68" i="17"/>
  <c r="I70" i="10"/>
  <c r="J70" i="10"/>
  <c r="F68" i="17" l="1"/>
  <c r="G71" i="10"/>
  <c r="H71" i="10" l="1"/>
  <c r="F71" i="10"/>
  <c r="E69" i="17" l="1"/>
  <c r="D69" i="17"/>
  <c r="J71" i="10"/>
  <c r="I71" i="10"/>
  <c r="F69" i="17" l="1"/>
  <c r="G72" i="10"/>
  <c r="H72" i="10" l="1"/>
  <c r="F72" i="10"/>
  <c r="E70" i="17" l="1"/>
  <c r="D70" i="17"/>
  <c r="J72" i="10"/>
  <c r="I72" i="10"/>
  <c r="F70" i="17" l="1"/>
  <c r="G73" i="10"/>
  <c r="H73" i="10" l="1"/>
  <c r="F73" i="10"/>
  <c r="E71" i="17" l="1"/>
  <c r="D71" i="17"/>
  <c r="I73" i="10"/>
  <c r="J73" i="10"/>
  <c r="F71" i="17" l="1"/>
  <c r="G74" i="10"/>
  <c r="H74" i="10" l="1"/>
  <c r="F74" i="10"/>
  <c r="E72" i="17" l="1"/>
  <c r="D72" i="17"/>
  <c r="J74" i="10"/>
  <c r="I74" i="10"/>
  <c r="F72" i="17" l="1"/>
  <c r="G75" i="10"/>
  <c r="H75" i="10" l="1"/>
  <c r="F75" i="10"/>
  <c r="E73" i="17" l="1"/>
  <c r="D73" i="17"/>
  <c r="I75" i="10"/>
  <c r="J75" i="10"/>
  <c r="F73" i="17" l="1"/>
  <c r="G76" i="10"/>
  <c r="H76" i="10" l="1"/>
  <c r="F76" i="10"/>
  <c r="E74" i="17" l="1"/>
  <c r="D74" i="17"/>
  <c r="I76" i="10"/>
  <c r="J76" i="10"/>
  <c r="F74" i="17" l="1"/>
  <c r="G77" i="10"/>
  <c r="H77" i="10" l="1"/>
  <c r="E75" i="17" s="1"/>
  <c r="F77" i="10"/>
  <c r="D75" i="17" l="1"/>
  <c r="J77" i="10"/>
  <c r="I77" i="10"/>
  <c r="G78" i="10" l="1"/>
  <c r="F75" i="17"/>
  <c r="H78" i="10" l="1"/>
  <c r="E76" i="17" s="1"/>
  <c r="F78" i="10"/>
  <c r="D76" i="17" s="1"/>
  <c r="I78" i="10" l="1"/>
  <c r="J78" i="10"/>
  <c r="F76" i="17" s="1"/>
  <c r="W33" i="10"/>
  <c r="W32" i="10"/>
  <c r="X34" i="10"/>
  <c r="X39" i="10"/>
  <c r="W37" i="10"/>
  <c r="X35" i="10"/>
  <c r="W35" i="10"/>
  <c r="X40" i="10"/>
  <c r="X41" i="10"/>
  <c r="X33" i="10"/>
  <c r="W40" i="10"/>
  <c r="W38" i="10"/>
  <c r="W41" i="10"/>
  <c r="X38" i="10"/>
  <c r="X36" i="10"/>
  <c r="W42" i="10"/>
  <c r="X32" i="10"/>
  <c r="W36" i="10"/>
  <c r="X37" i="10"/>
  <c r="X42" i="10"/>
  <c r="W34" i="10"/>
  <c r="W39" i="10"/>
  <c r="X30" i="10"/>
  <c r="W30" i="10"/>
  <c r="W31" i="10"/>
  <c r="X31" i="10"/>
  <c r="G79" i="10" l="1"/>
  <c r="H79" i="10" l="1"/>
  <c r="E77" i="17" s="1"/>
  <c r="F79" i="10"/>
  <c r="D77" i="17" s="1"/>
  <c r="J79" i="10" l="1"/>
  <c r="F77" i="17" s="1"/>
  <c r="I79" i="10"/>
  <c r="G80" i="10" l="1"/>
  <c r="H80" i="10" l="1"/>
  <c r="E78" i="17" s="1"/>
  <c r="F80" i="10"/>
  <c r="D78" i="17" s="1"/>
  <c r="I80" i="10" l="1"/>
  <c r="J80" i="10"/>
  <c r="F78" i="17" s="1"/>
  <c r="G81" i="10" l="1"/>
  <c r="H81" i="10" l="1"/>
  <c r="E79" i="17" s="1"/>
  <c r="F81" i="10"/>
  <c r="D79" i="17" l="1"/>
  <c r="J81" i="10"/>
  <c r="I81" i="10"/>
  <c r="F79" i="17" l="1"/>
  <c r="G82" i="10"/>
  <c r="H82" i="10" l="1"/>
  <c r="E80" i="17" s="1"/>
  <c r="F82" i="10"/>
  <c r="D80" i="17" l="1"/>
  <c r="I82" i="10"/>
  <c r="J82" i="10"/>
  <c r="F80" i="17" l="1"/>
  <c r="G83" i="10"/>
  <c r="H83" i="10" l="1"/>
  <c r="F83" i="10"/>
  <c r="E81" i="17" l="1"/>
  <c r="D81" i="17"/>
  <c r="I83" i="10"/>
  <c r="J83" i="10"/>
  <c r="F81" i="17" l="1"/>
  <c r="G84" i="10"/>
  <c r="H84" i="10" l="1"/>
  <c r="F84" i="10"/>
  <c r="E82" i="17" l="1"/>
  <c r="D82" i="17"/>
  <c r="J84" i="10"/>
  <c r="I84" i="10"/>
  <c r="F82" i="17" l="1"/>
  <c r="G85" i="10"/>
  <c r="H85" i="10" l="1"/>
  <c r="F85" i="10"/>
  <c r="E83" i="17" l="1"/>
  <c r="D83" i="17"/>
  <c r="I85" i="10"/>
  <c r="J85" i="10"/>
  <c r="F83" i="17" l="1"/>
  <c r="G86" i="10"/>
  <c r="H86" i="10" l="1"/>
  <c r="F86" i="10"/>
  <c r="E84" i="17" l="1"/>
  <c r="D84" i="17"/>
  <c r="J86" i="10"/>
  <c r="I86" i="10"/>
  <c r="F84" i="17" l="1"/>
  <c r="G87" i="10"/>
  <c r="H87" i="10" l="1"/>
  <c r="E85" i="17" s="1"/>
  <c r="F87" i="10"/>
  <c r="D85" i="17" l="1"/>
  <c r="I87" i="10"/>
  <c r="J87" i="10"/>
  <c r="F85" i="17" l="1"/>
  <c r="G88" i="10"/>
  <c r="H88" i="10" l="1"/>
  <c r="F88" i="10"/>
  <c r="E86" i="17" l="1"/>
  <c r="D86" i="17"/>
  <c r="J88" i="10"/>
  <c r="I88" i="10"/>
  <c r="F86" i="17" l="1"/>
  <c r="G89" i="10"/>
  <c r="H89" i="10" l="1"/>
  <c r="F89" i="10"/>
  <c r="E87" i="17" l="1"/>
  <c r="D87" i="17"/>
  <c r="I89" i="10"/>
  <c r="J89" i="10"/>
  <c r="F87" i="17" l="1"/>
  <c r="G90" i="10"/>
  <c r="H90" i="10" l="1"/>
  <c r="F90" i="10"/>
  <c r="D88" i="17" l="1"/>
  <c r="I90" i="10"/>
  <c r="J90" i="10"/>
  <c r="F88" i="17" s="1"/>
  <c r="E88" i="17"/>
  <c r="G91" i="10" l="1"/>
  <c r="H91" i="10" l="1"/>
  <c r="F91" i="10"/>
  <c r="D89" i="17" s="1"/>
  <c r="E89" i="17" l="1"/>
  <c r="J91" i="10"/>
  <c r="F89" i="17" s="1"/>
  <c r="I91" i="10"/>
  <c r="G92" i="10" l="1"/>
  <c r="H92" i="10" l="1"/>
  <c r="F92" i="10"/>
  <c r="D90" i="17" s="1"/>
  <c r="E90" i="17" l="1"/>
  <c r="I92" i="10"/>
  <c r="J92" i="10"/>
  <c r="F90" i="17" s="1"/>
  <c r="G93" i="10" l="1"/>
  <c r="H93" i="10" l="1"/>
  <c r="F93" i="10"/>
  <c r="D91" i="17" s="1"/>
  <c r="E91" i="17" l="1"/>
  <c r="I93" i="10"/>
  <c r="J93" i="10"/>
  <c r="F91" i="17" s="1"/>
  <c r="G94" i="10" l="1"/>
  <c r="H94" i="10" l="1"/>
  <c r="F94" i="10"/>
  <c r="D92" i="17" s="1"/>
  <c r="E92" i="17" l="1"/>
  <c r="J94" i="10"/>
  <c r="F92" i="17" s="1"/>
  <c r="I94" i="10"/>
  <c r="G95" i="10" l="1"/>
  <c r="H95" i="10" l="1"/>
  <c r="F95" i="10"/>
  <c r="D93" i="17" s="1"/>
  <c r="E93" i="17" l="1"/>
  <c r="I95" i="10"/>
  <c r="J95" i="10"/>
  <c r="F93" i="17" s="1"/>
  <c r="G96" i="10" l="1"/>
  <c r="H96" i="10" l="1"/>
  <c r="F96" i="10"/>
  <c r="D94" i="17" s="1"/>
  <c r="E94" i="17" l="1"/>
  <c r="J96" i="10"/>
  <c r="F94" i="17" s="1"/>
  <c r="I96" i="10"/>
  <c r="G97" i="10" l="1"/>
  <c r="H97" i="10" l="1"/>
  <c r="F97" i="10"/>
  <c r="D95" i="17" s="1"/>
  <c r="E95" i="17" l="1"/>
  <c r="I97" i="10"/>
  <c r="J97" i="10"/>
  <c r="F95" i="17" s="1"/>
  <c r="G98" i="10" l="1"/>
  <c r="H98" i="10" l="1"/>
  <c r="F98" i="10"/>
  <c r="D96" i="17" s="1"/>
  <c r="E96" i="17" l="1"/>
  <c r="J98" i="10"/>
  <c r="F96" i="17" s="1"/>
  <c r="I98" i="10"/>
  <c r="G99" i="10" l="1"/>
  <c r="H99" i="10" l="1"/>
  <c r="F99" i="10"/>
  <c r="D97" i="17" s="1"/>
  <c r="E97" i="17" l="1"/>
  <c r="I99" i="10"/>
  <c r="J99" i="10"/>
  <c r="F97" i="17" s="1"/>
  <c r="G100" i="10" l="1"/>
  <c r="H100" i="10" l="1"/>
  <c r="F100" i="10"/>
  <c r="D98" i="17" s="1"/>
  <c r="E98" i="17" l="1"/>
  <c r="J100" i="10"/>
  <c r="F98" i="17" s="1"/>
  <c r="I100" i="10"/>
  <c r="G101" i="10" l="1"/>
  <c r="H101" i="10" l="1"/>
  <c r="F101" i="10"/>
  <c r="D99" i="17" s="1"/>
  <c r="E99" i="17" l="1"/>
  <c r="I101" i="10"/>
  <c r="J101" i="10"/>
  <c r="F99" i="17" s="1"/>
  <c r="G102" i="10" l="1"/>
  <c r="H102" i="10" l="1"/>
  <c r="F102" i="10"/>
  <c r="D100" i="17" s="1"/>
  <c r="E100" i="17" l="1"/>
  <c r="J102" i="10"/>
  <c r="F100" i="17" s="1"/>
  <c r="I102" i="10"/>
  <c r="G103" i="10" l="1"/>
  <c r="H103" i="10" l="1"/>
  <c r="F103" i="10"/>
  <c r="D101" i="17" s="1"/>
  <c r="E101" i="17" l="1"/>
  <c r="I103" i="10"/>
  <c r="J103" i="10"/>
  <c r="F101" i="17" s="1"/>
  <c r="G104" i="10" l="1"/>
  <c r="H104" i="10" l="1"/>
  <c r="F104" i="10"/>
  <c r="D102" i="17" s="1"/>
  <c r="E102" i="17" l="1"/>
  <c r="J104" i="10"/>
  <c r="F102" i="17" s="1"/>
  <c r="I104" i="10"/>
  <c r="G105" i="10" l="1"/>
  <c r="H105" i="10" l="1"/>
  <c r="F105" i="10"/>
  <c r="D103" i="17" s="1"/>
  <c r="E103" i="17" l="1"/>
  <c r="I105" i="10"/>
  <c r="J105" i="10"/>
  <c r="F103" i="17" s="1"/>
  <c r="G106" i="10" l="1"/>
  <c r="H106" i="10" l="1"/>
  <c r="F106" i="10"/>
  <c r="D104" i="17" s="1"/>
  <c r="E104" i="17" l="1"/>
  <c r="J106" i="10"/>
  <c r="F104" i="17" s="1"/>
  <c r="I106" i="10"/>
  <c r="G107" i="10" l="1"/>
  <c r="H107" i="10" l="1"/>
  <c r="F107" i="10"/>
  <c r="D105" i="17" s="1"/>
  <c r="E105" i="17" l="1"/>
  <c r="I107" i="10"/>
  <c r="J107" i="10"/>
  <c r="F105" i="17" s="1"/>
  <c r="G108" i="10" l="1"/>
  <c r="H108" i="10" l="1"/>
  <c r="F108" i="10"/>
  <c r="D106" i="17" s="1"/>
  <c r="E106" i="17" l="1"/>
  <c r="J108" i="10"/>
  <c r="F106" i="17" s="1"/>
  <c r="I108" i="10"/>
  <c r="G109" i="10" l="1"/>
  <c r="H109" i="10" l="1"/>
  <c r="F109" i="10"/>
  <c r="D107" i="17" s="1"/>
  <c r="E107" i="17" l="1"/>
  <c r="I109" i="10"/>
  <c r="J109" i="10"/>
  <c r="F107" i="17" s="1"/>
  <c r="G110" i="10" l="1"/>
  <c r="H110" i="10" l="1"/>
  <c r="F110" i="10"/>
  <c r="D108" i="17" s="1"/>
  <c r="E108" i="17" l="1"/>
  <c r="J110" i="10"/>
  <c r="F108" i="17" s="1"/>
  <c r="I110" i="10"/>
  <c r="G111" i="10" l="1"/>
  <c r="H111" i="10" l="1"/>
  <c r="F111" i="10"/>
  <c r="D109" i="17" s="1"/>
  <c r="E109" i="17" l="1"/>
  <c r="I111" i="10"/>
  <c r="J111" i="10"/>
  <c r="F109" i="17" s="1"/>
  <c r="G112" i="10" l="1"/>
  <c r="H112" i="10" l="1"/>
  <c r="F112" i="10"/>
  <c r="D110" i="17" s="1"/>
  <c r="E110" i="17" l="1"/>
  <c r="J112" i="10"/>
  <c r="F110" i="17" s="1"/>
  <c r="I112" i="10"/>
  <c r="G113" i="10" l="1"/>
  <c r="H113" i="10" l="1"/>
  <c r="F113" i="10"/>
  <c r="D111" i="17" s="1"/>
  <c r="E111" i="17" l="1"/>
  <c r="I113" i="10"/>
  <c r="J113" i="10"/>
  <c r="F111" i="17" s="1"/>
  <c r="G114" i="10" l="1"/>
  <c r="H114" i="10" l="1"/>
  <c r="F114" i="10"/>
  <c r="D112" i="17" s="1"/>
  <c r="E112" i="17" l="1"/>
  <c r="J114" i="10"/>
  <c r="F112" i="17" s="1"/>
  <c r="I114" i="10"/>
  <c r="G115" i="10" l="1"/>
  <c r="H115" i="10" l="1"/>
  <c r="F115" i="10"/>
  <c r="D113" i="17" s="1"/>
  <c r="E113" i="17" l="1"/>
  <c r="I115" i="10"/>
  <c r="J115" i="10"/>
  <c r="F113" i="17" s="1"/>
  <c r="G116" i="10" l="1"/>
  <c r="H116" i="10" l="1"/>
  <c r="F116" i="10"/>
  <c r="D114" i="17" s="1"/>
  <c r="E114" i="17" l="1"/>
  <c r="J116" i="10"/>
  <c r="F114" i="17" s="1"/>
  <c r="I116" i="10"/>
  <c r="G117" i="10" l="1"/>
  <c r="H117" i="10" l="1"/>
  <c r="F117" i="10"/>
  <c r="D115" i="17" s="1"/>
  <c r="E115" i="17" l="1"/>
  <c r="I117" i="10"/>
  <c r="J117" i="10"/>
  <c r="F115" i="17" s="1"/>
  <c r="G118" i="10" l="1"/>
  <c r="H118" i="10" l="1"/>
  <c r="F118" i="10"/>
  <c r="D116" i="17" s="1"/>
  <c r="E116" i="17" l="1"/>
  <c r="J118" i="10"/>
  <c r="F116" i="17" s="1"/>
  <c r="I118" i="10"/>
  <c r="G119" i="10" l="1"/>
  <c r="H119" i="10" l="1"/>
  <c r="F119" i="10"/>
  <c r="D117" i="17" s="1"/>
  <c r="E117" i="17" l="1"/>
  <c r="I119" i="10"/>
  <c r="J119" i="10"/>
  <c r="F117" i="17" s="1"/>
  <c r="G120" i="10" l="1"/>
  <c r="H120" i="10" l="1"/>
  <c r="F120" i="10"/>
  <c r="D118" i="17" s="1"/>
  <c r="E118" i="17" l="1"/>
  <c r="J120" i="10"/>
  <c r="F118" i="17" s="1"/>
  <c r="I120" i="10"/>
  <c r="G121" i="10" l="1"/>
  <c r="H121" i="10" l="1"/>
  <c r="F121" i="10"/>
  <c r="D119" i="17" s="1"/>
  <c r="E119" i="17" l="1"/>
  <c r="I121" i="10"/>
  <c r="J121" i="10"/>
  <c r="F119" i="17" s="1"/>
  <c r="G122" i="10" l="1"/>
  <c r="H122" i="10" l="1"/>
  <c r="E120" i="17" s="1"/>
  <c r="F122" i="10"/>
  <c r="D120" i="17" s="1"/>
  <c r="I122" i="10" l="1"/>
  <c r="J122" i="10"/>
  <c r="F120" i="17" s="1"/>
  <c r="G123" i="10" l="1"/>
  <c r="H123" i="10" l="1"/>
  <c r="F123" i="10"/>
  <c r="D121" i="17" s="1"/>
  <c r="E121" i="17" l="1"/>
  <c r="J123" i="10"/>
  <c r="F121" i="17" s="1"/>
  <c r="I123" i="10"/>
  <c r="G124" i="10" l="1"/>
  <c r="H124" i="10" l="1"/>
  <c r="F124" i="10"/>
  <c r="D122" i="17" s="1"/>
  <c r="E122" i="17" l="1"/>
  <c r="I124" i="10"/>
  <c r="J124" i="10"/>
  <c r="F122" i="17" s="1"/>
  <c r="G125" i="10" l="1"/>
  <c r="H125" i="10" l="1"/>
  <c r="F125" i="10"/>
  <c r="D123" i="17" s="1"/>
  <c r="J125" i="10" l="1"/>
  <c r="I125" i="10"/>
  <c r="E123" i="17"/>
  <c r="G126" i="10" l="1"/>
  <c r="F123" i="17"/>
  <c r="H126" i="10" l="1"/>
  <c r="F126" i="10"/>
  <c r="D124" i="17" l="1"/>
  <c r="I126" i="10"/>
  <c r="J126" i="10"/>
  <c r="E124" i="17"/>
  <c r="G127" i="10" l="1"/>
  <c r="F124" i="17"/>
  <c r="H127" i="10" l="1"/>
  <c r="F127" i="10"/>
  <c r="D125" i="17" l="1"/>
  <c r="J127" i="10"/>
  <c r="I127" i="10"/>
  <c r="E125" i="17"/>
  <c r="G128" i="10" l="1"/>
  <c r="F125" i="17"/>
  <c r="H128" i="10" l="1"/>
  <c r="F128" i="10"/>
  <c r="G3" i="10"/>
  <c r="D126" i="17" l="1"/>
  <c r="F3" i="10"/>
  <c r="N7" i="10" s="1"/>
  <c r="I128" i="10"/>
  <c r="J128" i="10"/>
  <c r="F126" i="17" s="1"/>
  <c r="E126" i="17"/>
  <c r="H3" i="10"/>
  <c r="F237" i="9" s="1"/>
  <c r="N237" i="9" s="1"/>
  <c r="C70" i="5" s="1"/>
  <c r="I24" i="1" s="1"/>
  <c r="N9" i="10" l="1"/>
  <c r="N6" i="10"/>
  <c r="R127" i="10"/>
  <c r="R128" i="10"/>
  <c r="R126" i="10"/>
  <c r="N2" i="10" l="1"/>
  <c r="X21" i="10" l="1"/>
  <c r="X10" i="10"/>
  <c r="X8" i="10"/>
  <c r="W10" i="10"/>
  <c r="X12" i="10"/>
  <c r="W17" i="10"/>
  <c r="W25" i="10"/>
  <c r="W20" i="10"/>
  <c r="X26" i="10"/>
  <c r="X19" i="10"/>
  <c r="W12" i="10"/>
  <c r="X22" i="10"/>
  <c r="W8" i="10"/>
  <c r="X17" i="10"/>
  <c r="X16" i="10"/>
  <c r="W6" i="10"/>
  <c r="W11" i="10"/>
  <c r="W21" i="10"/>
  <c r="X23" i="10"/>
  <c r="W19" i="10"/>
  <c r="X9" i="10"/>
  <c r="W14" i="10"/>
  <c r="X11" i="10"/>
  <c r="W22" i="10"/>
  <c r="X6" i="10"/>
  <c r="X14" i="10"/>
  <c r="X24" i="10"/>
  <c r="W15" i="10"/>
  <c r="X25" i="10"/>
  <c r="W26" i="10"/>
  <c r="W9" i="10"/>
  <c r="W18" i="10"/>
  <c r="X27" i="10"/>
  <c r="W28" i="10"/>
  <c r="W13" i="10"/>
  <c r="W7" i="10"/>
  <c r="X28" i="10"/>
  <c r="W27" i="10"/>
  <c r="W16" i="10"/>
  <c r="X7" i="10"/>
  <c r="X18" i="10"/>
  <c r="X13" i="10"/>
  <c r="X15" i="10"/>
  <c r="W23" i="10"/>
  <c r="W24" i="10"/>
  <c r="X20" i="10"/>
  <c r="W29" i="10"/>
  <c r="X29" i="10"/>
  <c r="R41" i="10"/>
  <c r="R102" i="10"/>
  <c r="R44" i="10"/>
  <c r="R39" i="10"/>
  <c r="R74" i="10"/>
  <c r="R119" i="10"/>
  <c r="R122" i="10"/>
  <c r="R114" i="10"/>
  <c r="R87" i="10"/>
  <c r="R110" i="10"/>
  <c r="R21" i="10"/>
  <c r="R50" i="10"/>
  <c r="R52" i="10"/>
  <c r="R66" i="10"/>
  <c r="R33" i="10"/>
  <c r="R81" i="10"/>
  <c r="R89" i="10"/>
  <c r="R76" i="10"/>
  <c r="R96" i="10"/>
  <c r="R67" i="10"/>
  <c r="R83" i="10"/>
  <c r="R77" i="10"/>
  <c r="R32" i="10"/>
  <c r="R112" i="10"/>
  <c r="R59" i="10"/>
  <c r="R49" i="10"/>
  <c r="R72" i="10"/>
  <c r="R20" i="10"/>
  <c r="R65" i="10"/>
  <c r="R55" i="10"/>
  <c r="R53" i="10"/>
  <c r="R42" i="10"/>
  <c r="R47" i="10"/>
  <c r="R30" i="10"/>
  <c r="R61" i="10"/>
  <c r="R38" i="10"/>
  <c r="R37" i="10"/>
  <c r="R120" i="10"/>
  <c r="R10" i="10"/>
  <c r="R46" i="10"/>
  <c r="R98" i="10"/>
  <c r="R24" i="10"/>
  <c r="R48" i="10"/>
  <c r="R12" i="10"/>
  <c r="R16" i="10"/>
  <c r="R93" i="10"/>
  <c r="R18" i="10"/>
  <c r="R17" i="10"/>
  <c r="R58" i="10"/>
  <c r="R14" i="10"/>
  <c r="R29" i="10"/>
  <c r="R78" i="10"/>
  <c r="R26" i="10"/>
  <c r="R36" i="10"/>
  <c r="R94" i="10"/>
  <c r="R111" i="10"/>
  <c r="R6" i="10"/>
  <c r="R22" i="10"/>
  <c r="R73" i="10"/>
  <c r="R45" i="10"/>
  <c r="R105" i="10"/>
  <c r="R100" i="10"/>
  <c r="R124" i="10"/>
  <c r="R118" i="10"/>
  <c r="R69" i="10"/>
  <c r="R31" i="10"/>
  <c r="R75" i="10"/>
  <c r="R92" i="10"/>
  <c r="R23" i="10"/>
  <c r="R27" i="10"/>
  <c r="R60" i="10"/>
  <c r="R7" i="10"/>
  <c r="R116" i="10"/>
  <c r="R104" i="10"/>
  <c r="R91" i="10"/>
  <c r="R123" i="10"/>
  <c r="R11" i="10"/>
  <c r="R64" i="10"/>
  <c r="R90" i="10"/>
  <c r="R117" i="10"/>
  <c r="R109" i="10"/>
  <c r="R82" i="10"/>
  <c r="R80" i="10"/>
  <c r="R51" i="10"/>
  <c r="R125" i="10"/>
  <c r="R40" i="10"/>
  <c r="R8" i="10"/>
  <c r="R68" i="10"/>
  <c r="R103" i="10"/>
  <c r="R28" i="10"/>
  <c r="R70" i="10"/>
  <c r="R95" i="10"/>
  <c r="R62" i="10"/>
  <c r="R101" i="10"/>
  <c r="R34" i="10"/>
  <c r="R19" i="10"/>
  <c r="R56" i="10"/>
  <c r="R25" i="10"/>
  <c r="R85" i="10"/>
  <c r="R121" i="10"/>
  <c r="R99" i="10"/>
  <c r="R108" i="10"/>
  <c r="R13" i="10"/>
  <c r="R106" i="10"/>
  <c r="R86" i="10"/>
  <c r="R84" i="10"/>
  <c r="R63" i="10"/>
  <c r="R15" i="10"/>
  <c r="R97" i="10"/>
  <c r="R54" i="10"/>
  <c r="R79" i="10"/>
  <c r="R115" i="10"/>
  <c r="R43" i="10"/>
  <c r="R113" i="10"/>
  <c r="R57" i="10"/>
  <c r="R35" i="10"/>
  <c r="R88" i="10"/>
  <c r="R71" i="10"/>
  <c r="R9" i="10"/>
  <c r="R107" i="10"/>
  <c r="W3" i="10" l="1"/>
  <c r="C52" i="5" s="1"/>
  <c r="X3" i="10"/>
  <c r="C51" i="5" s="1"/>
  <c r="I16" i="1" s="1"/>
  <c r="C53" i="5"/>
  <c r="I22" i="1" s="1"/>
  <c r="R3" i="10"/>
  <c r="C40" i="5" s="1"/>
  <c r="I10" i="1" s="1"/>
  <c r="I17" i="1" l="1"/>
  <c r="F17" i="1"/>
</calcChain>
</file>

<file path=xl/sharedStrings.xml><?xml version="1.0" encoding="utf-8"?>
<sst xmlns="http://schemas.openxmlformats.org/spreadsheetml/2006/main" count="1940" uniqueCount="420">
  <si>
    <t>Prezzo del bene</t>
  </si>
  <si>
    <t>Anticipo</t>
  </si>
  <si>
    <t>Importo da finanziare</t>
  </si>
  <si>
    <t>Prodotto</t>
  </si>
  <si>
    <t>Spese istruttoria</t>
  </si>
  <si>
    <t>maxirata %</t>
  </si>
  <si>
    <t>tan</t>
  </si>
  <si>
    <t>durata II tranche</t>
  </si>
  <si>
    <t>tan II tranche</t>
  </si>
  <si>
    <t>importo rata</t>
  </si>
  <si>
    <t>taeg</t>
  </si>
  <si>
    <t>totale dovuto</t>
  </si>
  <si>
    <t>importo premi assicurativi</t>
  </si>
  <si>
    <t>importo netto erogato</t>
  </si>
  <si>
    <t>assicurazione cpi</t>
  </si>
  <si>
    <t>assicurazione i/f</t>
  </si>
  <si>
    <t>CPI</t>
  </si>
  <si>
    <t>premio</t>
  </si>
  <si>
    <t>importo rata II</t>
  </si>
  <si>
    <t>Zona</t>
  </si>
  <si>
    <t>Valore Bene</t>
  </si>
  <si>
    <t>Durata Polizza</t>
  </si>
  <si>
    <t>%</t>
  </si>
  <si>
    <t>Rischio</t>
  </si>
  <si>
    <t>(fino a)</t>
  </si>
  <si>
    <t>Puntuale</t>
  </si>
  <si>
    <t>Premio</t>
  </si>
  <si>
    <t>EAT</t>
  </si>
  <si>
    <t>EAP</t>
  </si>
  <si>
    <t>EAB</t>
  </si>
  <si>
    <t>EAM</t>
  </si>
  <si>
    <t>QXT</t>
  </si>
  <si>
    <t>QXK</t>
  </si>
  <si>
    <t>UST</t>
  </si>
  <si>
    <t>USK</t>
  </si>
  <si>
    <t>durata</t>
  </si>
  <si>
    <t>provincia</t>
  </si>
  <si>
    <t xml:space="preserve">PROVINCIA </t>
  </si>
  <si>
    <t>ZONA</t>
  </si>
  <si>
    <t>BT</t>
  </si>
  <si>
    <t>FG</t>
  </si>
  <si>
    <t>BA</t>
  </si>
  <si>
    <t>BR</t>
  </si>
  <si>
    <t>KR</t>
  </si>
  <si>
    <t>LE</t>
  </si>
  <si>
    <t>NA</t>
  </si>
  <si>
    <t>PA</t>
  </si>
  <si>
    <t>RC</t>
  </si>
  <si>
    <t>SA</t>
  </si>
  <si>
    <t>SR</t>
  </si>
  <si>
    <t>TA</t>
  </si>
  <si>
    <t>AG</t>
  </si>
  <si>
    <t>AV</t>
  </si>
  <si>
    <t>BN</t>
  </si>
  <si>
    <t>CS</t>
  </si>
  <si>
    <t>CT</t>
  </si>
  <si>
    <t>CZ</t>
  </si>
  <si>
    <t>FR</t>
  </si>
  <si>
    <t>ME</t>
  </si>
  <si>
    <t>MT</t>
  </si>
  <si>
    <t>PZ</t>
  </si>
  <si>
    <t>RG</t>
  </si>
  <si>
    <t>RM</t>
  </si>
  <si>
    <t>TO</t>
  </si>
  <si>
    <t>VV</t>
  </si>
  <si>
    <t>AQ</t>
  </si>
  <si>
    <t>AT</t>
  </si>
  <si>
    <t>CH</t>
  </si>
  <si>
    <t>EN</t>
  </si>
  <si>
    <t>FE</t>
  </si>
  <si>
    <t>IM</t>
  </si>
  <si>
    <t>IS</t>
  </si>
  <si>
    <t>MB</t>
  </si>
  <si>
    <t>MI</t>
  </si>
  <si>
    <t>PE</t>
  </si>
  <si>
    <t>TP</t>
  </si>
  <si>
    <t>AL</t>
  </si>
  <si>
    <t>AN</t>
  </si>
  <si>
    <t>AO</t>
  </si>
  <si>
    <t>AP</t>
  </si>
  <si>
    <t>AR</t>
  </si>
  <si>
    <t>BG</t>
  </si>
  <si>
    <t>BI</t>
  </si>
  <si>
    <t>BL</t>
  </si>
  <si>
    <t>BO</t>
  </si>
  <si>
    <t>BS</t>
  </si>
  <si>
    <t>CA</t>
  </si>
  <si>
    <t>CB</t>
  </si>
  <si>
    <t>CL</t>
  </si>
  <si>
    <t>CN</t>
  </si>
  <si>
    <t>CO</t>
  </si>
  <si>
    <t>CR</t>
  </si>
  <si>
    <t>FC</t>
  </si>
  <si>
    <t>FI</t>
  </si>
  <si>
    <t>FM</t>
  </si>
  <si>
    <t>GE</t>
  </si>
  <si>
    <t>GO</t>
  </si>
  <si>
    <t>GR</t>
  </si>
  <si>
    <t>LC</t>
  </si>
  <si>
    <t>LI</t>
  </si>
  <si>
    <t>LO</t>
  </si>
  <si>
    <t>LT</t>
  </si>
  <si>
    <t>LU</t>
  </si>
  <si>
    <t>MC</t>
  </si>
  <si>
    <t>MN</t>
  </si>
  <si>
    <t>MO</t>
  </si>
  <si>
    <t>MS</t>
  </si>
  <si>
    <t>NO</t>
  </si>
  <si>
    <t>NU</t>
  </si>
  <si>
    <t>OR</t>
  </si>
  <si>
    <t>PC</t>
  </si>
  <si>
    <t>PD</t>
  </si>
  <si>
    <t>PG</t>
  </si>
  <si>
    <t>PI</t>
  </si>
  <si>
    <t>PN</t>
  </si>
  <si>
    <t>PO</t>
  </si>
  <si>
    <t>PR</t>
  </si>
  <si>
    <t>PT</t>
  </si>
  <si>
    <t>PU</t>
  </si>
  <si>
    <t>PV</t>
  </si>
  <si>
    <t>RA</t>
  </si>
  <si>
    <t>RE</t>
  </si>
  <si>
    <t>RI</t>
  </si>
  <si>
    <t>RN</t>
  </si>
  <si>
    <t>RO</t>
  </si>
  <si>
    <t>SI</t>
  </si>
  <si>
    <t>SO</t>
  </si>
  <si>
    <t>SP</t>
  </si>
  <si>
    <t>SS</t>
  </si>
  <si>
    <t>SU</t>
  </si>
  <si>
    <t>SV</t>
  </si>
  <si>
    <t>TE</t>
  </si>
  <si>
    <t>TN</t>
  </si>
  <si>
    <t>TV</t>
  </si>
  <si>
    <t>TR</t>
  </si>
  <si>
    <t>TS</t>
  </si>
  <si>
    <t>UD</t>
  </si>
  <si>
    <t>VA</t>
  </si>
  <si>
    <t>VB</t>
  </si>
  <si>
    <t>VC</t>
  </si>
  <si>
    <t>VE</t>
  </si>
  <si>
    <t>VI</t>
  </si>
  <si>
    <t>VR</t>
  </si>
  <si>
    <t>VT</t>
  </si>
  <si>
    <t>CE</t>
  </si>
  <si>
    <t>BZ</t>
  </si>
  <si>
    <t>età cliente</t>
  </si>
  <si>
    <t>QUIXA</t>
  </si>
  <si>
    <t>UNIPOL</t>
  </si>
  <si>
    <t>EUROPASSISTANCE</t>
  </si>
  <si>
    <t>classe rischio</t>
  </si>
  <si>
    <t>EAT - EUROPASSISTANCE</t>
  </si>
  <si>
    <t>EAP - EUROPASSISTANCE</t>
  </si>
  <si>
    <t>EAB - EUROPASSISTANCE</t>
  </si>
  <si>
    <t>EAM - EUROPASSISTANCE</t>
  </si>
  <si>
    <t>QXT - QUIXA</t>
  </si>
  <si>
    <t>QXK - QUIXA</t>
  </si>
  <si>
    <t>UST - UNIPOL</t>
  </si>
  <si>
    <t>USK - UNIPOL</t>
  </si>
  <si>
    <t>compagnia assicurativa</t>
  </si>
  <si>
    <t>COMPAGNIA</t>
  </si>
  <si>
    <t>concatena</t>
  </si>
  <si>
    <t>concatena i/f per premio</t>
  </si>
  <si>
    <t>concatena i/f per classe</t>
  </si>
  <si>
    <t>CLASSI DI RISCHIO</t>
  </si>
  <si>
    <t>INCENDIO/FURTO AUTO</t>
  </si>
  <si>
    <t>CREDITOR PROTECTION</t>
  </si>
  <si>
    <t>TEG SU I/F</t>
  </si>
  <si>
    <t>EASY CARE</t>
  </si>
  <si>
    <t>EASY DRIVE</t>
  </si>
  <si>
    <t>DURATA</t>
  </si>
  <si>
    <t>PREMIO</t>
  </si>
  <si>
    <t>EASY CARE/DRIVE</t>
  </si>
  <si>
    <t>POLIZZA</t>
  </si>
  <si>
    <t>POL</t>
  </si>
  <si>
    <t>importo</t>
  </si>
  <si>
    <t>massimale per provincia</t>
  </si>
  <si>
    <t>convalida sì/no</t>
  </si>
  <si>
    <t>Sì</t>
  </si>
  <si>
    <t>No</t>
  </si>
  <si>
    <t>interessi di procrastinazione su rata</t>
  </si>
  <si>
    <t>spese</t>
  </si>
  <si>
    <t>sp. bollo/anno</t>
  </si>
  <si>
    <t>sp. rendic/anno</t>
  </si>
  <si>
    <t>durata complessiva (p.a.+procr+mx)</t>
  </si>
  <si>
    <t>convalida prodotti</t>
  </si>
  <si>
    <t>Durata mesi (I)</t>
  </si>
  <si>
    <t>convalida procrastinazione</t>
  </si>
  <si>
    <t>Durata max per prodotto</t>
  </si>
  <si>
    <t>convalida durata mx II</t>
  </si>
  <si>
    <t>base calcolo per cpi</t>
  </si>
  <si>
    <t>prodotto</t>
  </si>
  <si>
    <t>Percentuale di premio "F/I per Teg</t>
  </si>
  <si>
    <t>Maxirata sì/no</t>
  </si>
  <si>
    <t>n. rata</t>
  </si>
  <si>
    <t>quota capitale</t>
  </si>
  <si>
    <t>quota interesse</t>
  </si>
  <si>
    <t>capitale residuo</t>
  </si>
  <si>
    <t>capitale estinto</t>
  </si>
  <si>
    <t>interesse corretto</t>
  </si>
  <si>
    <t>rata arrot.</t>
  </si>
  <si>
    <t>importo rata no procr. non arrotondata</t>
  </si>
  <si>
    <t>importo rata no procr. arrotondata</t>
  </si>
  <si>
    <t>TAN</t>
  </si>
  <si>
    <t>TAEG</t>
  </si>
  <si>
    <t>TEG</t>
  </si>
  <si>
    <t>spese incasso</t>
  </si>
  <si>
    <t>bollo</t>
  </si>
  <si>
    <t>rendicontaz.</t>
  </si>
  <si>
    <t>teg</t>
  </si>
  <si>
    <t>TAEG II</t>
  </si>
  <si>
    <t>Importo richiesto</t>
  </si>
  <si>
    <t>Durata mesi</t>
  </si>
  <si>
    <t>Importo Maxirata</t>
  </si>
  <si>
    <t>% Maxirata</t>
  </si>
  <si>
    <t>Tipologia polizza CPI</t>
  </si>
  <si>
    <t>quota contributo a carico dealer</t>
  </si>
  <si>
    <t>quota contributo a carico dealer %</t>
  </si>
  <si>
    <t>maxirata</t>
  </si>
  <si>
    <t>tan effettivo II tranche</t>
  </si>
  <si>
    <t>taeg II tranche</t>
  </si>
  <si>
    <t>teg II tranche</t>
  </si>
  <si>
    <t>TAN II</t>
  </si>
  <si>
    <t>TEG II</t>
  </si>
  <si>
    <t>BASE DT</t>
  </si>
  <si>
    <t>quota premio per teg</t>
  </si>
  <si>
    <t>CALCOLI</t>
  </si>
  <si>
    <t>Tan</t>
  </si>
  <si>
    <t>Durata 2a fase</t>
  </si>
  <si>
    <t>Importo rata</t>
  </si>
  <si>
    <t>Taeg</t>
  </si>
  <si>
    <t>Teg</t>
  </si>
  <si>
    <t>Importo rata 2a fase</t>
  </si>
  <si>
    <t>Importo finanziato</t>
  </si>
  <si>
    <t>Importo premi ass.vi</t>
  </si>
  <si>
    <t>Tan 2a fase</t>
  </si>
  <si>
    <t>Taeg 2a fase</t>
  </si>
  <si>
    <t>Teg 2a fase</t>
  </si>
  <si>
    <t>Netto erogato</t>
  </si>
  <si>
    <t>Totale dovuto</t>
  </si>
  <si>
    <t>Importo provvigioni</t>
  </si>
  <si>
    <t>Importo contributo</t>
  </si>
  <si>
    <t>convalida visibilità provvigioni</t>
  </si>
  <si>
    <t>RISTORNO
 SPESE</t>
  </si>
  <si>
    <t>PROVV. NE 
SU INT.</t>
  </si>
  <si>
    <t>PROVV.NI SU POLIZZE</t>
  </si>
  <si>
    <t>mesi</t>
  </si>
  <si>
    <t>Data nascita (GG/MM/AAAA)</t>
  </si>
  <si>
    <t>SOGLIA USURA TEG</t>
  </si>
  <si>
    <t>Prima rata a giorni</t>
  </si>
  <si>
    <t>importo finanziato fini tan</t>
  </si>
  <si>
    <t>importo finanziato fini teg</t>
  </si>
  <si>
    <t>importo finanziato fini taeg</t>
  </si>
  <si>
    <t>rata totale</t>
  </si>
  <si>
    <t>totale rata procr.</t>
  </si>
  <si>
    <t>PROCRASTIN. NON AMMESSA</t>
  </si>
  <si>
    <t>Valore bene</t>
  </si>
  <si>
    <t>Tasso</t>
  </si>
  <si>
    <t>Tasso 2a fase</t>
  </si>
  <si>
    <t>Decorrenza</t>
  </si>
  <si>
    <t>Set Informativi</t>
  </si>
  <si>
    <t>AC1_CL20808 Deutsche Bank - Set Informativo CPI_2023</t>
  </si>
  <si>
    <t>AC4_CL20809 Deutsche Bank - Set Informativo CPI_2023</t>
  </si>
  <si>
    <t>AC9_CL20810 Deutsche Bank - Set Informativo CPI_2023</t>
  </si>
  <si>
    <t>AC1 - COMPLETA</t>
  </si>
  <si>
    <t>AC4 - LIGHT</t>
  </si>
  <si>
    <t>AC9 - BASE</t>
  </si>
  <si>
    <t>In %</t>
  </si>
  <si>
    <t xml:space="preserve">          Piano d'ammortamento</t>
  </si>
  <si>
    <t>Rata</t>
  </si>
  <si>
    <t>Interesse 
procrastinazione</t>
  </si>
  <si>
    <t>Quota 
capitale</t>
  </si>
  <si>
    <t>Quota 
interesse</t>
  </si>
  <si>
    <t>Capitale 
residuo</t>
  </si>
  <si>
    <t>Importo 
rata</t>
  </si>
  <si>
    <t>(il seguente prospetto è da considerarsi solo a titolo indicativo)</t>
  </si>
  <si>
    <t>premio cpi ricalcolato</t>
  </si>
  <si>
    <t>premio totale</t>
  </si>
  <si>
    <t>convalida provv. dll</t>
  </si>
  <si>
    <t>No pr.</t>
  </si>
  <si>
    <t>DELTA TASSO</t>
  </si>
  <si>
    <t>PRODOTTO</t>
  </si>
  <si>
    <t>PROVV. 
SU M.I.</t>
  </si>
  <si>
    <t>PROVV. NE 
DT</t>
  </si>
  <si>
    <t xml:space="preserve">PROVV.NE
SU E </t>
  </si>
  <si>
    <t>NOME TABELLA</t>
  </si>
  <si>
    <t>Tabella</t>
  </si>
  <si>
    <t>TASSO 
RENDIM</t>
  </si>
  <si>
    <t>RISTORNO
S.I.P. %</t>
  </si>
  <si>
    <t>RISTORNO
S.I.P. FISSO</t>
  </si>
  <si>
    <t>BOLLI E RENDICONT.
SI/NO</t>
  </si>
  <si>
    <t>tabella</t>
  </si>
  <si>
    <t>AS</t>
  </si>
  <si>
    <t>CONCATENA NOME</t>
  </si>
  <si>
    <t>PDT</t>
  </si>
  <si>
    <t>rata rendimento base tasso di riferimento</t>
  </si>
  <si>
    <t>CONTRIBUTO</t>
  </si>
  <si>
    <t>TOTALE
PROVVIGIONI</t>
  </si>
  <si>
    <t>PROVV. 
SU CAPITALE</t>
  </si>
  <si>
    <t>SPESE 
INCASSO</t>
  </si>
  <si>
    <t>S.I.P. %</t>
  </si>
  <si>
    <t xml:space="preserve">          Condizioni commerciali - v. Condizioni libere</t>
  </si>
  <si>
    <t>contributo se tan ridotto</t>
  </si>
  <si>
    <t>procrastinazione tasso di riferimento</t>
  </si>
  <si>
    <t>valore attuale procrastinazione</t>
  </si>
  <si>
    <t>contributo se tan zero</t>
  </si>
  <si>
    <t>quota provvigioni a favore dealer %</t>
  </si>
  <si>
    <t>quota provvigioni a favore dealer</t>
  </si>
  <si>
    <t>importo finanziato per contributo (no ass)</t>
  </si>
  <si>
    <t>rata per calcolo contributo (no ass)</t>
  </si>
  <si>
    <t>tasso di riferimento provvigioni</t>
  </si>
  <si>
    <t xml:space="preserve">rata per provvigioni </t>
  </si>
  <si>
    <t>tasso di riferimento per contributo</t>
  </si>
  <si>
    <t>CONVALIDA PRODOTTO</t>
  </si>
  <si>
    <t>VISIBILITA' PRODOTTO</t>
  </si>
  <si>
    <t>convalida lordo</t>
  </si>
  <si>
    <t>SPESE CAPTIVE</t>
  </si>
  <si>
    <t>Erogazione al lordo</t>
  </si>
  <si>
    <t>Oneri procrast.</t>
  </si>
  <si>
    <t>IMPORTO MIN</t>
  </si>
  <si>
    <t>IMPORTO MAX</t>
  </si>
  <si>
    <t>DURATA DA</t>
  </si>
  <si>
    <t>DURATA A</t>
  </si>
  <si>
    <t>PROCR. MIN</t>
  </si>
  <si>
    <t>PROCR. MAX</t>
  </si>
  <si>
    <t>NOME TABELLA 1</t>
  </si>
  <si>
    <t>% MXRATA MIN</t>
  </si>
  <si>
    <t>% MXRATA MAX</t>
  </si>
  <si>
    <t>S.I.P. MIN</t>
  </si>
  <si>
    <t>S.I.P. MAX</t>
  </si>
  <si>
    <t>sp. inc.</t>
  </si>
  <si>
    <t>TYRE</t>
  </si>
  <si>
    <t>KASKO FIN.</t>
  </si>
  <si>
    <t>ALTRO_ARREDAMENTO</t>
  </si>
  <si>
    <t>ARREDAMENTO_SENIOR</t>
  </si>
  <si>
    <t>CUCINE</t>
  </si>
  <si>
    <t>IMBOTTITO</t>
  </si>
  <si>
    <t>AA</t>
  </si>
  <si>
    <t>CU</t>
  </si>
  <si>
    <t>DB MOBILIO</t>
  </si>
  <si>
    <t>MOBILIO</t>
  </si>
  <si>
    <t>db mobilio</t>
  </si>
  <si>
    <t>priemio</t>
  </si>
  <si>
    <t>POLIZZE</t>
  </si>
  <si>
    <t>BIKE</t>
  </si>
  <si>
    <t>CASA_PICCOLI_INTERVENTI</t>
  </si>
  <si>
    <t>CASA_PICCOLI_INTERVENTI_SENIOR</t>
  </si>
  <si>
    <t>CASA_GRANDI_INTERVENTI</t>
  </si>
  <si>
    <t>CASA_GRANDI_INTERVENTI_SENIOR</t>
  </si>
  <si>
    <t>FOTOVOLTAICO_AZIENDE</t>
  </si>
  <si>
    <t>ALTRI_BENI_AZIENDE</t>
  </si>
  <si>
    <t>AGGIORNATA AL</t>
  </si>
  <si>
    <t>BIKES</t>
  </si>
  <si>
    <t>MAXIRATA_BIKES</t>
  </si>
  <si>
    <t>ISTRUZIONE_FORMAZIONE</t>
  </si>
  <si>
    <t>ISTRUZIONE_E_FORMAZIONE</t>
  </si>
  <si>
    <t>bike</t>
  </si>
  <si>
    <t>DBE BIKE</t>
  </si>
  <si>
    <t>DBE MOBILIO</t>
  </si>
  <si>
    <t>PS</t>
  </si>
  <si>
    <t>GI</t>
  </si>
  <si>
    <t>FA</t>
  </si>
  <si>
    <t>AZ</t>
  </si>
  <si>
    <t>BK</t>
  </si>
  <si>
    <t>IF</t>
  </si>
  <si>
    <t>AC3</t>
  </si>
  <si>
    <t>VISUALIZZA</t>
  </si>
  <si>
    <t>DB BIKE</t>
  </si>
  <si>
    <t>convalida polizze</t>
  </si>
  <si>
    <t xml:space="preserve">          Calcolatrice P.O.S. - v. Condizioni libere</t>
  </si>
  <si>
    <t>VISIBILITA' CONTRIB.
SI / NO</t>
  </si>
  <si>
    <t>VISIBILITA' PROVV.
SI / NO / IN %</t>
  </si>
  <si>
    <t>EROGAZIONE 
AL LORDO</t>
  </si>
  <si>
    <t>RISTORNO 
SU PREMIO</t>
  </si>
  <si>
    <t>IMPIANTI_UDITIVI</t>
  </si>
  <si>
    <t>IMPIANTI_UDITIVI_SENIOR</t>
  </si>
  <si>
    <t>IU</t>
  </si>
  <si>
    <t xml:space="preserve">CONVALIDA CLASSE </t>
  </si>
  <si>
    <t>ARREDAMENTO</t>
  </si>
  <si>
    <t>CASA</t>
  </si>
  <si>
    <t>VISIBILITA' CLASSE</t>
  </si>
  <si>
    <t>ALTRI_BENI_E_SERVIZI</t>
  </si>
  <si>
    <t>CURE_MEDICHE</t>
  </si>
  <si>
    <t>CLASSE</t>
  </si>
  <si>
    <t>TAN 
MINIMO</t>
  </si>
  <si>
    <t>TAN 
MASSIMO</t>
  </si>
  <si>
    <t>TAN
SECONDA PARTE</t>
  </si>
  <si>
    <t>procr.</t>
  </si>
  <si>
    <t>Il presente calcolo è da considerarsi unicamente a titolo esemplicativo, non costituisce offerta al pubblico ai sensi dell'Art.1336 del Codice Civile e non sostituisce l'offerta Secci precontrattuale. 
Si prega di consultare Fogli Informativi e Documentazione Precontrattuale a vostra disposizione presso il punto vendita.</t>
  </si>
  <si>
    <t>TRATTAMENTI_ESTETICI</t>
  </si>
  <si>
    <t>FITNESS_&amp;_PALESTRE</t>
  </si>
  <si>
    <t>FP</t>
  </si>
  <si>
    <t>VIAGGI_&amp;_VACANZE</t>
  </si>
  <si>
    <t>TEMPO_LIBERO</t>
  </si>
  <si>
    <t>FITNESS_E_PALESTRE</t>
  </si>
  <si>
    <t>VIAGGI_E_VACANZE</t>
  </si>
  <si>
    <t>CURE_ODONTOIATRICHE</t>
  </si>
  <si>
    <t>CURE_ODONTOIATRICHE_ SENIOR</t>
  </si>
  <si>
    <t>CHIRURGIA_ESTETICA</t>
  </si>
  <si>
    <t>ALTRE_SPESE_MEDICHE</t>
  </si>
  <si>
    <t>CHIRURGIA_OCULARE</t>
  </si>
  <si>
    <t>CD</t>
  </si>
  <si>
    <t>SM</t>
  </si>
  <si>
    <t>PROCR. MAX 90GG</t>
  </si>
  <si>
    <t>COD.</t>
  </si>
  <si>
    <t>CURE_ODONTOIATRICHE_SENIOR</t>
  </si>
  <si>
    <t>CASA PICCOLI INTERVENTI</t>
  </si>
  <si>
    <t>ACCORDO NAZIONALE</t>
  </si>
  <si>
    <t>CONTRIBUTO
 CAPTIVE %</t>
  </si>
  <si>
    <t>NAUTICA</t>
  </si>
  <si>
    <t>GOMMONI_E_NATANTI</t>
  </si>
  <si>
    <t>ALTRI_VEICOLI_NON_TARGATI</t>
  </si>
  <si>
    <t>MOTORI_MARINI</t>
  </si>
  <si>
    <t>MM</t>
  </si>
  <si>
    <t>GN</t>
  </si>
  <si>
    <t>tan zero</t>
  </si>
  <si>
    <t>tan rid</t>
  </si>
  <si>
    <t>tan 9</t>
  </si>
  <si>
    <t xml:space="preserve">RYF </t>
  </si>
  <si>
    <t>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</si>
</sst>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_-;\-* #,##0.00_-;_-* &quot;-&quot;??_-;_-@_-"/>
    <numFmt numFmtId="165" formatCode="0.0000"/>
    <numFmt numFmtId="166" formatCode="#,##0.00_ ;\-#,##0.00\ "/>
    <numFmt numFmtId="167" formatCode="0.0000%"/>
    <numFmt numFmtId="168" formatCode="#,##0.00\ &quot;€&quot;"/>
    <numFmt numFmtId="169" formatCode="_-* #,##0.00\ [$€-410]_-;\-* #,##0.00\ [$€-410]_-;_-* &quot;-&quot;??\ [$€-410]_-;_-@_-"/>
    <numFmt numFmtId="170" formatCode="0.000%"/>
    <numFmt numFmtId="171" formatCode="#,##0.00\ &quot;€&quot;;[Red]#,##0.00\ &quot;€&quot;"/>
    <numFmt numFmtId="172" formatCode="[$-410]mmm\-yy;@"/>
    <numFmt numFmtId="173" formatCode="_-* #,##0.00000\ &quot;€&quot;_-;\-* #,##0.00000\ &quot;€&quot;_-;_-* &quot;-&quot;??\ &quot;€&quot;_-;_-@_-"/>
    <numFmt numFmtId="174" formatCode="#,##0_ ;\-#,##0\ "/>
    <numFmt numFmtId="175" formatCode="#,##0.00000\ &quot;€&quot;;[Red]\-#,##0.00000\ &quot;€&quot;"/>
    <numFmt numFmtId="176" formatCode="_-* #,##0.00000\ [$€-410]_-;\-* #,##0.00000\ [$€-410]_-;_-* &quot;-&quot;??\ [$€-410]_-;_-@_-"/>
    <numFmt numFmtId="177" formatCode="_-* #,##0_-;\-* #,##0_-;_-* &quot;-&quot;??_-;_-@_-"/>
    <numFmt numFmtId="178" formatCode="_-* #,##0.000\ &quot;€&quot;_-;\-* #,##0.000\ &quot;€&quot;_-;_-* &quot;-&quot;??\ &quot;€&quot;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Deutsche Bank Text"/>
      <family val="2"/>
    </font>
    <font>
      <sz val="10"/>
      <color rgb="FFFF0000"/>
      <name val="Deutsche Bank Text"/>
      <family val="2"/>
    </font>
    <font>
      <sz val="11"/>
      <color theme="1"/>
      <name val="Deutsche Bank Text"/>
      <family val="2"/>
    </font>
    <font>
      <b/>
      <sz val="8"/>
      <color theme="0"/>
      <name val="Deutsche Bank Text"/>
      <family val="2"/>
    </font>
    <font>
      <sz val="10"/>
      <name val="Deutsche Bank Text"/>
      <family val="2"/>
    </font>
    <font>
      <b/>
      <sz val="10"/>
      <color theme="1"/>
      <name val="Deutsche Bank Text"/>
      <family val="2"/>
    </font>
    <font>
      <sz val="10"/>
      <color theme="1"/>
      <name val="Abadi"/>
      <family val="2"/>
    </font>
    <font>
      <b/>
      <sz val="8"/>
      <name val="Verdana Pro Semibold"/>
      <family val="2"/>
    </font>
    <font>
      <sz val="8"/>
      <color theme="1"/>
      <name val="Verdana Pro Semibold"/>
      <family val="2"/>
    </font>
    <font>
      <sz val="8"/>
      <name val="Verdana Pro Semibold"/>
      <family val="2"/>
    </font>
    <font>
      <b/>
      <sz val="8"/>
      <color theme="1"/>
      <name val="Verdana Pro Semibold"/>
      <family val="2"/>
    </font>
    <font>
      <b/>
      <sz val="9"/>
      <color rgb="FFFF0000"/>
      <name val="Abadi"/>
      <family val="2"/>
    </font>
    <font>
      <i/>
      <sz val="9"/>
      <color theme="3"/>
      <name val="Abadi"/>
      <family val="2"/>
    </font>
    <font>
      <b/>
      <sz val="8"/>
      <color theme="3"/>
      <name val="Abadi"/>
      <family val="2"/>
    </font>
    <font>
      <sz val="8"/>
      <color rgb="FF00B050"/>
      <name val="Verdana Pro Semibold"/>
      <family val="2"/>
    </font>
    <font>
      <sz val="8"/>
      <color rgb="FFFF0000"/>
      <name val="Verdana Pro Semibold"/>
      <family val="2"/>
    </font>
    <font>
      <sz val="10"/>
      <color theme="0"/>
      <name val="Verdana Pro Black"/>
      <family val="2"/>
    </font>
    <font>
      <sz val="10"/>
      <color theme="1"/>
      <name val="Calibri"/>
      <family val="2"/>
      <scheme val="minor"/>
    </font>
    <font>
      <b/>
      <sz val="10"/>
      <name val="Deutsche Bank Text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Verdana Pro Black"/>
      <family val="2"/>
    </font>
    <font>
      <b/>
      <sz val="11"/>
      <color rgb="FFFF0000"/>
      <name val="Abadi"/>
      <family val="2"/>
    </font>
    <font>
      <sz val="8"/>
      <color theme="0"/>
      <name val="Verdana Pro Semibold"/>
      <family val="2"/>
    </font>
    <font>
      <b/>
      <sz val="8"/>
      <color theme="0"/>
      <name val="Verdana Pro Semibold"/>
      <family val="2"/>
    </font>
    <font>
      <sz val="11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Arial"/>
      <family val="2"/>
    </font>
    <font>
      <i/>
      <sz val="9"/>
      <color theme="1"/>
      <name val="Abadi"/>
      <family val="2"/>
    </font>
    <font>
      <b/>
      <sz val="8"/>
      <color theme="0" tint="-0.249977111117893"/>
      <name val="Verdana Pro Semibold"/>
      <family val="2"/>
    </font>
    <font>
      <sz val="10"/>
      <color theme="1"/>
      <name val="Deutsche Bank Display"/>
      <family val="2"/>
    </font>
    <font>
      <b/>
      <sz val="8"/>
      <color rgb="FF66FF33"/>
      <name val="Verdana Pro Semibold"/>
      <family val="2"/>
    </font>
    <font>
      <sz val="8"/>
      <color theme="0" tint="-0.499984740745262"/>
      <name val="Verdana Pro Semibold"/>
      <family val="2"/>
    </font>
    <font>
      <sz val="11"/>
      <color rgb="FFFF0000"/>
      <name val="Calibri"/>
      <family val="2"/>
      <scheme val="minor"/>
    </font>
    <font>
      <b/>
      <sz val="9"/>
      <color rgb="FF00B0F0"/>
      <name val="Abadi"/>
      <family val="2"/>
    </font>
    <font>
      <sz val="8"/>
      <color theme="1" tint="4.9989318521683403E-2"/>
      <name val="Verdana Pro Semibold"/>
      <family val="2"/>
    </font>
    <font>
      <b/>
      <sz val="8"/>
      <color theme="1" tint="4.9989318521683403E-2"/>
      <name val="Verdana Pro Semibold"/>
      <family val="2"/>
    </font>
    <font>
      <sz val="10"/>
      <color theme="1"/>
      <name val="Verdana Pro Semibold"/>
      <family val="2"/>
    </font>
    <font>
      <sz val="10"/>
      <name val="Verdana Pro Light"/>
      <family val="2"/>
    </font>
    <font>
      <sz val="10"/>
      <color theme="1"/>
      <name val="Verdana Pro Light"/>
      <family val="2"/>
    </font>
    <font>
      <b/>
      <sz val="10"/>
      <name val="Verdana Pro Light"/>
      <family val="2"/>
    </font>
    <font>
      <sz val="10"/>
      <color rgb="FFFF0000"/>
      <name val="Abadi"/>
      <family val="2"/>
    </font>
    <font>
      <b/>
      <sz val="9"/>
      <color theme="0"/>
      <name val="Abadi"/>
      <family val="2"/>
    </font>
    <font>
      <sz val="10"/>
      <color theme="0"/>
      <name val="Deutsche Bank Text"/>
      <family val="2"/>
    </font>
    <font>
      <sz val="10"/>
      <color theme="0"/>
      <name val="Abadi"/>
      <family val="2"/>
    </font>
    <font>
      <b/>
      <sz val="8"/>
      <color rgb="FFFF0000"/>
      <name val="Verdana Pro Semibold"/>
      <family val="2"/>
    </font>
    <font>
      <b/>
      <sz val="8"/>
      <color rgb="FFFF0000"/>
      <name val="Abadi"/>
      <family val="2"/>
    </font>
    <font>
      <u/>
      <sz val="8"/>
      <color theme="1"/>
      <name val="Verdana Pro Semibold"/>
      <family val="2"/>
    </font>
    <font>
      <u/>
      <sz val="8"/>
      <name val="Verdana Pro Semibold"/>
      <family val="2"/>
    </font>
  </fonts>
  <fills count="5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4D4C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mediumGray">
        <bgColor theme="0" tint="-0.14999847407452621"/>
      </patternFill>
    </fill>
    <fill>
      <patternFill patternType="mediumGray">
        <bgColor theme="0" tint="-4.9989318521683403E-2"/>
      </patternFill>
    </fill>
    <fill>
      <patternFill patternType="darkGray">
        <bgColor theme="4" tint="0.79995117038483843"/>
      </patternFill>
    </fill>
    <fill>
      <patternFill patternType="darkGray"/>
    </fill>
    <fill>
      <patternFill patternType="darkGray">
        <bgColor theme="1" tint="0.34998626667073579"/>
      </patternFill>
    </fill>
    <fill>
      <patternFill patternType="darkGray">
        <bgColor rgb="FFFFFF00"/>
      </patternFill>
    </fill>
    <fill>
      <patternFill patternType="darkGray">
        <bgColor theme="0" tint="-0.34998626667073579"/>
      </patternFill>
    </fill>
    <fill>
      <patternFill patternType="darkGray">
        <bgColor theme="4" tint="0.39997558519241921"/>
      </patternFill>
    </fill>
    <fill>
      <patternFill patternType="darkGray">
        <bgColor theme="8" tint="0.59999389629810485"/>
      </patternFill>
    </fill>
    <fill>
      <patternFill patternType="darkGray">
        <bgColor theme="1"/>
      </patternFill>
    </fill>
    <fill>
      <patternFill patternType="darkGray">
        <bgColor theme="7" tint="0.79998168889431442"/>
      </patternFill>
    </fill>
    <fill>
      <patternFill patternType="darkGray">
        <bgColor theme="9" tint="0.39997558519241921"/>
      </patternFill>
    </fill>
    <fill>
      <patternFill patternType="darkGray">
        <bgColor theme="0" tint="-0.14999847407452621"/>
      </patternFill>
    </fill>
    <fill>
      <patternFill patternType="darkGray">
        <bgColor theme="9" tint="0.79998168889431442"/>
      </patternFill>
    </fill>
    <fill>
      <patternFill patternType="solid">
        <fgColor theme="1" tint="0.34998626667073579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mediumGray">
        <bgColor theme="8" tint="0.79998168889431442"/>
      </patternFill>
    </fill>
    <fill>
      <patternFill patternType="mediumGray">
        <bgColor rgb="FFFFFFCC"/>
      </patternFill>
    </fill>
    <fill>
      <patternFill patternType="lightGray"/>
    </fill>
    <fill>
      <patternFill patternType="solid">
        <fgColor rgb="FFFF7A37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n">
        <color rgb="FFFF0000"/>
      </top>
      <bottom style="thin">
        <color rgb="FFFF0000"/>
      </bottom>
      <diagonal/>
    </border>
    <border>
      <left style="thick">
        <color rgb="FFFF0000"/>
      </left>
      <right/>
      <top style="thin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>
      <left style="thick">
        <color rgb="FFFF0000"/>
      </left>
      <right/>
      <top style="thick">
        <color rgb="FFFF0000"/>
      </top>
      <bottom style="thin">
        <color rgb="FFFF0000"/>
      </bottom>
      <diagonal/>
    </border>
    <border>
      <left/>
      <right/>
      <top style="thick">
        <color rgb="FFFF0000"/>
      </top>
      <bottom style="thin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rgb="FFFF0000"/>
      </top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 style="thick">
        <color rgb="FFFF0000"/>
      </left>
      <right/>
      <top style="thick">
        <color theme="4" tint="-0.499984740745262"/>
      </top>
      <bottom/>
      <diagonal/>
    </border>
    <border>
      <left style="thick">
        <color rgb="FFFF0000"/>
      </left>
      <right style="thick">
        <color rgb="FF002060"/>
      </right>
      <top style="thick">
        <color theme="4" tint="-0.499984740745262"/>
      </top>
      <bottom/>
      <diagonal/>
    </border>
    <border>
      <left style="thin">
        <color rgb="FFFF0000"/>
      </left>
      <right/>
      <top style="thick">
        <color rgb="FFFF0000"/>
      </top>
      <bottom/>
      <diagonal/>
    </border>
    <border>
      <left style="thick">
        <color theme="4" tint="-0.499984740745262"/>
      </left>
      <right/>
      <top style="thick">
        <color rgb="FFFF0000"/>
      </top>
      <bottom/>
      <diagonal/>
    </border>
    <border>
      <left style="thick">
        <color rgb="FFFF0000"/>
      </left>
      <right style="thick">
        <color rgb="FF002060"/>
      </right>
      <top style="thick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ck">
        <color theme="4" tint="-0.499984740745262"/>
      </left>
      <right/>
      <top style="thin">
        <color rgb="FFFF0000"/>
      </top>
      <bottom/>
      <diagonal/>
    </border>
    <border>
      <left style="thick">
        <color rgb="FFFF0000"/>
      </left>
      <right style="thick">
        <color rgb="FF00206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ck">
        <color theme="4" tint="-0.499984740745262"/>
      </top>
      <bottom/>
      <diagonal/>
    </border>
    <border>
      <left style="thin">
        <color rgb="FFFF0000"/>
      </left>
      <right/>
      <top style="thin">
        <color rgb="FFFF0000"/>
      </top>
      <bottom style="thick">
        <color rgb="FFFF0000"/>
      </bottom>
      <diagonal/>
    </border>
    <border>
      <left style="thick">
        <color theme="4" tint="-0.499984740745262"/>
      </left>
      <right/>
      <top style="thin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002060"/>
      </right>
      <top style="thin">
        <color rgb="FFFF0000"/>
      </top>
      <bottom style="thick">
        <color rgb="FFFF0000"/>
      </bottom>
      <diagonal/>
    </border>
    <border>
      <left/>
      <right/>
      <top style="thin">
        <color rgb="FFFF0000"/>
      </top>
      <bottom style="thick">
        <color rgb="FFFF0000"/>
      </bottom>
      <diagonal/>
    </border>
    <border>
      <left style="thin">
        <color rgb="FFFF0000"/>
      </left>
      <right/>
      <top style="thick">
        <color rgb="FFFF0000"/>
      </top>
      <bottom style="thin">
        <color rgb="FFFF0000"/>
      </bottom>
      <diagonal/>
    </border>
    <border>
      <left style="thick">
        <color theme="4" tint="-0.499984740745262"/>
      </left>
      <right/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00206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ck">
        <color theme="4" tint="-0.499984740745262"/>
      </left>
      <right/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00206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</cellStyleXfs>
  <cellXfs count="77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8" fontId="7" fillId="0" borderId="0" xfId="0" applyNumberFormat="1" applyFont="1"/>
    <xf numFmtId="8" fontId="8" fillId="0" borderId="0" xfId="0" applyNumberFormat="1" applyFont="1"/>
    <xf numFmtId="8" fontId="8" fillId="0" borderId="0" xfId="0" applyNumberFormat="1" applyFont="1" applyFill="1"/>
    <xf numFmtId="44" fontId="12" fillId="0" borderId="0" xfId="4" applyFont="1" applyAlignment="1">
      <alignment horizontal="center"/>
    </xf>
    <xf numFmtId="0" fontId="7" fillId="0" borderId="0" xfId="0" applyFont="1" applyBorder="1"/>
    <xf numFmtId="44" fontId="7" fillId="0" borderId="46" xfId="4" applyFont="1" applyBorder="1"/>
    <xf numFmtId="0" fontId="24" fillId="0" borderId="0" xfId="0" applyFont="1"/>
    <xf numFmtId="44" fontId="12" fillId="0" borderId="0" xfId="0" applyNumberFormat="1" applyFont="1" applyAlignment="1">
      <alignment horizontal="center"/>
    </xf>
    <xf numFmtId="44" fontId="12" fillId="0" borderId="46" xfId="4" applyFont="1" applyBorder="1"/>
    <xf numFmtId="44" fontId="7" fillId="2" borderId="62" xfId="0" applyNumberFormat="1" applyFont="1" applyFill="1" applyBorder="1"/>
    <xf numFmtId="44" fontId="7" fillId="10" borderId="0" xfId="4" applyFont="1" applyFill="1" applyBorder="1"/>
    <xf numFmtId="44" fontId="7" fillId="6" borderId="46" xfId="0" applyNumberFormat="1" applyFont="1" applyFill="1" applyBorder="1"/>
    <xf numFmtId="170" fontId="12" fillId="0" borderId="0" xfId="1" applyNumberFormat="1" applyFont="1" applyFill="1"/>
    <xf numFmtId="7" fontId="11" fillId="11" borderId="0" xfId="0" applyNumberFormat="1" applyFont="1" applyFill="1" applyBorder="1"/>
    <xf numFmtId="44" fontId="11" fillId="13" borderId="46" xfId="4" applyFont="1" applyFill="1" applyBorder="1"/>
    <xf numFmtId="170" fontId="7" fillId="0" borderId="0" xfId="1" applyNumberFormat="1" applyFont="1"/>
    <xf numFmtId="0" fontId="12" fillId="0" borderId="0" xfId="0" applyFont="1" applyAlignment="1">
      <alignment horizontal="center"/>
    </xf>
    <xf numFmtId="8" fontId="12" fillId="0" borderId="0" xfId="0" applyNumberFormat="1" applyFont="1" applyAlignment="1">
      <alignment horizontal="center"/>
    </xf>
    <xf numFmtId="8" fontId="12" fillId="0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 applyAlignment="1">
      <alignment horizontal="center"/>
    </xf>
    <xf numFmtId="44" fontId="7" fillId="0" borderId="0" xfId="4" applyFont="1" applyFill="1" applyBorder="1"/>
    <xf numFmtId="170" fontId="12" fillId="10" borderId="0" xfId="1" applyNumberFormat="1" applyFont="1" applyFill="1" applyBorder="1"/>
    <xf numFmtId="170" fontId="12" fillId="6" borderId="46" xfId="1" applyNumberFormat="1" applyFont="1" applyFill="1" applyBorder="1"/>
    <xf numFmtId="44" fontId="25" fillId="0" borderId="0" xfId="4" applyFont="1" applyFill="1" applyAlignment="1">
      <alignment horizontal="center"/>
    </xf>
    <xf numFmtId="170" fontId="12" fillId="11" borderId="0" xfId="1" applyNumberFormat="1" applyFont="1" applyFill="1" applyBorder="1"/>
    <xf numFmtId="170" fontId="12" fillId="13" borderId="46" xfId="1" applyNumberFormat="1" applyFont="1" applyFill="1" applyBorder="1"/>
    <xf numFmtId="0" fontId="12" fillId="0" borderId="44" xfId="0" applyFont="1" applyBorder="1" applyAlignment="1">
      <alignment horizontal="center"/>
    </xf>
    <xf numFmtId="8" fontId="12" fillId="0" borderId="47" xfId="0" applyNumberFormat="1" applyFont="1" applyBorder="1" applyAlignment="1">
      <alignment horizontal="center"/>
    </xf>
    <xf numFmtId="8" fontId="12" fillId="0" borderId="47" xfId="0" applyNumberFormat="1" applyFont="1" applyFill="1" applyBorder="1" applyAlignment="1">
      <alignment horizontal="center"/>
    </xf>
    <xf numFmtId="0" fontId="12" fillId="0" borderId="47" xfId="0" applyFont="1" applyBorder="1"/>
    <xf numFmtId="0" fontId="12" fillId="9" borderId="47" xfId="0" applyFont="1" applyFill="1" applyBorder="1"/>
    <xf numFmtId="44" fontId="12" fillId="0" borderId="63" xfId="4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7" xfId="0" applyFont="1" applyFill="1" applyBorder="1"/>
    <xf numFmtId="0" fontId="12" fillId="2" borderId="44" xfId="0" applyFont="1" applyFill="1" applyBorder="1" applyAlignment="1">
      <alignment horizontal="center"/>
    </xf>
    <xf numFmtId="0" fontId="12" fillId="10" borderId="47" xfId="0" applyFont="1" applyFill="1" applyBorder="1" applyAlignment="1">
      <alignment horizontal="center"/>
    </xf>
    <xf numFmtId="0" fontId="12" fillId="6" borderId="63" xfId="0" applyFont="1" applyFill="1" applyBorder="1" applyAlignment="1">
      <alignment horizontal="center"/>
    </xf>
    <xf numFmtId="44" fontId="25" fillId="0" borderId="0" xfId="4" applyFont="1" applyFill="1"/>
    <xf numFmtId="0" fontId="12" fillId="11" borderId="47" xfId="0" applyFont="1" applyFill="1" applyBorder="1" applyAlignment="1">
      <alignment horizontal="center"/>
    </xf>
    <xf numFmtId="44" fontId="25" fillId="13" borderId="63" xfId="4" applyFont="1" applyFill="1" applyBorder="1" applyAlignment="1">
      <alignment horizontal="center"/>
    </xf>
    <xf numFmtId="0" fontId="12" fillId="0" borderId="0" xfId="0" applyFont="1"/>
    <xf numFmtId="8" fontId="7" fillId="0" borderId="0" xfId="0" applyNumberFormat="1" applyFont="1" applyFill="1"/>
    <xf numFmtId="0" fontId="7" fillId="9" borderId="0" xfId="0" applyFont="1" applyFill="1"/>
    <xf numFmtId="44" fontId="7" fillId="0" borderId="0" xfId="4" applyFont="1" applyBorder="1"/>
    <xf numFmtId="44" fontId="11" fillId="0" borderId="0" xfId="4" applyFont="1" applyFill="1"/>
    <xf numFmtId="44" fontId="7" fillId="0" borderId="0" xfId="4" applyFont="1"/>
    <xf numFmtId="44" fontId="7" fillId="0" borderId="0" xfId="4" applyFont="1" applyFill="1"/>
    <xf numFmtId="44" fontId="7" fillId="9" borderId="0" xfId="4" applyFont="1" applyFill="1" applyBorder="1"/>
    <xf numFmtId="44" fontId="12" fillId="14" borderId="0" xfId="4" applyFont="1" applyFill="1" applyBorder="1"/>
    <xf numFmtId="44" fontId="12" fillId="2" borderId="46" xfId="4" applyFont="1" applyFill="1" applyBorder="1"/>
    <xf numFmtId="44" fontId="7" fillId="10" borderId="0" xfId="0" applyNumberFormat="1" applyFont="1" applyFill="1" applyBorder="1"/>
    <xf numFmtId="44" fontId="7" fillId="11" borderId="0" xfId="0" applyNumberFormat="1" applyFont="1" applyFill="1" applyBorder="1"/>
    <xf numFmtId="44" fontId="7" fillId="0" borderId="0" xfId="0" applyNumberFormat="1" applyFont="1"/>
    <xf numFmtId="0" fontId="11" fillId="0" borderId="0" xfId="0" applyFont="1" applyFill="1"/>
    <xf numFmtId="0" fontId="7" fillId="0" borderId="0" xfId="0" applyFont="1" applyFill="1"/>
    <xf numFmtId="0" fontId="11" fillId="0" borderId="0" xfId="0" applyFont="1"/>
    <xf numFmtId="0" fontId="7" fillId="16" borderId="60" xfId="0" applyFont="1" applyFill="1" applyBorder="1"/>
    <xf numFmtId="0" fontId="12" fillId="16" borderId="64" xfId="0" applyFont="1" applyFill="1" applyBorder="1" applyAlignment="1">
      <alignment horizontal="center"/>
    </xf>
    <xf numFmtId="7" fontId="11" fillId="17" borderId="62" xfId="0" applyNumberFormat="1" applyFont="1" applyFill="1" applyBorder="1"/>
    <xf numFmtId="170" fontId="12" fillId="17" borderId="62" xfId="1" applyNumberFormat="1" applyFont="1" applyFill="1" applyBorder="1"/>
    <xf numFmtId="0" fontId="12" fillId="17" borderId="61" xfId="0" applyFont="1" applyFill="1" applyBorder="1" applyAlignment="1">
      <alignment horizontal="center"/>
    </xf>
    <xf numFmtId="0" fontId="12" fillId="2" borderId="0" xfId="0" applyFont="1" applyFill="1"/>
    <xf numFmtId="170" fontId="7" fillId="16" borderId="60" xfId="1" applyNumberFormat="1" applyFont="1" applyFill="1" applyBorder="1"/>
    <xf numFmtId="44" fontId="7" fillId="16" borderId="60" xfId="0" applyNumberFormat="1" applyFont="1" applyFill="1" applyBorder="1"/>
    <xf numFmtId="0" fontId="0" fillId="8" borderId="0" xfId="0" applyFill="1"/>
    <xf numFmtId="0" fontId="2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4" fontId="25" fillId="0" borderId="0" xfId="4" applyFont="1" applyFill="1" applyBorder="1"/>
    <xf numFmtId="44" fontId="11" fillId="0" borderId="0" xfId="4" applyFont="1" applyFill="1" applyBorder="1"/>
    <xf numFmtId="44" fontId="25" fillId="0" borderId="0" xfId="4" applyFont="1" applyFill="1" applyBorder="1" applyAlignment="1">
      <alignment horizontal="center"/>
    </xf>
    <xf numFmtId="0" fontId="32" fillId="0" borderId="0" xfId="0" applyFont="1" applyProtection="1">
      <protection hidden="1"/>
    </xf>
    <xf numFmtId="0" fontId="33" fillId="2" borderId="26" xfId="0" applyFont="1" applyFill="1" applyBorder="1" applyAlignment="1" applyProtection="1">
      <alignment horizontal="center" vertical="center"/>
      <protection hidden="1"/>
    </xf>
    <xf numFmtId="8" fontId="33" fillId="2" borderId="27" xfId="0" applyNumberFormat="1" applyFont="1" applyFill="1" applyBorder="1" applyAlignment="1" applyProtection="1">
      <alignment horizontal="center" vertical="center" wrapText="1"/>
      <protection hidden="1"/>
    </xf>
    <xf numFmtId="0" fontId="33" fillId="2" borderId="27" xfId="0" applyFont="1" applyFill="1" applyBorder="1" applyAlignment="1" applyProtection="1">
      <alignment horizontal="center" vertical="center" wrapText="1"/>
      <protection hidden="1"/>
    </xf>
    <xf numFmtId="44" fontId="33" fillId="2" borderId="28" xfId="4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1" fillId="0" borderId="0" xfId="0" applyFont="1" applyProtection="1">
      <protection hidden="1"/>
    </xf>
    <xf numFmtId="164" fontId="31" fillId="0" borderId="0" xfId="2" applyFont="1" applyProtection="1">
      <protection hidden="1"/>
    </xf>
    <xf numFmtId="4" fontId="31" fillId="0" borderId="0" xfId="2" applyNumberFormat="1" applyFont="1" applyProtection="1">
      <protection hidden="1"/>
    </xf>
    <xf numFmtId="173" fontId="7" fillId="16" borderId="60" xfId="0" applyNumberFormat="1" applyFont="1" applyFill="1" applyBorder="1"/>
    <xf numFmtId="0" fontId="36" fillId="0" borderId="0" xfId="0" applyFont="1"/>
    <xf numFmtId="0" fontId="17" fillId="0" borderId="73" xfId="0" applyFont="1" applyFill="1" applyBorder="1" applyAlignment="1">
      <alignment horizontal="center" vertical="center"/>
    </xf>
    <xf numFmtId="0" fontId="15" fillId="0" borderId="0" xfId="0" applyFont="1"/>
    <xf numFmtId="0" fontId="15" fillId="19" borderId="71" xfId="0" applyFont="1" applyFill="1" applyBorder="1" applyAlignment="1"/>
    <xf numFmtId="0" fontId="15" fillId="0" borderId="77" xfId="0" applyFont="1" applyBorder="1"/>
    <xf numFmtId="167" fontId="12" fillId="2" borderId="62" xfId="1" applyNumberFormat="1" applyFont="1" applyFill="1" applyBorder="1"/>
    <xf numFmtId="0" fontId="15" fillId="0" borderId="78" xfId="0" applyFont="1" applyBorder="1"/>
    <xf numFmtId="0" fontId="36" fillId="0" borderId="0" xfId="0" applyFont="1" applyFill="1" applyAlignment="1">
      <alignment horizontal="center"/>
    </xf>
    <xf numFmtId="0" fontId="44" fillId="2" borderId="22" xfId="3" applyFont="1" applyFill="1" applyBorder="1" applyAlignment="1">
      <alignment vertical="center"/>
    </xf>
    <xf numFmtId="0" fontId="44" fillId="2" borderId="24" xfId="3" applyFont="1" applyFill="1" applyBorder="1" applyAlignment="1">
      <alignment vertical="center"/>
    </xf>
    <xf numFmtId="164" fontId="44" fillId="0" borderId="31" xfId="2" applyFont="1" applyFill="1" applyBorder="1" applyAlignment="1">
      <alignment vertical="center"/>
    </xf>
    <xf numFmtId="2" fontId="45" fillId="2" borderId="30" xfId="3" applyNumberFormat="1" applyFont="1" applyFill="1" applyBorder="1" applyAlignment="1">
      <alignment vertical="center"/>
    </xf>
    <xf numFmtId="2" fontId="45" fillId="8" borderId="43" xfId="3" applyNumberFormat="1" applyFont="1" applyFill="1" applyBorder="1" applyAlignment="1">
      <alignment vertical="center"/>
    </xf>
    <xf numFmtId="0" fontId="45" fillId="0" borderId="34" xfId="0" applyFont="1" applyFill="1" applyBorder="1" applyAlignment="1">
      <alignment vertical="center"/>
    </xf>
    <xf numFmtId="164" fontId="44" fillId="0" borderId="12" xfId="2" applyFont="1" applyBorder="1" applyAlignment="1">
      <alignment vertical="center"/>
    </xf>
    <xf numFmtId="0" fontId="44" fillId="2" borderId="15" xfId="3" applyFont="1" applyFill="1" applyBorder="1" applyAlignment="1">
      <alignment vertical="center"/>
    </xf>
    <xf numFmtId="0" fontId="44" fillId="2" borderId="16" xfId="3" applyFont="1" applyFill="1" applyBorder="1" applyAlignment="1">
      <alignment vertical="center"/>
    </xf>
    <xf numFmtId="2" fontId="44" fillId="0" borderId="34" xfId="3" applyNumberFormat="1" applyFont="1" applyBorder="1" applyAlignment="1">
      <alignment vertical="center"/>
    </xf>
    <xf numFmtId="0" fontId="44" fillId="2" borderId="17" xfId="3" applyFont="1" applyFill="1" applyBorder="1" applyAlignment="1">
      <alignment vertical="center"/>
    </xf>
    <xf numFmtId="0" fontId="44" fillId="2" borderId="18" xfId="3" applyFont="1" applyFill="1" applyBorder="1" applyAlignment="1">
      <alignment vertical="center"/>
    </xf>
    <xf numFmtId="164" fontId="44" fillId="0" borderId="79" xfId="2" applyFont="1" applyBorder="1" applyAlignment="1">
      <alignment vertical="center"/>
    </xf>
    <xf numFmtId="164" fontId="44" fillId="0" borderId="80" xfId="2" applyFont="1" applyFill="1" applyBorder="1" applyAlignment="1">
      <alignment vertical="center"/>
    </xf>
    <xf numFmtId="2" fontId="44" fillId="0" borderId="40" xfId="3" applyNumberFormat="1" applyFont="1" applyBorder="1" applyAlignment="1">
      <alignment vertical="center"/>
    </xf>
    <xf numFmtId="2" fontId="45" fillId="2" borderId="8" xfId="3" applyNumberFormat="1" applyFont="1" applyFill="1" applyBorder="1" applyAlignment="1">
      <alignment vertical="center"/>
    </xf>
    <xf numFmtId="2" fontId="45" fillId="8" borderId="7" xfId="3" applyNumberFormat="1" applyFont="1" applyFill="1" applyBorder="1" applyAlignment="1">
      <alignment vertical="center"/>
    </xf>
    <xf numFmtId="0" fontId="45" fillId="0" borderId="40" xfId="0" applyFont="1" applyFill="1" applyBorder="1" applyAlignment="1">
      <alignment vertical="center"/>
    </xf>
    <xf numFmtId="0" fontId="46" fillId="12" borderId="32" xfId="3" applyFont="1" applyFill="1" applyBorder="1" applyAlignment="1">
      <alignment vertical="center"/>
    </xf>
    <xf numFmtId="0" fontId="46" fillId="8" borderId="32" xfId="3" applyFont="1" applyFill="1" applyBorder="1" applyAlignment="1">
      <alignment vertical="center"/>
    </xf>
    <xf numFmtId="0" fontId="46" fillId="12" borderId="51" xfId="3" applyFont="1" applyFill="1" applyBorder="1" applyAlignment="1">
      <alignment vertical="center"/>
    </xf>
    <xf numFmtId="0" fontId="7" fillId="8" borderId="0" xfId="0" applyFont="1" applyFill="1" applyAlignment="1" applyProtection="1">
      <alignment vertical="center"/>
      <protection hidden="1"/>
    </xf>
    <xf numFmtId="0" fontId="7" fillId="8" borderId="0" xfId="0" applyFont="1" applyFill="1" applyAlignment="1" applyProtection="1">
      <alignment horizontal="right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2" fillId="8" borderId="0" xfId="0" applyFont="1" applyFill="1" applyAlignment="1" applyProtection="1">
      <alignment vertical="center"/>
      <protection hidden="1"/>
    </xf>
    <xf numFmtId="0" fontId="7" fillId="12" borderId="0" xfId="0" applyFont="1" applyFill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horizontal="center" vertical="center"/>
      <protection hidden="1"/>
    </xf>
    <xf numFmtId="168" fontId="7" fillId="8" borderId="0" xfId="0" applyNumberFormat="1" applyFont="1" applyFill="1" applyAlignment="1" applyProtection="1">
      <alignment vertical="center"/>
      <protection hidden="1"/>
    </xf>
    <xf numFmtId="0" fontId="15" fillId="8" borderId="0" xfId="0" applyFont="1" applyFill="1" applyAlignment="1" applyProtection="1">
      <alignment vertical="center"/>
      <protection hidden="1"/>
    </xf>
    <xf numFmtId="0" fontId="18" fillId="8" borderId="0" xfId="0" applyFont="1" applyFill="1" applyBorder="1" applyAlignment="1" applyProtection="1">
      <alignment horizontal="left" vertical="center"/>
      <protection hidden="1"/>
    </xf>
    <xf numFmtId="0" fontId="15" fillId="8" borderId="0" xfId="0" applyFont="1" applyFill="1" applyAlignment="1" applyProtection="1">
      <alignment horizontal="right" vertical="center"/>
      <protection hidden="1"/>
    </xf>
    <xf numFmtId="170" fontId="15" fillId="2" borderId="0" xfId="1" applyNumberFormat="1" applyFont="1" applyFill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horizontal="right" vertical="center"/>
      <protection hidden="1"/>
    </xf>
    <xf numFmtId="8" fontId="15" fillId="5" borderId="1" xfId="0" applyNumberFormat="1" applyFont="1" applyFill="1" applyBorder="1" applyAlignment="1" applyProtection="1">
      <alignment horizontal="right" vertical="center"/>
      <protection hidden="1"/>
    </xf>
    <xf numFmtId="8" fontId="15" fillId="5" borderId="1" xfId="0" applyNumberFormat="1" applyFont="1" applyFill="1" applyBorder="1" applyAlignment="1" applyProtection="1">
      <alignment vertical="center"/>
      <protection hidden="1"/>
    </xf>
    <xf numFmtId="0" fontId="15" fillId="8" borderId="0" xfId="0" applyFont="1" applyFill="1" applyBorder="1" applyAlignment="1" applyProtection="1">
      <alignment horizontal="right" vertical="center"/>
      <protection hidden="1"/>
    </xf>
    <xf numFmtId="0" fontId="15" fillId="8" borderId="0" xfId="0" applyFont="1" applyFill="1" applyBorder="1" applyAlignment="1" applyProtection="1">
      <alignment vertical="center"/>
      <protection hidden="1"/>
    </xf>
    <xf numFmtId="0" fontId="15" fillId="5" borderId="0" xfId="0" applyFont="1" applyFill="1" applyAlignment="1" applyProtection="1">
      <alignment vertical="center"/>
      <protection hidden="1"/>
    </xf>
    <xf numFmtId="0" fontId="15" fillId="12" borderId="0" xfId="0" applyFont="1" applyFill="1" applyBorder="1" applyAlignment="1" applyProtection="1">
      <alignment horizontal="center" vertical="center"/>
      <protection hidden="1"/>
    </xf>
    <xf numFmtId="170" fontId="15" fillId="5" borderId="1" xfId="1" applyNumberFormat="1" applyFont="1" applyFill="1" applyBorder="1" applyAlignment="1" applyProtection="1">
      <alignment vertical="center"/>
      <protection hidden="1"/>
    </xf>
    <xf numFmtId="0" fontId="22" fillId="5" borderId="0" xfId="0" applyFont="1" applyFill="1" applyAlignment="1" applyProtection="1">
      <alignment horizontal="right" vertical="center"/>
      <protection hidden="1"/>
    </xf>
    <xf numFmtId="168" fontId="15" fillId="2" borderId="0" xfId="0" applyNumberFormat="1" applyFont="1" applyFill="1" applyBorder="1" applyAlignment="1" applyProtection="1">
      <alignment vertical="center"/>
      <protection hidden="1"/>
    </xf>
    <xf numFmtId="0" fontId="40" fillId="8" borderId="0" xfId="0" applyFont="1" applyFill="1" applyBorder="1" applyAlignment="1" applyProtection="1">
      <alignment horizontal="left" vertical="center"/>
      <protection hidden="1"/>
    </xf>
    <xf numFmtId="8" fontId="17" fillId="5" borderId="1" xfId="0" applyNumberFormat="1" applyFont="1" applyFill="1" applyBorder="1" applyAlignment="1" applyProtection="1">
      <alignment horizontal="right" vertical="center"/>
      <protection hidden="1"/>
    </xf>
    <xf numFmtId="0" fontId="15" fillId="8" borderId="0" xfId="0" applyFont="1" applyFill="1" applyBorder="1" applyAlignment="1" applyProtection="1">
      <alignment horizontal="center" vertical="center"/>
      <protection hidden="1"/>
    </xf>
    <xf numFmtId="8" fontId="15" fillId="2" borderId="0" xfId="0" applyNumberFormat="1" applyFont="1" applyFill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vertical="center"/>
      <protection hidden="1"/>
    </xf>
    <xf numFmtId="168" fontId="15" fillId="5" borderId="1" xfId="0" applyNumberFormat="1" applyFont="1" applyFill="1" applyBorder="1" applyAlignment="1" applyProtection="1">
      <alignment horizontal="right" vertical="center"/>
      <protection hidden="1"/>
    </xf>
    <xf numFmtId="10" fontId="14" fillId="21" borderId="0" xfId="0" applyNumberFormat="1" applyFont="1" applyFill="1" applyBorder="1" applyAlignment="1" applyProtection="1">
      <alignment horizontal="center" vertical="center"/>
      <protection hidden="1"/>
    </xf>
    <xf numFmtId="168" fontId="15" fillId="5" borderId="1" xfId="0" applyNumberFormat="1" applyFont="1" applyFill="1" applyBorder="1" applyAlignment="1" applyProtection="1">
      <alignment vertical="center"/>
      <protection hidden="1"/>
    </xf>
    <xf numFmtId="0" fontId="18" fillId="8" borderId="0" xfId="0" applyFont="1" applyFill="1" applyBorder="1" applyAlignment="1" applyProtection="1">
      <alignment horizontal="center" vertical="center"/>
      <protection hidden="1"/>
    </xf>
    <xf numFmtId="0" fontId="15" fillId="8" borderId="0" xfId="0" applyFont="1" applyFill="1" applyAlignment="1" applyProtection="1">
      <alignment horizontal="center" vertical="center"/>
      <protection hidden="1"/>
    </xf>
    <xf numFmtId="168" fontId="15" fillId="5" borderId="0" xfId="0" applyNumberFormat="1" applyFont="1" applyFill="1" applyBorder="1" applyAlignment="1" applyProtection="1">
      <alignment vertical="center"/>
      <protection hidden="1"/>
    </xf>
    <xf numFmtId="44" fontId="21" fillId="5" borderId="1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Alignment="1" applyProtection="1">
      <alignment horizontal="left" vertical="center"/>
      <protection hidden="1"/>
    </xf>
    <xf numFmtId="171" fontId="22" fillId="5" borderId="1" xfId="0" applyNumberFormat="1" applyFont="1" applyFill="1" applyBorder="1" applyAlignment="1" applyProtection="1">
      <alignment vertical="center"/>
      <protection hidden="1"/>
    </xf>
    <xf numFmtId="0" fontId="13" fillId="8" borderId="0" xfId="0" applyFont="1" applyFill="1" applyAlignment="1" applyProtection="1">
      <alignment vertical="center"/>
      <protection hidden="1"/>
    </xf>
    <xf numFmtId="172" fontId="20" fillId="8" borderId="0" xfId="0" applyNumberFormat="1" applyFont="1" applyFill="1" applyBorder="1" applyAlignment="1" applyProtection="1">
      <alignment horizontal="right" vertical="center"/>
      <protection hidden="1"/>
    </xf>
    <xf numFmtId="0" fontId="47" fillId="8" borderId="0" xfId="0" applyFont="1" applyFill="1" applyAlignment="1" applyProtection="1">
      <alignment vertical="center"/>
      <protection hidden="1"/>
    </xf>
    <xf numFmtId="0" fontId="19" fillId="8" borderId="0" xfId="0" applyFont="1" applyFill="1" applyAlignment="1" applyProtection="1">
      <alignment wrapText="1"/>
      <protection hidden="1"/>
    </xf>
    <xf numFmtId="8" fontId="12" fillId="8" borderId="0" xfId="0" applyNumberFormat="1" applyFont="1" applyFill="1" applyAlignment="1" applyProtection="1">
      <alignment vertical="center"/>
      <protection hidden="1"/>
    </xf>
    <xf numFmtId="0" fontId="18" fillId="8" borderId="0" xfId="0" applyFont="1" applyFill="1" applyBorder="1" applyAlignment="1" applyProtection="1">
      <alignment vertical="center"/>
      <protection hidden="1"/>
    </xf>
    <xf numFmtId="0" fontId="0" fillId="12" borderId="0" xfId="0" applyFill="1" applyAlignment="1">
      <alignment vertical="center"/>
    </xf>
    <xf numFmtId="0" fontId="0" fillId="12" borderId="0" xfId="0" applyFill="1" applyAlignment="1">
      <alignment horizontal="right"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>
      <alignment horizontal="right" vertical="center"/>
    </xf>
    <xf numFmtId="0" fontId="9" fillId="12" borderId="0" xfId="0" applyFont="1" applyFill="1" applyAlignment="1">
      <alignment vertical="center"/>
    </xf>
    <xf numFmtId="0" fontId="7" fillId="4" borderId="13" xfId="0" applyFont="1" applyFill="1" applyBorder="1" applyAlignment="1">
      <alignment vertical="center"/>
    </xf>
    <xf numFmtId="169" fontId="7" fillId="4" borderId="14" xfId="0" applyNumberFormat="1" applyFont="1" applyFill="1" applyBorder="1" applyAlignment="1">
      <alignment horizontal="right" vertical="center"/>
    </xf>
    <xf numFmtId="0" fontId="10" fillId="22" borderId="1" xfId="0" applyFont="1" applyFill="1" applyBorder="1" applyAlignment="1">
      <alignment horizontal="center" vertical="center"/>
    </xf>
    <xf numFmtId="0" fontId="5" fillId="23" borderId="3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vertical="center"/>
    </xf>
    <xf numFmtId="169" fontId="7" fillId="4" borderId="16" xfId="0" applyNumberFormat="1" applyFont="1" applyFill="1" applyBorder="1" applyAlignment="1">
      <alignment horizontal="right" vertical="center"/>
    </xf>
    <xf numFmtId="0" fontId="7" fillId="12" borderId="38" xfId="0" applyFont="1" applyFill="1" applyBorder="1" applyAlignment="1">
      <alignment horizontal="right" vertical="center"/>
    </xf>
    <xf numFmtId="0" fontId="7" fillId="9" borderId="38" xfId="0" applyFont="1" applyFill="1" applyBorder="1" applyAlignment="1">
      <alignment horizontal="right" vertical="center"/>
    </xf>
    <xf numFmtId="0" fontId="7" fillId="12" borderId="40" xfId="0" applyFont="1" applyFill="1" applyBorder="1" applyAlignment="1">
      <alignment horizontal="right" vertical="center"/>
    </xf>
    <xf numFmtId="0" fontId="7" fillId="9" borderId="34" xfId="0" applyFont="1" applyFill="1" applyBorder="1" applyAlignment="1">
      <alignment horizontal="right" vertical="center"/>
    </xf>
    <xf numFmtId="0" fontId="7" fillId="12" borderId="34" xfId="0" applyFont="1" applyFill="1" applyBorder="1" applyAlignment="1">
      <alignment horizontal="right" vertical="center"/>
    </xf>
    <xf numFmtId="0" fontId="7" fillId="12" borderId="4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170" fontId="7" fillId="4" borderId="16" xfId="1" applyNumberFormat="1" applyFont="1" applyFill="1" applyBorder="1" applyAlignment="1">
      <alignment horizontal="right" vertical="center"/>
    </xf>
    <xf numFmtId="0" fontId="7" fillId="9" borderId="40" xfId="0" applyFont="1" applyFill="1" applyBorder="1" applyAlignment="1">
      <alignment horizontal="right" vertical="center"/>
    </xf>
    <xf numFmtId="0" fontId="7" fillId="4" borderId="17" xfId="0" applyFont="1" applyFill="1" applyBorder="1" applyAlignment="1">
      <alignment vertical="center"/>
    </xf>
    <xf numFmtId="169" fontId="7" fillId="4" borderId="18" xfId="0" applyNumberFormat="1" applyFont="1" applyFill="1" applyBorder="1" applyAlignment="1">
      <alignment horizontal="right" vertical="center"/>
    </xf>
    <xf numFmtId="0" fontId="7" fillId="2" borderId="37" xfId="0" applyFont="1" applyFill="1" applyBorder="1" applyAlignment="1">
      <alignment vertical="center"/>
    </xf>
    <xf numFmtId="0" fontId="7" fillId="2" borderId="39" xfId="0" applyFont="1" applyFill="1" applyBorder="1" applyAlignment="1">
      <alignment horizontal="right" vertical="center"/>
    </xf>
    <xf numFmtId="0" fontId="7" fillId="24" borderId="13" xfId="0" applyFont="1" applyFill="1" applyBorder="1" applyAlignment="1">
      <alignment vertical="center"/>
    </xf>
    <xf numFmtId="14" fontId="7" fillId="24" borderId="14" xfId="0" applyNumberFormat="1" applyFont="1" applyFill="1" applyBorder="1" applyAlignment="1">
      <alignment horizontal="right" vertical="center"/>
    </xf>
    <xf numFmtId="0" fontId="7" fillId="24" borderId="15" xfId="0" applyFont="1" applyFill="1" applyBorder="1" applyAlignment="1">
      <alignment vertical="center"/>
    </xf>
    <xf numFmtId="0" fontId="7" fillId="24" borderId="16" xfId="0" applyFont="1" applyFill="1" applyBorder="1" applyAlignment="1">
      <alignment horizontal="right" vertical="center"/>
    </xf>
    <xf numFmtId="2" fontId="7" fillId="24" borderId="16" xfId="0" applyNumberFormat="1" applyFont="1" applyFill="1" applyBorder="1" applyAlignment="1">
      <alignment horizontal="right" vertical="center"/>
    </xf>
    <xf numFmtId="0" fontId="7" fillId="24" borderId="41" xfId="0" applyFont="1" applyFill="1" applyBorder="1" applyAlignment="1">
      <alignment vertical="center"/>
    </xf>
    <xf numFmtId="44" fontId="7" fillId="24" borderId="42" xfId="4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169" fontId="7" fillId="12" borderId="0" xfId="0" applyNumberFormat="1" applyFont="1" applyFill="1" applyAlignment="1">
      <alignment vertical="center"/>
    </xf>
    <xf numFmtId="0" fontId="7" fillId="3" borderId="15" xfId="0" applyFont="1" applyFill="1" applyBorder="1" applyAlignment="1">
      <alignment vertical="center"/>
    </xf>
    <xf numFmtId="8" fontId="7" fillId="3" borderId="16" xfId="0" applyNumberFormat="1" applyFont="1" applyFill="1" applyBorder="1" applyAlignment="1">
      <alignment horizontal="right" vertical="center"/>
    </xf>
    <xf numFmtId="8" fontId="0" fillId="12" borderId="0" xfId="0" applyNumberFormat="1" applyFill="1" applyAlignment="1">
      <alignment vertical="center"/>
    </xf>
    <xf numFmtId="167" fontId="7" fillId="3" borderId="16" xfId="1" applyNumberFormat="1" applyFont="1" applyFill="1" applyBorder="1" applyAlignment="1">
      <alignment vertical="center"/>
    </xf>
    <xf numFmtId="170" fontId="7" fillId="3" borderId="16" xfId="1" applyNumberFormat="1" applyFont="1" applyFill="1" applyBorder="1" applyAlignment="1">
      <alignment vertical="center"/>
    </xf>
    <xf numFmtId="169" fontId="7" fillId="3" borderId="16" xfId="0" applyNumberFormat="1" applyFont="1" applyFill="1" applyBorder="1" applyAlignment="1">
      <alignment horizontal="right" vertical="center"/>
    </xf>
    <xf numFmtId="169" fontId="7" fillId="3" borderId="36" xfId="0" applyNumberFormat="1" applyFont="1" applyFill="1" applyBorder="1" applyAlignment="1">
      <alignment horizontal="right" vertical="center"/>
    </xf>
    <xf numFmtId="0" fontId="7" fillId="3" borderId="35" xfId="0" applyFont="1" applyFill="1" applyBorder="1" applyAlignment="1">
      <alignment vertical="center"/>
    </xf>
    <xf numFmtId="0" fontId="7" fillId="25" borderId="13" xfId="0" applyFont="1" applyFill="1" applyBorder="1" applyAlignment="1">
      <alignment vertical="center"/>
    </xf>
    <xf numFmtId="9" fontId="7" fillId="25" borderId="14" xfId="0" applyNumberFormat="1" applyFont="1" applyFill="1" applyBorder="1" applyAlignment="1">
      <alignment horizontal="right" vertical="center"/>
    </xf>
    <xf numFmtId="0" fontId="7" fillId="25" borderId="15" xfId="0" applyFont="1" applyFill="1" applyBorder="1" applyAlignment="1">
      <alignment vertical="center"/>
    </xf>
    <xf numFmtId="168" fontId="7" fillId="25" borderId="16" xfId="2" applyNumberFormat="1" applyFont="1" applyFill="1" applyBorder="1" applyAlignment="1">
      <alignment horizontal="right" vertical="center"/>
    </xf>
    <xf numFmtId="10" fontId="7" fillId="25" borderId="16" xfId="0" applyNumberFormat="1" applyFont="1" applyFill="1" applyBorder="1" applyAlignment="1">
      <alignment horizontal="right" vertical="center"/>
    </xf>
    <xf numFmtId="0" fontId="7" fillId="25" borderId="52" xfId="0" applyFont="1" applyFill="1" applyBorder="1" applyAlignment="1">
      <alignment vertical="center"/>
    </xf>
    <xf numFmtId="10" fontId="7" fillId="25" borderId="53" xfId="0" applyNumberFormat="1" applyFont="1" applyFill="1" applyBorder="1" applyAlignment="1">
      <alignment horizontal="right" vertical="center"/>
    </xf>
    <xf numFmtId="0" fontId="7" fillId="6" borderId="13" xfId="0" applyFont="1" applyFill="1" applyBorder="1" applyAlignment="1">
      <alignment vertical="center"/>
    </xf>
    <xf numFmtId="44" fontId="7" fillId="6" borderId="14" xfId="0" applyNumberFormat="1" applyFont="1" applyFill="1" applyBorder="1" applyAlignment="1">
      <alignment horizontal="right" vertical="center"/>
    </xf>
    <xf numFmtId="0" fontId="7" fillId="6" borderId="17" xfId="0" applyFont="1" applyFill="1" applyBorder="1" applyAlignment="1">
      <alignment vertical="center"/>
    </xf>
    <xf numFmtId="169" fontId="7" fillId="6" borderId="18" xfId="0" applyNumberFormat="1" applyFont="1" applyFill="1" applyBorder="1" applyAlignment="1">
      <alignment horizontal="right" vertical="center"/>
    </xf>
    <xf numFmtId="0" fontId="7" fillId="18" borderId="13" xfId="0" applyFont="1" applyFill="1" applyBorder="1" applyAlignment="1">
      <alignment vertical="center"/>
    </xf>
    <xf numFmtId="169" fontId="7" fillId="18" borderId="14" xfId="0" applyNumberFormat="1" applyFont="1" applyFill="1" applyBorder="1" applyAlignment="1">
      <alignment horizontal="right" vertical="center"/>
    </xf>
    <xf numFmtId="0" fontId="7" fillId="18" borderId="17" xfId="0" applyFont="1" applyFill="1" applyBorder="1" applyAlignment="1">
      <alignment vertical="center"/>
    </xf>
    <xf numFmtId="175" fontId="7" fillId="18" borderId="18" xfId="0" applyNumberFormat="1" applyFont="1" applyFill="1" applyBorder="1" applyAlignment="1">
      <alignment horizontal="right" vertical="center"/>
    </xf>
    <xf numFmtId="0" fontId="7" fillId="26" borderId="22" xfId="0" applyFont="1" applyFill="1" applyBorder="1" applyAlignment="1">
      <alignment vertical="center"/>
    </xf>
    <xf numFmtId="170" fontId="7" fillId="26" borderId="24" xfId="1" applyNumberFormat="1" applyFont="1" applyFill="1" applyBorder="1" applyAlignment="1">
      <alignment horizontal="right" vertical="center"/>
    </xf>
    <xf numFmtId="0" fontId="7" fillId="26" borderId="15" xfId="0" applyFont="1" applyFill="1" applyBorder="1" applyAlignment="1">
      <alignment vertical="center"/>
    </xf>
    <xf numFmtId="176" fontId="7" fillId="26" borderId="16" xfId="0" applyNumberFormat="1" applyFont="1" applyFill="1" applyBorder="1" applyAlignment="1">
      <alignment horizontal="right" vertical="center"/>
    </xf>
    <xf numFmtId="169" fontId="7" fillId="26" borderId="16" xfId="0" applyNumberFormat="1" applyFont="1" applyFill="1" applyBorder="1" applyAlignment="1">
      <alignment horizontal="right" vertical="center"/>
    </xf>
    <xf numFmtId="10" fontId="7" fillId="26" borderId="24" xfId="1" applyNumberFormat="1" applyFont="1" applyFill="1" applyBorder="1" applyAlignment="1">
      <alignment horizontal="right" vertical="center"/>
    </xf>
    <xf numFmtId="169" fontId="0" fillId="12" borderId="0" xfId="0" applyNumberFormat="1" applyFill="1" applyAlignment="1">
      <alignment vertical="center"/>
    </xf>
    <xf numFmtId="0" fontId="7" fillId="26" borderId="35" xfId="0" applyFont="1" applyFill="1" applyBorder="1" applyAlignment="1">
      <alignment vertical="center"/>
    </xf>
    <xf numFmtId="169" fontId="7" fillId="26" borderId="36" xfId="0" applyNumberFormat="1" applyFont="1" applyFill="1" applyBorder="1" applyAlignment="1">
      <alignment horizontal="right" vertical="center"/>
    </xf>
    <xf numFmtId="0" fontId="7" fillId="27" borderId="13" xfId="0" applyFont="1" applyFill="1" applyBorder="1" applyAlignment="1">
      <alignment vertical="center"/>
    </xf>
    <xf numFmtId="10" fontId="7" fillId="27" borderId="14" xfId="1" applyNumberFormat="1" applyFont="1" applyFill="1" applyBorder="1" applyAlignment="1">
      <alignment horizontal="right" vertical="center"/>
    </xf>
    <xf numFmtId="0" fontId="7" fillId="27" borderId="15" xfId="0" applyFont="1" applyFill="1" applyBorder="1" applyAlignment="1">
      <alignment vertical="center"/>
    </xf>
    <xf numFmtId="44" fontId="7" fillId="27" borderId="16" xfId="4" applyFont="1" applyFill="1" applyBorder="1" applyAlignment="1">
      <alignment horizontal="right" vertical="center" indent="1"/>
    </xf>
    <xf numFmtId="0" fontId="8" fillId="12" borderId="0" xfId="0" applyFont="1" applyFill="1" applyAlignment="1">
      <alignment vertical="center"/>
    </xf>
    <xf numFmtId="175" fontId="39" fillId="12" borderId="0" xfId="0" applyNumberFormat="1" applyFont="1" applyFill="1" applyAlignment="1">
      <alignment vertical="center"/>
    </xf>
    <xf numFmtId="10" fontId="7" fillId="27" borderId="16" xfId="1" applyNumberFormat="1" applyFont="1" applyFill="1" applyBorder="1" applyAlignment="1">
      <alignment horizontal="right" vertical="center"/>
    </xf>
    <xf numFmtId="0" fontId="7" fillId="27" borderId="17" xfId="0" applyFont="1" applyFill="1" applyBorder="1" applyAlignment="1">
      <alignment vertical="center"/>
    </xf>
    <xf numFmtId="44" fontId="7" fillId="27" borderId="18" xfId="4" applyFont="1" applyFill="1" applyBorder="1" applyAlignment="1">
      <alignment horizontal="right" vertical="center" indent="1"/>
    </xf>
    <xf numFmtId="0" fontId="7" fillId="25" borderId="16" xfId="0" applyFont="1" applyFill="1" applyBorder="1" applyAlignment="1">
      <alignment horizontal="right" vertical="center"/>
    </xf>
    <xf numFmtId="0" fontId="15" fillId="12" borderId="0" xfId="0" applyFont="1" applyFill="1" applyAlignment="1" applyProtection="1">
      <alignment vertical="center"/>
      <protection hidden="1"/>
    </xf>
    <xf numFmtId="0" fontId="15" fillId="12" borderId="0" xfId="0" applyFont="1" applyFill="1" applyBorder="1" applyAlignment="1" applyProtection="1">
      <alignment vertical="center"/>
      <protection hidden="1"/>
    </xf>
    <xf numFmtId="9" fontId="15" fillId="12" borderId="0" xfId="0" applyNumberFormat="1" applyFont="1" applyFill="1" applyBorder="1" applyAlignment="1" applyProtection="1">
      <alignment horizontal="center" vertical="center"/>
      <protection hidden="1"/>
    </xf>
    <xf numFmtId="44" fontId="15" fillId="12" borderId="0" xfId="4" applyFont="1" applyFill="1" applyBorder="1" applyAlignment="1" applyProtection="1">
      <alignment horizontal="center" vertical="center"/>
      <protection hidden="1"/>
    </xf>
    <xf numFmtId="9" fontId="15" fillId="12" borderId="0" xfId="0" applyNumberFormat="1" applyFont="1" applyFill="1" applyBorder="1" applyAlignment="1" applyProtection="1">
      <alignment vertical="center"/>
      <protection hidden="1"/>
    </xf>
    <xf numFmtId="8" fontId="15" fillId="12" borderId="0" xfId="0" applyNumberFormat="1" applyFont="1" applyFill="1" applyBorder="1" applyAlignment="1" applyProtection="1">
      <alignment vertical="center"/>
      <protection hidden="1"/>
    </xf>
    <xf numFmtId="0" fontId="17" fillId="26" borderId="54" xfId="0" applyFont="1" applyFill="1" applyBorder="1" applyAlignment="1" applyProtection="1">
      <alignment horizontal="center" vertical="center" wrapText="1"/>
      <protection hidden="1"/>
    </xf>
    <xf numFmtId="0" fontId="17" fillId="20" borderId="54" xfId="0" applyFont="1" applyFill="1" applyBorder="1" applyAlignment="1" applyProtection="1">
      <alignment horizontal="center" vertical="center"/>
      <protection locked="0"/>
    </xf>
    <xf numFmtId="14" fontId="17" fillId="20" borderId="54" xfId="0" applyNumberFormat="1" applyFont="1" applyFill="1" applyBorder="1" applyAlignment="1" applyProtection="1">
      <alignment horizontal="center" vertical="center"/>
      <protection locked="0"/>
    </xf>
    <xf numFmtId="0" fontId="29" fillId="12" borderId="0" xfId="0" applyFont="1" applyFill="1" applyAlignment="1" applyProtection="1">
      <alignment horizontal="center" vertical="center"/>
      <protection hidden="1"/>
    </xf>
    <xf numFmtId="0" fontId="29" fillId="12" borderId="0" xfId="0" applyFont="1" applyFill="1" applyAlignment="1" applyProtection="1">
      <alignment vertical="center"/>
      <protection hidden="1"/>
    </xf>
    <xf numFmtId="10" fontId="15" fillId="20" borderId="58" xfId="1" applyNumberFormat="1" applyFont="1" applyFill="1" applyBorder="1" applyAlignment="1" applyProtection="1">
      <alignment horizontal="center" vertical="center"/>
      <protection locked="0"/>
    </xf>
    <xf numFmtId="0" fontId="41" fillId="12" borderId="0" xfId="0" applyFont="1" applyFill="1" applyAlignment="1" applyProtection="1">
      <alignment horizontal="center" vertical="center"/>
      <protection hidden="1"/>
    </xf>
    <xf numFmtId="8" fontId="15" fillId="12" borderId="0" xfId="0" applyNumberFormat="1" applyFont="1" applyFill="1" applyAlignment="1" applyProtection="1">
      <alignment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hidden="1"/>
    </xf>
    <xf numFmtId="0" fontId="17" fillId="2" borderId="45" xfId="0" applyFont="1" applyFill="1" applyBorder="1" applyAlignment="1" applyProtection="1">
      <alignment horizontal="center" vertical="center" wrapText="1"/>
      <protection hidden="1"/>
    </xf>
    <xf numFmtId="8" fontId="30" fillId="30" borderId="1" xfId="0" applyNumberFormat="1" applyFont="1" applyFill="1" applyBorder="1" applyAlignment="1" applyProtection="1">
      <alignment horizontal="center" vertical="center" wrapText="1"/>
      <protection hidden="1"/>
    </xf>
    <xf numFmtId="170" fontId="15" fillId="9" borderId="51" xfId="1" applyNumberFormat="1" applyFont="1" applyFill="1" applyBorder="1" applyAlignment="1" applyProtection="1">
      <alignment vertical="center"/>
      <protection hidden="1"/>
    </xf>
    <xf numFmtId="8" fontId="15" fillId="9" borderId="51" xfId="4" applyNumberFormat="1" applyFont="1" applyFill="1" applyBorder="1" applyAlignment="1" applyProtection="1">
      <alignment vertical="center"/>
      <protection hidden="1"/>
    </xf>
    <xf numFmtId="44" fontId="15" fillId="9" borderId="9" xfId="4" applyFont="1" applyFill="1" applyBorder="1" applyAlignment="1" applyProtection="1">
      <alignment horizontal="center" vertical="center"/>
      <protection hidden="1"/>
    </xf>
    <xf numFmtId="8" fontId="37" fillId="31" borderId="1" xfId="0" applyNumberFormat="1" applyFont="1" applyFill="1" applyBorder="1" applyAlignment="1" applyProtection="1">
      <alignment vertical="center"/>
      <protection hidden="1"/>
    </xf>
    <xf numFmtId="10" fontId="14" fillId="21" borderId="0" xfId="0" applyNumberFormat="1" applyFont="1" applyFill="1" applyBorder="1" applyAlignment="1" applyProtection="1">
      <alignment horizontal="center" vertical="center"/>
      <protection hidden="1"/>
    </xf>
    <xf numFmtId="0" fontId="7" fillId="20" borderId="13" xfId="0" applyFont="1" applyFill="1" applyBorder="1" applyAlignment="1">
      <alignment vertical="center"/>
    </xf>
    <xf numFmtId="0" fontId="7" fillId="20" borderId="14" xfId="0" applyFont="1" applyFill="1" applyBorder="1" applyAlignment="1">
      <alignment horizontal="right" vertical="center"/>
    </xf>
    <xf numFmtId="0" fontId="7" fillId="20" borderId="35" xfId="0" applyFont="1" applyFill="1" applyBorder="1" applyAlignment="1">
      <alignment vertical="center"/>
    </xf>
    <xf numFmtId="44" fontId="7" fillId="20" borderId="36" xfId="4" applyFont="1" applyFill="1" applyBorder="1" applyAlignment="1">
      <alignment horizontal="right" vertical="center"/>
    </xf>
    <xf numFmtId="0" fontId="15" fillId="18" borderId="0" xfId="0" applyFont="1" applyFill="1" applyAlignment="1" applyProtection="1">
      <alignment horizontal="center" vertical="center"/>
      <protection locked="0"/>
    </xf>
    <xf numFmtId="0" fontId="49" fillId="8" borderId="0" xfId="0" applyFont="1" applyFill="1" applyAlignment="1" applyProtection="1">
      <alignment vertical="center"/>
      <protection hidden="1"/>
    </xf>
    <xf numFmtId="10" fontId="30" fillId="8" borderId="0" xfId="0" applyNumberFormat="1" applyFont="1" applyFill="1" applyBorder="1" applyAlignment="1" applyProtection="1">
      <alignment horizontal="center" vertical="center"/>
      <protection hidden="1"/>
    </xf>
    <xf numFmtId="0" fontId="48" fillId="8" borderId="0" xfId="0" applyFont="1" applyFill="1" applyBorder="1" applyAlignment="1" applyProtection="1">
      <alignment horizontal="left" vertical="center"/>
      <protection hidden="1"/>
    </xf>
    <xf numFmtId="0" fontId="50" fillId="8" borderId="0" xfId="0" applyFont="1" applyFill="1" applyAlignment="1" applyProtection="1">
      <alignment vertical="center"/>
      <protection hidden="1"/>
    </xf>
    <xf numFmtId="0" fontId="29" fillId="8" borderId="0" xfId="0" applyFont="1" applyFill="1" applyBorder="1" applyAlignment="1" applyProtection="1">
      <alignment horizontal="right" vertical="center"/>
      <protection hidden="1"/>
    </xf>
    <xf numFmtId="2" fontId="15" fillId="2" borderId="0" xfId="0" applyNumberFormat="1" applyFont="1" applyFill="1" applyBorder="1" applyAlignment="1" applyProtection="1">
      <alignment horizontal="right" vertical="center"/>
      <protection hidden="1"/>
    </xf>
    <xf numFmtId="0" fontId="17" fillId="32" borderId="45" xfId="0" applyFont="1" applyFill="1" applyBorder="1" applyAlignment="1" applyProtection="1">
      <alignment horizontal="center" vertical="center" wrapText="1"/>
      <protection hidden="1"/>
    </xf>
    <xf numFmtId="44" fontId="15" fillId="33" borderId="9" xfId="4" applyFont="1" applyFill="1" applyBorder="1" applyAlignment="1" applyProtection="1">
      <alignment horizontal="center" vertical="center"/>
      <protection hidden="1"/>
    </xf>
    <xf numFmtId="0" fontId="17" fillId="18" borderId="0" xfId="0" applyFont="1" applyFill="1" applyBorder="1" applyAlignment="1" applyProtection="1">
      <alignment horizontal="center" vertical="center"/>
      <protection locked="0"/>
    </xf>
    <xf numFmtId="14" fontId="15" fillId="18" borderId="0" xfId="0" applyNumberFormat="1" applyFont="1" applyFill="1" applyBorder="1" applyAlignment="1" applyProtection="1">
      <alignment vertical="center"/>
      <protection locked="0"/>
    </xf>
    <xf numFmtId="170" fontId="15" fillId="18" borderId="0" xfId="1" applyNumberFormat="1" applyFont="1" applyFill="1" applyBorder="1" applyAlignment="1" applyProtection="1">
      <alignment horizontal="right" vertical="center"/>
      <protection locked="0"/>
    </xf>
    <xf numFmtId="0" fontId="15" fillId="18" borderId="0" xfId="0" applyFont="1" applyFill="1" applyBorder="1" applyAlignment="1" applyProtection="1">
      <alignment horizontal="right" vertical="center"/>
      <protection locked="0"/>
    </xf>
    <xf numFmtId="0" fontId="16" fillId="18" borderId="0" xfId="0" applyFont="1" applyFill="1" applyBorder="1" applyAlignment="1" applyProtection="1">
      <alignment vertical="center"/>
      <protection locked="0"/>
    </xf>
    <xf numFmtId="168" fontId="15" fillId="18" borderId="0" xfId="0" applyNumberFormat="1" applyFont="1" applyFill="1" applyBorder="1" applyAlignment="1" applyProtection="1">
      <alignment horizontal="right" vertical="center"/>
      <protection locked="0"/>
    </xf>
    <xf numFmtId="168" fontId="15" fillId="18" borderId="0" xfId="0" applyNumberFormat="1" applyFont="1" applyFill="1" applyBorder="1" applyAlignment="1" applyProtection="1">
      <alignment vertical="center"/>
      <protection locked="0"/>
    </xf>
    <xf numFmtId="175" fontId="7" fillId="3" borderId="14" xfId="0" applyNumberFormat="1" applyFont="1" applyFill="1" applyBorder="1" applyAlignment="1">
      <alignment horizontal="right" vertical="center"/>
    </xf>
    <xf numFmtId="0" fontId="7" fillId="34" borderId="13" xfId="0" applyFont="1" applyFill="1" applyBorder="1" applyAlignment="1">
      <alignment vertical="center"/>
    </xf>
    <xf numFmtId="0" fontId="7" fillId="34" borderId="15" xfId="0" applyFont="1" applyFill="1" applyBorder="1" applyAlignment="1">
      <alignment vertical="center"/>
    </xf>
    <xf numFmtId="0" fontId="7" fillId="34" borderId="16" xfId="0" applyFont="1" applyFill="1" applyBorder="1" applyAlignment="1">
      <alignment horizontal="right" vertical="center"/>
    </xf>
    <xf numFmtId="0" fontId="11" fillId="34" borderId="15" xfId="0" applyFont="1" applyFill="1" applyBorder="1" applyAlignment="1">
      <alignment vertical="center"/>
    </xf>
    <xf numFmtId="0" fontId="7" fillId="34" borderId="41" xfId="0" applyFont="1" applyFill="1" applyBorder="1" applyAlignment="1">
      <alignment vertical="center"/>
    </xf>
    <xf numFmtId="169" fontId="7" fillId="34" borderId="16" xfId="0" applyNumberFormat="1" applyFont="1" applyFill="1" applyBorder="1" applyAlignment="1">
      <alignment horizontal="right" vertical="center"/>
    </xf>
    <xf numFmtId="0" fontId="12" fillId="7" borderId="38" xfId="0" applyFont="1" applyFill="1" applyBorder="1" applyAlignment="1">
      <alignment horizontal="center" vertical="center"/>
    </xf>
    <xf numFmtId="44" fontId="7" fillId="7" borderId="51" xfId="0" applyNumberFormat="1" applyFont="1" applyFill="1" applyBorder="1" applyAlignment="1">
      <alignment horizontal="right" vertical="center"/>
    </xf>
    <xf numFmtId="0" fontId="4" fillId="35" borderId="0" xfId="0" applyFont="1" applyFill="1" applyAlignment="1">
      <alignment vertical="center"/>
    </xf>
    <xf numFmtId="0" fontId="0" fillId="35" borderId="0" xfId="0" applyFill="1" applyAlignment="1">
      <alignment vertical="center"/>
    </xf>
    <xf numFmtId="0" fontId="2" fillId="37" borderId="0" xfId="0" applyFont="1" applyFill="1" applyAlignment="1">
      <alignment vertical="center"/>
    </xf>
    <xf numFmtId="0" fontId="3" fillId="38" borderId="13" xfId="0" applyFont="1" applyFill="1" applyBorder="1" applyAlignment="1">
      <alignment vertical="center"/>
    </xf>
    <xf numFmtId="0" fontId="3" fillId="38" borderId="14" xfId="0" applyFont="1" applyFill="1" applyBorder="1" applyAlignment="1">
      <alignment vertical="center"/>
    </xf>
    <xf numFmtId="0" fontId="3" fillId="35" borderId="3" xfId="0" applyFont="1" applyFill="1" applyBorder="1" applyAlignment="1">
      <alignment vertical="center"/>
    </xf>
    <xf numFmtId="0" fontId="3" fillId="35" borderId="3" xfId="0" applyFont="1" applyFill="1" applyBorder="1" applyAlignment="1">
      <alignment horizontal="center" vertical="center"/>
    </xf>
    <xf numFmtId="165" fontId="3" fillId="35" borderId="4" xfId="0" applyNumberFormat="1" applyFont="1" applyFill="1" applyBorder="1" applyAlignment="1">
      <alignment vertical="center"/>
    </xf>
    <xf numFmtId="0" fontId="3" fillId="39" borderId="1" xfId="0" applyFont="1" applyFill="1" applyBorder="1" applyAlignment="1">
      <alignment horizontal="center" vertical="center"/>
    </xf>
    <xf numFmtId="0" fontId="3" fillId="40" borderId="21" xfId="0" applyFont="1" applyFill="1" applyBorder="1" applyAlignment="1">
      <alignment horizontal="center" vertical="center"/>
    </xf>
    <xf numFmtId="0" fontId="3" fillId="40" borderId="19" xfId="0" applyFont="1" applyFill="1" applyBorder="1" applyAlignment="1">
      <alignment horizontal="center" vertical="center"/>
    </xf>
    <xf numFmtId="0" fontId="5" fillId="41" borderId="0" xfId="0" applyFont="1" applyFill="1" applyBorder="1" applyAlignment="1">
      <alignment horizontal="center" vertical="center"/>
    </xf>
    <xf numFmtId="0" fontId="3" fillId="40" borderId="14" xfId="0" applyFont="1" applyFill="1" applyBorder="1" applyAlignment="1">
      <alignment horizontal="center" vertical="center"/>
    </xf>
    <xf numFmtId="0" fontId="0" fillId="37" borderId="0" xfId="0" applyFill="1" applyAlignment="1">
      <alignment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7" xfId="0" applyFont="1" applyFill="1" applyBorder="1" applyAlignment="1">
      <alignment horizontal="center" vertical="center"/>
    </xf>
    <xf numFmtId="0" fontId="3" fillId="43" borderId="28" xfId="0" applyFont="1" applyFill="1" applyBorder="1" applyAlignment="1">
      <alignment horizontal="center" vertical="center"/>
    </xf>
    <xf numFmtId="0" fontId="3" fillId="44" borderId="15" xfId="0" applyFont="1" applyFill="1" applyBorder="1" applyAlignment="1">
      <alignment vertical="center"/>
    </xf>
    <xf numFmtId="0" fontId="3" fillId="44" borderId="16" xfId="0" applyFont="1" applyFill="1" applyBorder="1" applyAlignment="1">
      <alignment vertical="center"/>
    </xf>
    <xf numFmtId="0" fontId="3" fillId="35" borderId="0" xfId="0" applyFont="1" applyFill="1" applyBorder="1" applyAlignment="1">
      <alignment vertical="center"/>
    </xf>
    <xf numFmtId="0" fontId="3" fillId="35" borderId="0" xfId="0" applyFont="1" applyFill="1" applyBorder="1" applyAlignment="1">
      <alignment horizontal="center" vertical="center"/>
    </xf>
    <xf numFmtId="165" fontId="3" fillId="35" borderId="6" xfId="0" applyNumberFormat="1" applyFont="1" applyFill="1" applyBorder="1" applyAlignment="1">
      <alignment horizontal="center" vertical="center"/>
    </xf>
    <xf numFmtId="0" fontId="3" fillId="40" borderId="15" xfId="0" applyFont="1" applyFill="1" applyBorder="1" applyAlignment="1">
      <alignment vertical="center"/>
    </xf>
    <xf numFmtId="0" fontId="4" fillId="40" borderId="10" xfId="0" applyFont="1" applyFill="1" applyBorder="1" applyAlignment="1">
      <alignment vertical="center"/>
    </xf>
    <xf numFmtId="0" fontId="4" fillId="40" borderId="16" xfId="0" applyFont="1" applyFill="1" applyBorder="1" applyAlignment="1">
      <alignment vertical="center"/>
    </xf>
    <xf numFmtId="0" fontId="4" fillId="42" borderId="10" xfId="0" applyFont="1" applyFill="1" applyBorder="1" applyAlignment="1">
      <alignment vertical="center"/>
    </xf>
    <xf numFmtId="10" fontId="4" fillId="42" borderId="10" xfId="1" applyNumberFormat="1" applyFont="1" applyFill="1" applyBorder="1" applyAlignment="1">
      <alignment vertical="center"/>
    </xf>
    <xf numFmtId="0" fontId="4" fillId="45" borderId="25" xfId="0" applyFont="1" applyFill="1" applyBorder="1" applyAlignment="1">
      <alignment vertical="center"/>
    </xf>
    <xf numFmtId="0" fontId="4" fillId="45" borderId="25" xfId="0" applyFont="1" applyFill="1" applyBorder="1" applyAlignment="1">
      <alignment horizontal="right" vertical="center"/>
    </xf>
    <xf numFmtId="0" fontId="4" fillId="44" borderId="22" xfId="0" applyFont="1" applyFill="1" applyBorder="1" applyAlignment="1">
      <alignment vertical="center"/>
    </xf>
    <xf numFmtId="0" fontId="4" fillId="44" borderId="24" xfId="0" applyFont="1" applyFill="1" applyBorder="1" applyAlignment="1">
      <alignment vertical="center"/>
    </xf>
    <xf numFmtId="0" fontId="3" fillId="44" borderId="12" xfId="0" applyFont="1" applyFill="1" applyBorder="1" applyAlignment="1">
      <alignment vertical="center"/>
    </xf>
    <xf numFmtId="0" fontId="4" fillId="44" borderId="0" xfId="0" applyFont="1" applyFill="1" applyBorder="1" applyAlignment="1">
      <alignment horizontal="center" vertical="center"/>
    </xf>
    <xf numFmtId="166" fontId="4" fillId="44" borderId="0" xfId="2" applyNumberFormat="1" applyFont="1" applyFill="1" applyBorder="1" applyAlignment="1">
      <alignment horizontal="center" vertical="center"/>
    </xf>
    <xf numFmtId="167" fontId="4" fillId="44" borderId="6" xfId="1" applyNumberFormat="1" applyFont="1" applyFill="1" applyBorder="1" applyAlignment="1">
      <alignment horizontal="center" vertical="center"/>
    </xf>
    <xf numFmtId="0" fontId="3" fillId="40" borderId="22" xfId="0" applyFont="1" applyFill="1" applyBorder="1" applyAlignment="1">
      <alignment vertical="center"/>
    </xf>
    <xf numFmtId="0" fontId="4" fillId="45" borderId="10" xfId="0" applyFont="1" applyFill="1" applyBorder="1" applyAlignment="1">
      <alignment vertical="center"/>
    </xf>
    <xf numFmtId="0" fontId="4" fillId="44" borderId="15" xfId="0" applyFont="1" applyFill="1" applyBorder="1" applyAlignment="1">
      <alignment vertical="center"/>
    </xf>
    <xf numFmtId="0" fontId="4" fillId="44" borderId="16" xfId="0" applyFont="1" applyFill="1" applyBorder="1" applyAlignment="1">
      <alignment vertical="center"/>
    </xf>
    <xf numFmtId="0" fontId="4" fillId="40" borderId="5" xfId="0" applyFont="1" applyFill="1" applyBorder="1" applyAlignment="1">
      <alignment vertical="center"/>
    </xf>
    <xf numFmtId="0" fontId="4" fillId="35" borderId="6" xfId="0" applyFont="1" applyFill="1" applyBorder="1" applyAlignment="1">
      <alignment vertical="center"/>
    </xf>
    <xf numFmtId="0" fontId="4" fillId="45" borderId="10" xfId="0" applyFont="1" applyFill="1" applyBorder="1" applyAlignment="1">
      <alignment horizontal="right" vertical="center"/>
    </xf>
    <xf numFmtId="0" fontId="4" fillId="35" borderId="31" xfId="0" applyFont="1" applyFill="1" applyBorder="1" applyAlignment="1">
      <alignment horizontal="center" vertical="center"/>
    </xf>
    <xf numFmtId="0" fontId="4" fillId="35" borderId="30" xfId="0" applyFont="1" applyFill="1" applyBorder="1" applyAlignment="1">
      <alignment horizontal="center" vertical="center"/>
    </xf>
    <xf numFmtId="166" fontId="4" fillId="35" borderId="30" xfId="2" applyNumberFormat="1" applyFont="1" applyFill="1" applyBorder="1" applyAlignment="1">
      <alignment horizontal="center" vertical="center"/>
    </xf>
    <xf numFmtId="167" fontId="4" fillId="35" borderId="6" xfId="1" applyNumberFormat="1" applyFont="1" applyFill="1" applyBorder="1" applyAlignment="1">
      <alignment horizontal="center" vertical="center"/>
    </xf>
    <xf numFmtId="0" fontId="4" fillId="44" borderId="17" xfId="0" applyFont="1" applyFill="1" applyBorder="1" applyAlignment="1">
      <alignment vertical="center"/>
    </xf>
    <xf numFmtId="0" fontId="4" fillId="44" borderId="18" xfId="0" applyFont="1" applyFill="1" applyBorder="1" applyAlignment="1">
      <alignment vertical="center"/>
    </xf>
    <xf numFmtId="0" fontId="3" fillId="44" borderId="29" xfId="0" applyFont="1" applyFill="1" applyBorder="1" applyAlignment="1">
      <alignment vertical="center"/>
    </xf>
    <xf numFmtId="0" fontId="4" fillId="35" borderId="0" xfId="0" applyFont="1" applyFill="1" applyBorder="1" applyAlignment="1">
      <alignment horizontal="center" vertical="center"/>
    </xf>
    <xf numFmtId="166" fontId="4" fillId="35" borderId="0" xfId="2" applyNumberFormat="1" applyFont="1" applyFill="1" applyBorder="1" applyAlignment="1">
      <alignment horizontal="center" vertical="center"/>
    </xf>
    <xf numFmtId="2" fontId="0" fillId="35" borderId="0" xfId="0" applyNumberFormat="1" applyFill="1" applyAlignment="1">
      <alignment vertical="center"/>
    </xf>
    <xf numFmtId="0" fontId="4" fillId="44" borderId="5" xfId="0" applyFont="1" applyFill="1" applyBorder="1" applyAlignment="1">
      <alignment vertical="center"/>
    </xf>
    <xf numFmtId="0" fontId="4" fillId="44" borderId="0" xfId="0" applyFont="1" applyFill="1" applyBorder="1" applyAlignment="1">
      <alignment vertical="center"/>
    </xf>
    <xf numFmtId="0" fontId="3" fillId="44" borderId="10" xfId="0" applyFont="1" applyFill="1" applyBorder="1" applyAlignment="1">
      <alignment vertical="center"/>
    </xf>
    <xf numFmtId="4" fontId="4" fillId="44" borderId="0" xfId="0" applyNumberFormat="1" applyFont="1" applyFill="1" applyBorder="1" applyAlignment="1">
      <alignment horizontal="center" vertical="center"/>
    </xf>
    <xf numFmtId="0" fontId="4" fillId="40" borderId="11" xfId="0" applyFont="1" applyFill="1" applyBorder="1" applyAlignment="1">
      <alignment vertical="center"/>
    </xf>
    <xf numFmtId="0" fontId="4" fillId="44" borderId="3" xfId="0" applyFont="1" applyFill="1" applyBorder="1" applyAlignment="1">
      <alignment horizontal="center" vertical="center"/>
    </xf>
    <xf numFmtId="166" fontId="4" fillId="44" borderId="3" xfId="2" applyNumberFormat="1" applyFont="1" applyFill="1" applyBorder="1" applyAlignment="1">
      <alignment horizontal="center" vertical="center"/>
    </xf>
    <xf numFmtId="167" fontId="4" fillId="44" borderId="4" xfId="1" applyNumberFormat="1" applyFont="1" applyFill="1" applyBorder="1" applyAlignment="1">
      <alignment horizontal="center" vertical="center"/>
    </xf>
    <xf numFmtId="0" fontId="4" fillId="44" borderId="48" xfId="0" applyFont="1" applyFill="1" applyBorder="1" applyAlignment="1">
      <alignment horizontal="center" vertical="center"/>
    </xf>
    <xf numFmtId="0" fontId="4" fillId="44" borderId="49" xfId="0" applyFont="1" applyFill="1" applyBorder="1" applyAlignment="1">
      <alignment horizontal="center" vertical="center"/>
    </xf>
    <xf numFmtId="4" fontId="4" fillId="44" borderId="49" xfId="0" applyNumberFormat="1" applyFont="1" applyFill="1" applyBorder="1" applyAlignment="1">
      <alignment horizontal="center" vertical="center"/>
    </xf>
    <xf numFmtId="167" fontId="4" fillId="44" borderId="50" xfId="1" applyNumberFormat="1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166" fontId="4" fillId="38" borderId="0" xfId="2" applyNumberFormat="1" applyFont="1" applyFill="1" applyBorder="1" applyAlignment="1">
      <alignment horizontal="center" vertical="center"/>
    </xf>
    <xf numFmtId="167" fontId="4" fillId="38" borderId="6" xfId="1" applyNumberFormat="1" applyFont="1" applyFill="1" applyBorder="1" applyAlignment="1">
      <alignment horizontal="center" vertical="center"/>
    </xf>
    <xf numFmtId="0" fontId="4" fillId="40" borderId="7" xfId="0" applyFont="1" applyFill="1" applyBorder="1" applyAlignment="1">
      <alignment vertical="center"/>
    </xf>
    <xf numFmtId="0" fontId="4" fillId="40" borderId="23" xfId="0" applyFont="1" applyFill="1" applyBorder="1" applyAlignment="1">
      <alignment vertical="center"/>
    </xf>
    <xf numFmtId="0" fontId="4" fillId="40" borderId="20" xfId="0" applyFont="1" applyFill="1" applyBorder="1" applyAlignment="1">
      <alignment vertical="center"/>
    </xf>
    <xf numFmtId="0" fontId="4" fillId="40" borderId="18" xfId="0" applyFont="1" applyFill="1" applyBorder="1" applyAlignment="1">
      <alignment vertical="center"/>
    </xf>
    <xf numFmtId="0" fontId="4" fillId="44" borderId="7" xfId="0" applyFont="1" applyFill="1" applyBorder="1" applyAlignment="1">
      <alignment vertical="center"/>
    </xf>
    <xf numFmtId="0" fontId="4" fillId="44" borderId="8" xfId="0" applyFont="1" applyFill="1" applyBorder="1" applyAlignment="1">
      <alignment vertical="center"/>
    </xf>
    <xf numFmtId="0" fontId="3" fillId="44" borderId="20" xfId="0" applyFont="1" applyFill="1" applyBorder="1" applyAlignment="1">
      <alignment vertical="center"/>
    </xf>
    <xf numFmtId="0" fontId="4" fillId="44" borderId="8" xfId="0" applyFont="1" applyFill="1" applyBorder="1" applyAlignment="1">
      <alignment horizontal="center" vertical="center"/>
    </xf>
    <xf numFmtId="4" fontId="4" fillId="44" borderId="8" xfId="0" applyNumberFormat="1" applyFont="1" applyFill="1" applyBorder="1" applyAlignment="1">
      <alignment horizontal="center" vertical="center"/>
    </xf>
    <xf numFmtId="167" fontId="4" fillId="44" borderId="9" xfId="1" applyNumberFormat="1" applyFont="1" applyFill="1" applyBorder="1" applyAlignment="1">
      <alignment horizontal="center" vertical="center"/>
    </xf>
    <xf numFmtId="9" fontId="17" fillId="20" borderId="54" xfId="1" applyFont="1" applyFill="1" applyBorder="1" applyAlignment="1" applyProtection="1">
      <alignment horizontal="center" vertical="center"/>
      <protection locked="0"/>
    </xf>
    <xf numFmtId="0" fontId="3" fillId="29" borderId="26" xfId="0" applyFont="1" applyFill="1" applyBorder="1" applyAlignment="1">
      <alignment vertical="center"/>
    </xf>
    <xf numFmtId="0" fontId="4" fillId="29" borderId="23" xfId="0" applyFont="1" applyFill="1" applyBorder="1" applyAlignment="1">
      <alignment horizontal="center" vertical="center"/>
    </xf>
    <xf numFmtId="10" fontId="4" fillId="29" borderId="53" xfId="0" applyNumberFormat="1" applyFont="1" applyFill="1" applyBorder="1" applyAlignment="1">
      <alignment vertical="center"/>
    </xf>
    <xf numFmtId="0" fontId="4" fillId="29" borderId="52" xfId="0" applyFont="1" applyFill="1" applyBorder="1" applyAlignment="1">
      <alignment vertical="center"/>
    </xf>
    <xf numFmtId="0" fontId="4" fillId="29" borderId="27" xfId="0" applyFont="1" applyFill="1" applyBorder="1" applyAlignment="1">
      <alignment horizontal="center" vertical="center"/>
    </xf>
    <xf numFmtId="0" fontId="0" fillId="29" borderId="28" xfId="0" applyFill="1" applyBorder="1" applyAlignment="1">
      <alignment vertical="center"/>
    </xf>
    <xf numFmtId="0" fontId="3" fillId="47" borderId="26" xfId="0" applyFont="1" applyFill="1" applyBorder="1" applyAlignment="1">
      <alignment vertical="center"/>
    </xf>
    <xf numFmtId="0" fontId="4" fillId="47" borderId="52" xfId="0" applyFont="1" applyFill="1" applyBorder="1" applyAlignment="1">
      <alignment vertical="center"/>
    </xf>
    <xf numFmtId="0" fontId="4" fillId="47" borderId="27" xfId="0" applyFont="1" applyFill="1" applyBorder="1" applyAlignment="1">
      <alignment horizontal="center" vertical="center"/>
    </xf>
    <xf numFmtId="10" fontId="4" fillId="47" borderId="28" xfId="0" applyNumberFormat="1" applyFont="1" applyFill="1" applyBorder="1" applyAlignment="1">
      <alignment vertical="center"/>
    </xf>
    <xf numFmtId="10" fontId="14" fillId="21" borderId="0" xfId="0" applyNumberFormat="1" applyFont="1" applyFill="1" applyBorder="1" applyAlignment="1" applyProtection="1">
      <alignment horizontal="center" vertical="center"/>
      <protection hidden="1"/>
    </xf>
    <xf numFmtId="164" fontId="44" fillId="0" borderId="29" xfId="2" applyFont="1" applyBorder="1" applyAlignment="1">
      <alignment vertical="center"/>
    </xf>
    <xf numFmtId="2" fontId="44" fillId="0" borderId="32" xfId="3" applyNumberFormat="1" applyFont="1" applyBorder="1" applyAlignment="1">
      <alignment vertical="center"/>
    </xf>
    <xf numFmtId="0" fontId="45" fillId="0" borderId="32" xfId="0" applyFont="1" applyFill="1" applyBorder="1" applyAlignment="1">
      <alignment vertical="center"/>
    </xf>
    <xf numFmtId="0" fontId="44" fillId="2" borderId="52" xfId="3" applyFont="1" applyFill="1" applyBorder="1" applyAlignment="1">
      <alignment vertical="center"/>
    </xf>
    <xf numFmtId="0" fontId="44" fillId="2" borderId="53" xfId="3" applyFont="1" applyFill="1" applyBorder="1" applyAlignment="1">
      <alignment vertical="center"/>
    </xf>
    <xf numFmtId="0" fontId="46" fillId="12" borderId="1" xfId="3" applyFont="1" applyFill="1" applyBorder="1" applyAlignment="1">
      <alignment vertical="center"/>
    </xf>
    <xf numFmtId="0" fontId="44" fillId="2" borderId="26" xfId="3" applyFont="1" applyFill="1" applyBorder="1" applyAlignment="1">
      <alignment vertical="center"/>
    </xf>
    <xf numFmtId="0" fontId="44" fillId="2" borderId="28" xfId="3" applyFont="1" applyFill="1" applyBorder="1" applyAlignment="1">
      <alignment vertical="center"/>
    </xf>
    <xf numFmtId="164" fontId="44" fillId="0" borderId="83" xfId="2" applyFont="1" applyBorder="1" applyAlignment="1">
      <alignment vertical="center"/>
    </xf>
    <xf numFmtId="164" fontId="44" fillId="0" borderId="84" xfId="2" applyFont="1" applyFill="1" applyBorder="1" applyAlignment="1">
      <alignment vertical="center"/>
    </xf>
    <xf numFmtId="2" fontId="45" fillId="2" borderId="47" xfId="3" applyNumberFormat="1" applyFont="1" applyFill="1" applyBorder="1" applyAlignment="1">
      <alignment vertical="center"/>
    </xf>
    <xf numFmtId="0" fontId="45" fillId="0" borderId="1" xfId="0" applyFont="1" applyFill="1" applyBorder="1" applyAlignment="1">
      <alignment vertical="center"/>
    </xf>
    <xf numFmtId="0" fontId="7" fillId="49" borderId="13" xfId="0" applyFont="1" applyFill="1" applyBorder="1" applyAlignment="1">
      <alignment vertical="center"/>
    </xf>
    <xf numFmtId="0" fontId="7" fillId="49" borderId="35" xfId="0" applyFont="1" applyFill="1" applyBorder="1" applyAlignment="1">
      <alignment vertical="center"/>
    </xf>
    <xf numFmtId="169" fontId="7" fillId="49" borderId="36" xfId="0" applyNumberFormat="1" applyFont="1" applyFill="1" applyBorder="1" applyAlignment="1">
      <alignment horizontal="right" vertical="center"/>
    </xf>
    <xf numFmtId="177" fontId="7" fillId="49" borderId="14" xfId="2" applyNumberFormat="1" applyFont="1" applyFill="1" applyBorder="1" applyAlignment="1">
      <alignment horizontal="right" vertical="center"/>
    </xf>
    <xf numFmtId="0" fontId="44" fillId="48" borderId="15" xfId="3" applyFont="1" applyFill="1" applyBorder="1" applyAlignment="1">
      <alignment vertical="center"/>
    </xf>
    <xf numFmtId="0" fontId="44" fillId="48" borderId="24" xfId="3" applyFont="1" applyFill="1" applyBorder="1" applyAlignment="1">
      <alignment vertical="center"/>
    </xf>
    <xf numFmtId="164" fontId="44" fillId="48" borderId="31" xfId="2" applyFont="1" applyFill="1" applyBorder="1" applyAlignment="1">
      <alignment vertical="center"/>
    </xf>
    <xf numFmtId="0" fontId="44" fillId="48" borderId="22" xfId="3" applyFont="1" applyFill="1" applyBorder="1" applyAlignment="1">
      <alignment vertical="center"/>
    </xf>
    <xf numFmtId="164" fontId="44" fillId="48" borderId="29" xfId="2" applyFont="1" applyFill="1" applyBorder="1" applyAlignment="1">
      <alignment vertical="center"/>
    </xf>
    <xf numFmtId="0" fontId="44" fillId="48" borderId="16" xfId="3" applyFont="1" applyFill="1" applyBorder="1" applyAlignment="1">
      <alignment vertical="center"/>
    </xf>
    <xf numFmtId="164" fontId="44" fillId="48" borderId="15" xfId="2" applyFont="1" applyFill="1" applyBorder="1" applyAlignment="1">
      <alignment vertical="center"/>
    </xf>
    <xf numFmtId="0" fontId="18" fillId="8" borderId="0" xfId="0" applyFont="1" applyFill="1" applyBorder="1" applyAlignment="1" applyProtection="1">
      <alignment horizontal="left" vertical="center" indent="1"/>
      <protection hidden="1"/>
    </xf>
    <xf numFmtId="0" fontId="7" fillId="34" borderId="14" xfId="0" applyFont="1" applyFill="1" applyBorder="1" applyAlignment="1">
      <alignment horizontal="right" vertical="center"/>
    </xf>
    <xf numFmtId="10" fontId="7" fillId="34" borderId="53" xfId="1" applyNumberFormat="1" applyFont="1" applyFill="1" applyBorder="1" applyAlignment="1">
      <alignment horizontal="right" vertical="center"/>
    </xf>
    <xf numFmtId="0" fontId="3" fillId="29" borderId="2" xfId="0" applyFont="1" applyFill="1" applyBorder="1" applyAlignment="1">
      <alignment vertical="center"/>
    </xf>
    <xf numFmtId="0" fontId="4" fillId="29" borderId="3" xfId="0" applyFont="1" applyFill="1" applyBorder="1" applyAlignment="1">
      <alignment vertical="center"/>
    </xf>
    <xf numFmtId="0" fontId="0" fillId="29" borderId="4" xfId="0" applyFont="1" applyFill="1" applyBorder="1" applyAlignment="1">
      <alignment vertical="center"/>
    </xf>
    <xf numFmtId="0" fontId="4" fillId="29" borderId="5" xfId="0" applyFont="1" applyFill="1" applyBorder="1" applyAlignment="1">
      <alignment vertical="center"/>
    </xf>
    <xf numFmtId="0" fontId="4" fillId="29" borderId="0" xfId="0" applyFont="1" applyFill="1" applyBorder="1" applyAlignment="1">
      <alignment vertical="center"/>
    </xf>
    <xf numFmtId="10" fontId="4" fillId="29" borderId="6" xfId="0" applyNumberFormat="1" applyFont="1" applyFill="1" applyBorder="1" applyAlignment="1">
      <alignment vertical="center"/>
    </xf>
    <xf numFmtId="0" fontId="4" fillId="29" borderId="7" xfId="0" applyFont="1" applyFill="1" applyBorder="1" applyAlignment="1">
      <alignment vertical="center"/>
    </xf>
    <xf numFmtId="0" fontId="4" fillId="29" borderId="8" xfId="0" applyFont="1" applyFill="1" applyBorder="1" applyAlignment="1">
      <alignment vertical="center"/>
    </xf>
    <xf numFmtId="10" fontId="4" fillId="29" borderId="9" xfId="0" applyNumberFormat="1" applyFont="1" applyFill="1" applyBorder="1" applyAlignment="1">
      <alignment vertical="center"/>
    </xf>
    <xf numFmtId="10" fontId="15" fillId="20" borderId="71" xfId="1" applyNumberFormat="1" applyFont="1" applyFill="1" applyBorder="1" applyAlignment="1" applyProtection="1">
      <alignment horizontal="center" vertical="center"/>
      <protection locked="0"/>
    </xf>
    <xf numFmtId="10" fontId="15" fillId="20" borderId="82" xfId="1" applyNumberFormat="1" applyFont="1" applyFill="1" applyBorder="1" applyAlignment="1" applyProtection="1">
      <alignment horizontal="center" vertical="center"/>
      <protection locked="0"/>
    </xf>
    <xf numFmtId="10" fontId="15" fillId="20" borderId="98" xfId="1" applyNumberFormat="1" applyFont="1" applyFill="1" applyBorder="1" applyAlignment="1" applyProtection="1">
      <alignment horizontal="center" vertical="center"/>
      <protection locked="0"/>
    </xf>
    <xf numFmtId="10" fontId="15" fillId="20" borderId="54" xfId="1" applyNumberFormat="1" applyFont="1" applyFill="1" applyBorder="1" applyAlignment="1" applyProtection="1">
      <alignment horizontal="center" vertical="center"/>
      <protection locked="0"/>
    </xf>
    <xf numFmtId="9" fontId="15" fillId="18" borderId="0" xfId="0" applyNumberFormat="1" applyFont="1" applyFill="1" applyBorder="1" applyAlignment="1" applyProtection="1">
      <alignment horizontal="right" vertical="center"/>
      <protection locked="0"/>
    </xf>
    <xf numFmtId="0" fontId="15" fillId="18" borderId="0" xfId="0" applyFont="1" applyFill="1" applyBorder="1" applyAlignment="1" applyProtection="1">
      <alignment vertical="center"/>
      <protection locked="0"/>
    </xf>
    <xf numFmtId="10" fontId="15" fillId="50" borderId="74" xfId="1" applyNumberFormat="1" applyFont="1" applyFill="1" applyBorder="1" applyAlignment="1" applyProtection="1">
      <alignment horizontal="left" vertical="center" indent="2"/>
      <protection hidden="1"/>
    </xf>
    <xf numFmtId="10" fontId="15" fillId="50" borderId="75" xfId="1" applyNumberFormat="1" applyFont="1" applyFill="1" applyBorder="1" applyAlignment="1" applyProtection="1">
      <alignment vertical="center"/>
      <protection hidden="1"/>
    </xf>
    <xf numFmtId="10" fontId="15" fillId="50" borderId="56" xfId="1" applyNumberFormat="1" applyFont="1" applyFill="1" applyBorder="1" applyAlignment="1" applyProtection="1">
      <alignment horizontal="left" vertical="center" indent="2"/>
      <protection hidden="1"/>
    </xf>
    <xf numFmtId="10" fontId="15" fillId="50" borderId="97" xfId="1" applyNumberFormat="1" applyFont="1" applyFill="1" applyBorder="1" applyAlignment="1" applyProtection="1">
      <alignment vertical="center"/>
      <protection hidden="1"/>
    </xf>
    <xf numFmtId="10" fontId="15" fillId="50" borderId="86" xfId="1" applyNumberFormat="1" applyFont="1" applyFill="1" applyBorder="1" applyAlignment="1" applyProtection="1">
      <alignment horizontal="left" vertical="center" indent="2"/>
      <protection hidden="1"/>
    </xf>
    <xf numFmtId="10" fontId="15" fillId="50" borderId="96" xfId="1" applyNumberFormat="1" applyFont="1" applyFill="1" applyBorder="1" applyAlignment="1" applyProtection="1">
      <alignment vertical="center"/>
      <protection hidden="1"/>
    </xf>
    <xf numFmtId="8" fontId="51" fillId="31" borderId="1" xfId="0" applyNumberFormat="1" applyFont="1" applyFill="1" applyBorder="1" applyAlignment="1" applyProtection="1">
      <alignment vertical="center"/>
      <protection hidden="1"/>
    </xf>
    <xf numFmtId="0" fontId="7" fillId="12" borderId="34" xfId="0" applyFont="1" applyFill="1" applyBorder="1" applyAlignment="1">
      <alignment horizontal="center" vertical="center"/>
    </xf>
    <xf numFmtId="10" fontId="15" fillId="47" borderId="72" xfId="1" applyNumberFormat="1" applyFont="1" applyFill="1" applyBorder="1" applyAlignment="1" applyProtection="1">
      <alignment horizontal="left" vertical="center" indent="2"/>
      <protection hidden="1"/>
    </xf>
    <xf numFmtId="10" fontId="15" fillId="47" borderId="76" xfId="1" applyNumberFormat="1" applyFont="1" applyFill="1" applyBorder="1" applyAlignment="1" applyProtection="1">
      <alignment vertical="center"/>
      <protection hidden="1"/>
    </xf>
    <xf numFmtId="10" fontId="15" fillId="24" borderId="68" xfId="1" applyNumberFormat="1" applyFont="1" applyFill="1" applyBorder="1" applyAlignment="1" applyProtection="1">
      <alignment horizontal="left" vertical="center" indent="2"/>
      <protection hidden="1"/>
    </xf>
    <xf numFmtId="10" fontId="15" fillId="24" borderId="69" xfId="1" applyNumberFormat="1" applyFont="1" applyFill="1" applyBorder="1" applyAlignment="1" applyProtection="1">
      <alignment vertical="center"/>
      <protection hidden="1"/>
    </xf>
    <xf numFmtId="0" fontId="17" fillId="26" borderId="55" xfId="0" applyFont="1" applyFill="1" applyBorder="1" applyAlignment="1" applyProtection="1">
      <alignment horizontal="center" vertical="center" wrapText="1"/>
      <protection hidden="1"/>
    </xf>
    <xf numFmtId="0" fontId="15" fillId="19" borderId="59" xfId="0" applyFont="1" applyFill="1" applyBorder="1" applyAlignment="1"/>
    <xf numFmtId="0" fontId="43" fillId="0" borderId="1" xfId="0" applyFont="1" applyBorder="1" applyAlignment="1">
      <alignment horizontal="center" vertical="center"/>
    </xf>
    <xf numFmtId="0" fontId="46" fillId="12" borderId="38" xfId="3" applyFont="1" applyFill="1" applyBorder="1" applyAlignment="1">
      <alignment vertical="center"/>
    </xf>
    <xf numFmtId="0" fontId="44" fillId="2" borderId="13" xfId="3" applyFont="1" applyFill="1" applyBorder="1" applyAlignment="1">
      <alignment vertical="center"/>
    </xf>
    <xf numFmtId="0" fontId="44" fillId="2" borderId="14" xfId="3" applyFont="1" applyFill="1" applyBorder="1" applyAlignment="1">
      <alignment vertical="center"/>
    </xf>
    <xf numFmtId="164" fontId="44" fillId="0" borderId="21" xfId="2" applyFont="1" applyBorder="1" applyAlignment="1">
      <alignment vertical="center"/>
    </xf>
    <xf numFmtId="164" fontId="44" fillId="0" borderId="99" xfId="2" applyFont="1" applyFill="1" applyBorder="1" applyAlignment="1">
      <alignment vertical="center"/>
    </xf>
    <xf numFmtId="2" fontId="44" fillId="0" borderId="38" xfId="3" applyNumberFormat="1" applyFont="1" applyBorder="1" applyAlignment="1">
      <alignment vertical="center"/>
    </xf>
    <xf numFmtId="2" fontId="45" fillId="2" borderId="100" xfId="3" applyNumberFormat="1" applyFont="1" applyFill="1" applyBorder="1" applyAlignment="1">
      <alignment vertical="center"/>
    </xf>
    <xf numFmtId="2" fontId="45" fillId="8" borderId="101" xfId="3" applyNumberFormat="1" applyFont="1" applyFill="1" applyBorder="1" applyAlignment="1">
      <alignment vertical="center"/>
    </xf>
    <xf numFmtId="0" fontId="45" fillId="0" borderId="38" xfId="0" applyFont="1" applyFill="1" applyBorder="1" applyAlignment="1">
      <alignment vertical="center"/>
    </xf>
    <xf numFmtId="164" fontId="44" fillId="0" borderId="17" xfId="2" applyFont="1" applyBorder="1" applyAlignment="1">
      <alignment vertical="center"/>
    </xf>
    <xf numFmtId="0" fontId="15" fillId="26" borderId="54" xfId="0" applyFont="1" applyFill="1" applyBorder="1" applyAlignment="1">
      <alignment horizontal="center"/>
    </xf>
    <xf numFmtId="0" fontId="16" fillId="8" borderId="0" xfId="0" applyFont="1" applyFill="1" applyAlignment="1" applyProtection="1">
      <alignment vertical="center"/>
      <protection hidden="1"/>
    </xf>
    <xf numFmtId="178" fontId="7" fillId="7" borderId="51" xfId="0" applyNumberFormat="1" applyFont="1" applyFill="1" applyBorder="1" applyAlignment="1">
      <alignment horizontal="right" vertical="center"/>
    </xf>
    <xf numFmtId="0" fontId="15" fillId="12" borderId="66" xfId="0" applyFont="1" applyFill="1" applyBorder="1" applyAlignment="1" applyProtection="1">
      <alignment vertical="center"/>
      <protection hidden="1"/>
    </xf>
    <xf numFmtId="0" fontId="15" fillId="26" borderId="85" xfId="0" applyFont="1" applyFill="1" applyBorder="1" applyAlignment="1" applyProtection="1">
      <alignment horizontal="center" vertical="center"/>
      <protection hidden="1"/>
    </xf>
    <xf numFmtId="0" fontId="15" fillId="0" borderId="102" xfId="0" applyFont="1" applyBorder="1"/>
    <xf numFmtId="0" fontId="15" fillId="0" borderId="103" xfId="0" applyFont="1" applyBorder="1"/>
    <xf numFmtId="0" fontId="15" fillId="0" borderId="104" xfId="0" applyFont="1" applyBorder="1"/>
    <xf numFmtId="0" fontId="36" fillId="0" borderId="76" xfId="0" applyFont="1" applyBorder="1"/>
    <xf numFmtId="0" fontId="15" fillId="12" borderId="76" xfId="0" applyFont="1" applyFill="1" applyBorder="1" applyAlignment="1" applyProtection="1">
      <alignment vertical="center"/>
      <protection hidden="1"/>
    </xf>
    <xf numFmtId="0" fontId="29" fillId="12" borderId="0" xfId="0" applyFont="1" applyFill="1" applyBorder="1" applyAlignment="1" applyProtection="1">
      <alignment vertical="center"/>
      <protection hidden="1"/>
    </xf>
    <xf numFmtId="0" fontId="15" fillId="26" borderId="54" xfId="0" applyFont="1" applyFill="1" applyBorder="1" applyAlignment="1" applyProtection="1">
      <alignment horizontal="center" vertical="center"/>
      <protection hidden="1"/>
    </xf>
    <xf numFmtId="0" fontId="23" fillId="15" borderId="72" xfId="0" applyFont="1" applyFill="1" applyBorder="1" applyAlignment="1" applyProtection="1">
      <alignment vertical="center"/>
      <protection hidden="1"/>
    </xf>
    <xf numFmtId="0" fontId="23" fillId="15" borderId="76" xfId="0" applyFont="1" applyFill="1" applyBorder="1" applyAlignment="1" applyProtection="1">
      <alignment vertical="center"/>
      <protection hidden="1"/>
    </xf>
    <xf numFmtId="0" fontId="23" fillId="15" borderId="55" xfId="0" applyFont="1" applyFill="1" applyBorder="1" applyAlignment="1" applyProtection="1">
      <alignment vertical="center"/>
      <protection hidden="1"/>
    </xf>
    <xf numFmtId="167" fontId="20" fillId="8" borderId="1" xfId="1" applyNumberFormat="1" applyFont="1" applyFill="1" applyBorder="1" applyAlignment="1" applyProtection="1">
      <alignment horizontal="right" vertical="center"/>
      <protection hidden="1"/>
    </xf>
    <xf numFmtId="44" fontId="7" fillId="12" borderId="0" xfId="0" applyNumberFormat="1" applyFont="1" applyFill="1" applyAlignment="1">
      <alignment vertical="center"/>
    </xf>
    <xf numFmtId="0" fontId="17" fillId="26" borderId="55" xfId="0" applyFont="1" applyFill="1" applyBorder="1" applyAlignment="1" applyProtection="1">
      <alignment horizontal="center" vertical="center"/>
      <protection hidden="1"/>
    </xf>
    <xf numFmtId="0" fontId="43" fillId="0" borderId="45" xfId="0" applyFont="1" applyBorder="1" applyAlignment="1">
      <alignment horizontal="center" vertical="center"/>
    </xf>
    <xf numFmtId="2" fontId="44" fillId="0" borderId="32" xfId="3" applyNumberFormat="1" applyFont="1" applyFill="1" applyBorder="1" applyAlignment="1">
      <alignment vertical="center"/>
    </xf>
    <xf numFmtId="2" fontId="44" fillId="0" borderId="1" xfId="3" applyNumberFormat="1" applyFont="1" applyFill="1" applyBorder="1" applyAlignment="1">
      <alignment vertical="center"/>
    </xf>
    <xf numFmtId="2" fontId="44" fillId="0" borderId="40" xfId="3" applyNumberFormat="1" applyFont="1" applyFill="1" applyBorder="1" applyAlignment="1">
      <alignment vertical="center"/>
    </xf>
    <xf numFmtId="0" fontId="4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2" borderId="0" xfId="0" applyFont="1" applyFill="1" applyBorder="1" applyAlignment="1" applyProtection="1">
      <protection hidden="1"/>
    </xf>
    <xf numFmtId="10" fontId="15" fillId="50" borderId="65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65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65" xfId="1" applyNumberFormat="1" applyFont="1" applyFill="1" applyBorder="1" applyAlignment="1" applyProtection="1">
      <alignment horizontal="center" vertical="center"/>
      <protection hidden="1"/>
    </xf>
    <xf numFmtId="10" fontId="15" fillId="26" borderId="86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86" xfId="1" applyNumberFormat="1" applyFont="1" applyFill="1" applyBorder="1" applyAlignment="1" applyProtection="1">
      <alignment horizontal="center" vertical="center"/>
      <protection hidden="1"/>
    </xf>
    <xf numFmtId="10" fontId="15" fillId="47" borderId="86" xfId="1" applyNumberFormat="1" applyFont="1" applyFill="1" applyBorder="1" applyAlignment="1" applyProtection="1">
      <alignment horizontal="left" vertical="center" indent="1"/>
      <protection hidden="1"/>
    </xf>
    <xf numFmtId="10" fontId="15" fillId="24" borderId="86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57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57" xfId="1" applyNumberFormat="1" applyFont="1" applyFill="1" applyBorder="1" applyAlignment="1" applyProtection="1">
      <alignment horizontal="center" vertical="center"/>
      <protection hidden="1"/>
    </xf>
    <xf numFmtId="10" fontId="15" fillId="51" borderId="86" xfId="1" applyNumberFormat="1" applyFont="1" applyFill="1" applyBorder="1" applyAlignment="1" applyProtection="1">
      <alignment horizontal="left" vertical="center" indent="1"/>
      <protection hidden="1"/>
    </xf>
    <xf numFmtId="0" fontId="15" fillId="12" borderId="105" xfId="0" applyFont="1" applyFill="1" applyBorder="1" applyAlignment="1" applyProtection="1">
      <protection hidden="1"/>
    </xf>
    <xf numFmtId="10" fontId="15" fillId="26" borderId="105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105" xfId="1" applyNumberFormat="1" applyFont="1" applyFill="1" applyBorder="1" applyAlignment="1" applyProtection="1">
      <alignment horizontal="center" vertical="center"/>
      <protection hidden="1"/>
    </xf>
    <xf numFmtId="0" fontId="15" fillId="12" borderId="0" xfId="0" applyFont="1" applyFill="1" applyAlignment="1" applyProtection="1">
      <alignment horizontal="center"/>
      <protection hidden="1"/>
    </xf>
    <xf numFmtId="10" fontId="15" fillId="20" borderId="85" xfId="1" applyNumberFormat="1" applyFont="1" applyFill="1" applyBorder="1" applyAlignment="1" applyProtection="1">
      <alignment horizontal="center" vertical="center"/>
      <protection locked="0"/>
    </xf>
    <xf numFmtId="10" fontId="15" fillId="20" borderId="59" xfId="1" applyNumberFormat="1" applyFont="1" applyFill="1" applyBorder="1" applyAlignment="1" applyProtection="1">
      <alignment horizontal="center" vertical="center"/>
      <protection locked="0"/>
    </xf>
    <xf numFmtId="10" fontId="15" fillId="20" borderId="106" xfId="1" applyNumberFormat="1" applyFont="1" applyFill="1" applyBorder="1" applyAlignment="1" applyProtection="1">
      <alignment horizontal="center" vertical="center"/>
      <protection locked="0"/>
    </xf>
    <xf numFmtId="0" fontId="15" fillId="28" borderId="65" xfId="0" applyFont="1" applyFill="1" applyBorder="1" applyAlignment="1" applyProtection="1">
      <alignment horizontal="left"/>
      <protection locked="0"/>
    </xf>
    <xf numFmtId="174" fontId="15" fillId="28" borderId="91" xfId="2" applyNumberFormat="1" applyFont="1" applyFill="1" applyBorder="1" applyAlignment="1" applyProtection="1">
      <protection locked="0"/>
    </xf>
    <xf numFmtId="174" fontId="15" fillId="28" borderId="90" xfId="2" applyNumberFormat="1" applyFont="1" applyFill="1" applyBorder="1" applyAlignment="1" applyProtection="1">
      <protection locked="0"/>
    </xf>
    <xf numFmtId="174" fontId="15" fillId="28" borderId="65" xfId="2" applyNumberFormat="1" applyFont="1" applyFill="1" applyBorder="1" applyAlignment="1" applyProtection="1">
      <protection locked="0"/>
    </xf>
    <xf numFmtId="10" fontId="15" fillId="28" borderId="65" xfId="2" applyNumberFormat="1" applyFont="1" applyFill="1" applyBorder="1" applyAlignment="1" applyProtection="1">
      <protection locked="0"/>
    </xf>
    <xf numFmtId="10" fontId="15" fillId="28" borderId="65" xfId="0" applyNumberFormat="1" applyFont="1" applyFill="1" applyBorder="1" applyAlignment="1" applyProtection="1">
      <protection locked="0"/>
    </xf>
    <xf numFmtId="10" fontId="15" fillId="53" borderId="65" xfId="0" applyNumberFormat="1" applyFont="1" applyFill="1" applyBorder="1" applyAlignment="1" applyProtection="1">
      <protection locked="0"/>
    </xf>
    <xf numFmtId="10" fontId="15" fillId="28" borderId="90" xfId="0" applyNumberFormat="1" applyFont="1" applyFill="1" applyBorder="1" applyAlignment="1" applyProtection="1">
      <protection locked="0"/>
    </xf>
    <xf numFmtId="10" fontId="15" fillId="28" borderId="65" xfId="1" applyNumberFormat="1" applyFont="1" applyFill="1" applyBorder="1" applyProtection="1">
      <protection locked="0"/>
    </xf>
    <xf numFmtId="44" fontId="15" fillId="28" borderId="65" xfId="4" applyNumberFormat="1" applyFont="1" applyFill="1" applyBorder="1" applyProtection="1">
      <protection locked="0"/>
    </xf>
    <xf numFmtId="44" fontId="15" fillId="28" borderId="65" xfId="4" applyNumberFormat="1" applyFont="1" applyFill="1" applyBorder="1" applyAlignment="1" applyProtection="1">
      <alignment horizontal="center"/>
      <protection locked="0"/>
    </xf>
    <xf numFmtId="10" fontId="15" fillId="29" borderId="91" xfId="0" applyNumberFormat="1" applyFont="1" applyFill="1" applyBorder="1" applyAlignment="1" applyProtection="1">
      <protection locked="0"/>
    </xf>
    <xf numFmtId="10" fontId="15" fillId="29" borderId="65" xfId="0" applyNumberFormat="1" applyFont="1" applyFill="1" applyBorder="1" applyProtection="1">
      <protection locked="0"/>
    </xf>
    <xf numFmtId="164" fontId="15" fillId="29" borderId="65" xfId="2" applyNumberFormat="1" applyFont="1" applyFill="1" applyBorder="1" applyProtection="1">
      <protection locked="0"/>
    </xf>
    <xf numFmtId="10" fontId="15" fillId="29" borderId="65" xfId="0" applyNumberFormat="1" applyFont="1" applyFill="1" applyBorder="1" applyAlignment="1" applyProtection="1">
      <alignment horizontal="center"/>
      <protection locked="0"/>
    </xf>
    <xf numFmtId="9" fontId="15" fillId="29" borderId="92" xfId="1" applyNumberFormat="1" applyFont="1" applyFill="1" applyBorder="1" applyProtection="1">
      <protection locked="0"/>
    </xf>
    <xf numFmtId="0" fontId="15" fillId="28" borderId="86" xfId="0" applyFont="1" applyFill="1" applyBorder="1" applyAlignment="1" applyProtection="1">
      <alignment horizontal="left"/>
      <protection locked="0"/>
    </xf>
    <xf numFmtId="174" fontId="15" fillId="28" borderId="94" xfId="2" applyNumberFormat="1" applyFont="1" applyFill="1" applyBorder="1" applyAlignment="1" applyProtection="1">
      <protection locked="0"/>
    </xf>
    <xf numFmtId="174" fontId="15" fillId="28" borderId="93" xfId="2" applyNumberFormat="1" applyFont="1" applyFill="1" applyBorder="1" applyAlignment="1" applyProtection="1">
      <protection locked="0"/>
    </xf>
    <xf numFmtId="174" fontId="15" fillId="28" borderId="86" xfId="2" applyNumberFormat="1" applyFont="1" applyFill="1" applyBorder="1" applyAlignment="1" applyProtection="1">
      <protection locked="0"/>
    </xf>
    <xf numFmtId="10" fontId="15" fillId="28" borderId="86" xfId="2" applyNumberFormat="1" applyFont="1" applyFill="1" applyBorder="1" applyAlignment="1" applyProtection="1">
      <protection locked="0"/>
    </xf>
    <xf numFmtId="10" fontId="15" fillId="28" borderId="86" xfId="0" applyNumberFormat="1" applyFont="1" applyFill="1" applyBorder="1" applyAlignment="1" applyProtection="1">
      <protection locked="0"/>
    </xf>
    <xf numFmtId="10" fontId="15" fillId="53" borderId="86" xfId="0" applyNumberFormat="1" applyFont="1" applyFill="1" applyBorder="1" applyAlignment="1" applyProtection="1">
      <protection locked="0"/>
    </xf>
    <xf numFmtId="10" fontId="15" fillId="28" borderId="93" xfId="0" applyNumberFormat="1" applyFont="1" applyFill="1" applyBorder="1" applyAlignment="1" applyProtection="1">
      <protection locked="0"/>
    </xf>
    <xf numFmtId="10" fontId="15" fillId="28" borderId="86" xfId="1" applyNumberFormat="1" applyFont="1" applyFill="1" applyBorder="1" applyProtection="1">
      <protection locked="0"/>
    </xf>
    <xf numFmtId="44" fontId="15" fillId="28" borderId="86" xfId="4" applyNumberFormat="1" applyFont="1" applyFill="1" applyBorder="1" applyProtection="1">
      <protection locked="0"/>
    </xf>
    <xf numFmtId="44" fontId="15" fillId="28" borderId="86" xfId="4" applyNumberFormat="1" applyFont="1" applyFill="1" applyBorder="1" applyAlignment="1" applyProtection="1">
      <alignment horizontal="center"/>
      <protection locked="0"/>
    </xf>
    <xf numFmtId="10" fontId="15" fillId="29" borderId="94" xfId="0" applyNumberFormat="1" applyFont="1" applyFill="1" applyBorder="1" applyAlignment="1" applyProtection="1">
      <protection locked="0"/>
    </xf>
    <xf numFmtId="10" fontId="15" fillId="29" borderId="86" xfId="0" applyNumberFormat="1" applyFont="1" applyFill="1" applyBorder="1" applyProtection="1">
      <protection locked="0"/>
    </xf>
    <xf numFmtId="164" fontId="15" fillId="29" borderId="86" xfId="2" applyNumberFormat="1" applyFont="1" applyFill="1" applyBorder="1" applyProtection="1">
      <protection locked="0"/>
    </xf>
    <xf numFmtId="10" fontId="15" fillId="29" borderId="86" xfId="0" applyNumberFormat="1" applyFont="1" applyFill="1" applyBorder="1" applyAlignment="1" applyProtection="1">
      <alignment horizontal="center"/>
      <protection locked="0"/>
    </xf>
    <xf numFmtId="9" fontId="15" fillId="29" borderId="95" xfId="1" applyNumberFormat="1" applyFont="1" applyFill="1" applyBorder="1" applyProtection="1">
      <protection locked="0"/>
    </xf>
    <xf numFmtId="10" fontId="15" fillId="28" borderId="86" xfId="1" applyNumberFormat="1" applyFont="1" applyFill="1" applyBorder="1" applyAlignment="1" applyProtection="1">
      <protection locked="0"/>
    </xf>
    <xf numFmtId="10" fontId="15" fillId="29" borderId="86" xfId="1" applyNumberFormat="1" applyFont="1" applyFill="1" applyBorder="1" applyProtection="1">
      <protection locked="0"/>
    </xf>
    <xf numFmtId="10" fontId="15" fillId="29" borderId="86" xfId="1" applyNumberFormat="1" applyFont="1" applyFill="1" applyBorder="1" applyAlignment="1" applyProtection="1">
      <alignment horizontal="center"/>
      <protection locked="0"/>
    </xf>
    <xf numFmtId="0" fontId="15" fillId="19" borderId="65" xfId="0" applyFont="1" applyFill="1" applyBorder="1" applyAlignment="1" applyProtection="1">
      <alignment horizontal="left"/>
      <protection locked="0"/>
    </xf>
    <xf numFmtId="174" fontId="15" fillId="19" borderId="91" xfId="2" applyNumberFormat="1" applyFont="1" applyFill="1" applyBorder="1" applyAlignment="1" applyProtection="1">
      <protection locked="0"/>
    </xf>
    <xf numFmtId="174" fontId="15" fillId="19" borderId="90" xfId="2" applyNumberFormat="1" applyFont="1" applyFill="1" applyBorder="1" applyAlignment="1" applyProtection="1">
      <protection locked="0"/>
    </xf>
    <xf numFmtId="174" fontId="15" fillId="19" borderId="65" xfId="2" applyNumberFormat="1" applyFont="1" applyFill="1" applyBorder="1" applyAlignment="1" applyProtection="1">
      <protection locked="0"/>
    </xf>
    <xf numFmtId="10" fontId="15" fillId="19" borderId="65" xfId="1" applyNumberFormat="1" applyFont="1" applyFill="1" applyBorder="1" applyAlignment="1" applyProtection="1">
      <protection locked="0"/>
    </xf>
    <xf numFmtId="10" fontId="15" fillId="19" borderId="65" xfId="0" applyNumberFormat="1" applyFont="1" applyFill="1" applyBorder="1" applyAlignment="1" applyProtection="1">
      <protection locked="0"/>
    </xf>
    <xf numFmtId="10" fontId="15" fillId="54" borderId="65" xfId="0" applyNumberFormat="1" applyFont="1" applyFill="1" applyBorder="1" applyAlignment="1" applyProtection="1">
      <protection locked="0"/>
    </xf>
    <xf numFmtId="10" fontId="15" fillId="19" borderId="90" xfId="0" applyNumberFormat="1" applyFont="1" applyFill="1" applyBorder="1" applyAlignment="1" applyProtection="1">
      <protection locked="0"/>
    </xf>
    <xf numFmtId="10" fontId="15" fillId="19" borderId="65" xfId="1" applyNumberFormat="1" applyFont="1" applyFill="1" applyBorder="1" applyProtection="1">
      <protection locked="0"/>
    </xf>
    <xf numFmtId="44" fontId="15" fillId="19" borderId="65" xfId="4" applyNumberFormat="1" applyFont="1" applyFill="1" applyBorder="1" applyProtection="1">
      <protection locked="0"/>
    </xf>
    <xf numFmtId="44" fontId="15" fillId="19" borderId="65" xfId="4" applyNumberFormat="1" applyFont="1" applyFill="1" applyBorder="1" applyAlignment="1" applyProtection="1">
      <alignment horizontal="center"/>
      <protection locked="0"/>
    </xf>
    <xf numFmtId="10" fontId="15" fillId="3" borderId="91" xfId="0" applyNumberFormat="1" applyFont="1" applyFill="1" applyBorder="1" applyAlignment="1" applyProtection="1">
      <protection locked="0"/>
    </xf>
    <xf numFmtId="10" fontId="15" fillId="3" borderId="65" xfId="0" applyNumberFormat="1" applyFont="1" applyFill="1" applyBorder="1" applyProtection="1">
      <protection locked="0"/>
    </xf>
    <xf numFmtId="164" fontId="15" fillId="3" borderId="65" xfId="2" applyNumberFormat="1" applyFont="1" applyFill="1" applyBorder="1" applyProtection="1">
      <protection locked="0"/>
    </xf>
    <xf numFmtId="10" fontId="15" fillId="3" borderId="65" xfId="1" applyNumberFormat="1" applyFont="1" applyFill="1" applyBorder="1" applyProtection="1">
      <protection locked="0"/>
    </xf>
    <xf numFmtId="10" fontId="15" fillId="3" borderId="65" xfId="1" applyNumberFormat="1" applyFont="1" applyFill="1" applyBorder="1" applyAlignment="1" applyProtection="1">
      <alignment horizontal="center"/>
      <protection locked="0"/>
    </xf>
    <xf numFmtId="9" fontId="15" fillId="3" borderId="92" xfId="1" applyNumberFormat="1" applyFont="1" applyFill="1" applyBorder="1" applyProtection="1">
      <protection locked="0"/>
    </xf>
    <xf numFmtId="0" fontId="15" fillId="19" borderId="86" xfId="0" applyFont="1" applyFill="1" applyBorder="1" applyAlignment="1" applyProtection="1">
      <alignment horizontal="left"/>
      <protection locked="0"/>
    </xf>
    <xf numFmtId="174" fontId="15" fillId="19" borderId="94" xfId="2" applyNumberFormat="1" applyFont="1" applyFill="1" applyBorder="1" applyAlignment="1" applyProtection="1">
      <protection locked="0"/>
    </xf>
    <xf numFmtId="174" fontId="15" fillId="19" borderId="93" xfId="2" applyNumberFormat="1" applyFont="1" applyFill="1" applyBorder="1" applyAlignment="1" applyProtection="1">
      <protection locked="0"/>
    </xf>
    <xf numFmtId="174" fontId="15" fillId="19" borderId="86" xfId="2" applyNumberFormat="1" applyFont="1" applyFill="1" applyBorder="1" applyAlignment="1" applyProtection="1">
      <protection locked="0"/>
    </xf>
    <xf numFmtId="10" fontId="15" fillId="19" borderId="86" xfId="2" applyNumberFormat="1" applyFont="1" applyFill="1" applyBorder="1" applyAlignment="1" applyProtection="1">
      <protection locked="0"/>
    </xf>
    <xf numFmtId="10" fontId="15" fillId="19" borderId="86" xfId="0" applyNumberFormat="1" applyFont="1" applyFill="1" applyBorder="1" applyAlignment="1" applyProtection="1">
      <protection locked="0"/>
    </xf>
    <xf numFmtId="10" fontId="15" fillId="54" borderId="86" xfId="0" applyNumberFormat="1" applyFont="1" applyFill="1" applyBorder="1" applyAlignment="1" applyProtection="1">
      <protection locked="0"/>
    </xf>
    <xf numFmtId="10" fontId="15" fillId="19" borderId="93" xfId="0" applyNumberFormat="1" applyFont="1" applyFill="1" applyBorder="1" applyAlignment="1" applyProtection="1">
      <protection locked="0"/>
    </xf>
    <xf numFmtId="10" fontId="15" fillId="19" borderId="86" xfId="1" applyNumberFormat="1" applyFont="1" applyFill="1" applyBorder="1" applyProtection="1">
      <protection locked="0"/>
    </xf>
    <xf numFmtId="44" fontId="15" fillId="19" borderId="86" xfId="4" applyNumberFormat="1" applyFont="1" applyFill="1" applyBorder="1" applyProtection="1">
      <protection locked="0"/>
    </xf>
    <xf numFmtId="44" fontId="15" fillId="19" borderId="86" xfId="4" applyNumberFormat="1" applyFont="1" applyFill="1" applyBorder="1" applyAlignment="1" applyProtection="1">
      <alignment horizontal="center"/>
      <protection locked="0"/>
    </xf>
    <xf numFmtId="10" fontId="15" fillId="3" borderId="94" xfId="0" applyNumberFormat="1" applyFont="1" applyFill="1" applyBorder="1" applyAlignment="1" applyProtection="1">
      <protection locked="0"/>
    </xf>
    <xf numFmtId="10" fontId="15" fillId="3" borderId="86" xfId="0" applyNumberFormat="1" applyFont="1" applyFill="1" applyBorder="1" applyProtection="1">
      <protection locked="0"/>
    </xf>
    <xf numFmtId="164" fontId="15" fillId="3" borderId="86" xfId="2" applyNumberFormat="1" applyFont="1" applyFill="1" applyBorder="1" applyProtection="1">
      <protection locked="0"/>
    </xf>
    <xf numFmtId="10" fontId="15" fillId="3" borderId="86" xfId="1" applyNumberFormat="1" applyFont="1" applyFill="1" applyBorder="1" applyProtection="1">
      <protection locked="0"/>
    </xf>
    <xf numFmtId="10" fontId="15" fillId="3" borderId="86" xfId="1" applyNumberFormat="1" applyFont="1" applyFill="1" applyBorder="1" applyAlignment="1" applyProtection="1">
      <alignment horizontal="center"/>
      <protection locked="0"/>
    </xf>
    <xf numFmtId="9" fontId="15" fillId="3" borderId="95" xfId="1" applyNumberFormat="1" applyFont="1" applyFill="1" applyBorder="1" applyProtection="1">
      <protection locked="0"/>
    </xf>
    <xf numFmtId="10" fontId="15" fillId="3" borderId="86" xfId="0" applyNumberFormat="1" applyFont="1" applyFill="1" applyBorder="1" applyAlignment="1" applyProtection="1">
      <alignment horizontal="center"/>
      <protection locked="0"/>
    </xf>
    <xf numFmtId="10" fontId="15" fillId="19" borderId="86" xfId="0" applyNumberFormat="1" applyFont="1" applyFill="1" applyBorder="1" applyAlignment="1" applyProtection="1">
      <alignment horizontal="right"/>
      <protection locked="0"/>
    </xf>
    <xf numFmtId="10" fontId="15" fillId="54" borderId="86" xfId="0" applyNumberFormat="1" applyFont="1" applyFill="1" applyBorder="1" applyAlignment="1" applyProtection="1">
      <alignment horizontal="center"/>
      <protection locked="0"/>
    </xf>
    <xf numFmtId="10" fontId="15" fillId="19" borderId="86" xfId="0" applyNumberFormat="1" applyFont="1" applyFill="1" applyBorder="1" applyAlignment="1" applyProtection="1">
      <alignment horizontal="center"/>
      <protection locked="0"/>
    </xf>
    <xf numFmtId="10" fontId="15" fillId="19" borderId="93" xfId="0" applyNumberFormat="1" applyFont="1" applyFill="1" applyBorder="1" applyAlignment="1" applyProtection="1">
      <alignment horizontal="center"/>
      <protection locked="0"/>
    </xf>
    <xf numFmtId="10" fontId="15" fillId="26" borderId="56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56" xfId="1" applyNumberFormat="1" applyFont="1" applyFill="1" applyBorder="1" applyAlignment="1" applyProtection="1">
      <alignment horizontal="center" vertical="center"/>
      <protection hidden="1"/>
    </xf>
    <xf numFmtId="0" fontId="46" fillId="12" borderId="34" xfId="3" applyFont="1" applyFill="1" applyBorder="1" applyAlignment="1">
      <alignment vertical="center"/>
    </xf>
    <xf numFmtId="164" fontId="44" fillId="0" borderId="15" xfId="2" applyFont="1" applyBorder="1" applyAlignment="1">
      <alignment vertical="center"/>
    </xf>
    <xf numFmtId="164" fontId="44" fillId="0" borderId="33" xfId="2" applyFont="1" applyFill="1" applyBorder="1" applyAlignment="1">
      <alignment vertical="center"/>
    </xf>
    <xf numFmtId="2" fontId="44" fillId="0" borderId="34" xfId="3" applyNumberFormat="1" applyFont="1" applyFill="1" applyBorder="1" applyAlignment="1">
      <alignment vertical="center"/>
    </xf>
    <xf numFmtId="2" fontId="45" fillId="2" borderId="81" xfId="3" applyNumberFormat="1" applyFont="1" applyFill="1" applyBorder="1" applyAlignment="1">
      <alignment vertical="center"/>
    </xf>
    <xf numFmtId="2" fontId="45" fillId="8" borderId="108" xfId="3" applyNumberFormat="1" applyFont="1" applyFill="1" applyBorder="1" applyAlignment="1">
      <alignment vertical="center"/>
    </xf>
    <xf numFmtId="10" fontId="15" fillId="26" borderId="107" xfId="1" applyNumberFormat="1" applyFont="1" applyFill="1" applyBorder="1" applyAlignment="1" applyProtection="1">
      <alignment horizontal="left" vertical="center" indent="1"/>
      <protection hidden="1"/>
    </xf>
    <xf numFmtId="10" fontId="15" fillId="20" borderId="109" xfId="1" applyNumberFormat="1" applyFont="1" applyFill="1" applyBorder="1" applyAlignment="1" applyProtection="1">
      <alignment horizontal="center" vertical="center"/>
      <protection locked="0"/>
    </xf>
    <xf numFmtId="10" fontId="15" fillId="26" borderId="72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72" xfId="1" applyNumberFormat="1" applyFont="1" applyFill="1" applyBorder="1" applyAlignment="1" applyProtection="1">
      <alignment horizontal="center" vertical="center"/>
      <protection hidden="1"/>
    </xf>
    <xf numFmtId="10" fontId="15" fillId="26" borderId="58" xfId="1" applyNumberFormat="1" applyFont="1" applyFill="1" applyBorder="1" applyAlignment="1" applyProtection="1">
      <alignment horizontal="center" vertical="center"/>
      <protection hidden="1"/>
    </xf>
    <xf numFmtId="10" fontId="15" fillId="26" borderId="71" xfId="1" applyNumberFormat="1" applyFont="1" applyFill="1" applyBorder="1" applyAlignment="1" applyProtection="1">
      <alignment horizontal="center" vertical="center"/>
      <protection hidden="1"/>
    </xf>
    <xf numFmtId="10" fontId="15" fillId="26" borderId="59" xfId="1" applyNumberFormat="1" applyFont="1" applyFill="1" applyBorder="1" applyAlignment="1" applyProtection="1">
      <alignment horizontal="center" vertical="center"/>
      <protection hidden="1"/>
    </xf>
    <xf numFmtId="2" fontId="45" fillId="0" borderId="43" xfId="3" applyNumberFormat="1" applyFont="1" applyFill="1" applyBorder="1" applyAlignment="1">
      <alignment vertical="center"/>
    </xf>
    <xf numFmtId="2" fontId="45" fillId="0" borderId="108" xfId="3" applyNumberFormat="1" applyFont="1" applyFill="1" applyBorder="1" applyAlignment="1">
      <alignment vertical="center"/>
    </xf>
    <xf numFmtId="2" fontId="45" fillId="0" borderId="7" xfId="3" applyNumberFormat="1" applyFont="1" applyFill="1" applyBorder="1" applyAlignment="1">
      <alignment vertical="center"/>
    </xf>
    <xf numFmtId="2" fontId="45" fillId="0" borderId="44" xfId="3" applyNumberFormat="1" applyFont="1" applyFill="1" applyBorder="1" applyAlignment="1">
      <alignment vertical="center"/>
    </xf>
    <xf numFmtId="0" fontId="7" fillId="55" borderId="38" xfId="0" applyFont="1" applyFill="1" applyBorder="1" applyAlignment="1">
      <alignment horizontal="center" vertical="center"/>
    </xf>
    <xf numFmtId="0" fontId="7" fillId="55" borderId="34" xfId="0" applyFont="1" applyFill="1" applyBorder="1" applyAlignment="1">
      <alignment horizontal="center" vertical="center"/>
    </xf>
    <xf numFmtId="0" fontId="7" fillId="55" borderId="40" xfId="0" applyFont="1" applyFill="1" applyBorder="1" applyAlignment="1">
      <alignment horizontal="center" vertical="center"/>
    </xf>
    <xf numFmtId="0" fontId="14" fillId="26" borderId="67" xfId="0" applyFont="1" applyFill="1" applyBorder="1" applyAlignment="1" applyProtection="1">
      <alignment horizontal="center" vertical="center" wrapText="1"/>
      <protection hidden="1"/>
    </xf>
    <xf numFmtId="0" fontId="14" fillId="26" borderId="54" xfId="0" applyFont="1" applyFill="1" applyBorder="1" applyAlignment="1" applyProtection="1">
      <alignment horizontal="center" vertical="center" wrapText="1"/>
      <protection hidden="1"/>
    </xf>
    <xf numFmtId="167" fontId="17" fillId="20" borderId="54" xfId="1" applyNumberFormat="1" applyFont="1" applyFill="1" applyBorder="1" applyAlignment="1" applyProtection="1">
      <alignment horizontal="center" vertical="center" wrapText="1"/>
      <protection locked="0"/>
    </xf>
    <xf numFmtId="0" fontId="15" fillId="19" borderId="58" xfId="0" applyFont="1" applyFill="1" applyBorder="1" applyAlignment="1"/>
    <xf numFmtId="0" fontId="29" fillId="12" borderId="0" xfId="0" applyFont="1" applyFill="1" applyBorder="1" applyAlignment="1" applyProtection="1">
      <alignment horizontal="left" vertical="center"/>
      <protection hidden="1"/>
    </xf>
    <xf numFmtId="0" fontId="42" fillId="6" borderId="65" xfId="0" applyFont="1" applyFill="1" applyBorder="1" applyAlignment="1">
      <alignment horizontal="center" vertical="center"/>
    </xf>
    <xf numFmtId="0" fontId="42" fillId="10" borderId="87" xfId="0" applyFont="1" applyFill="1" applyBorder="1" applyAlignment="1">
      <alignment horizontal="center" vertical="center" wrapText="1"/>
    </xf>
    <xf numFmtId="0" fontId="42" fillId="10" borderId="110" xfId="0" applyFont="1" applyFill="1" applyBorder="1" applyAlignment="1">
      <alignment horizontal="center" vertical="center" wrapText="1"/>
    </xf>
    <xf numFmtId="0" fontId="42" fillId="10" borderId="88" xfId="0" applyFont="1" applyFill="1" applyBorder="1" applyAlignment="1">
      <alignment horizontal="center" vertical="center" wrapText="1"/>
    </xf>
    <xf numFmtId="164" fontId="42" fillId="10" borderId="88" xfId="2" applyNumberFormat="1" applyFont="1" applyFill="1" applyBorder="1" applyAlignment="1">
      <alignment horizontal="center" vertical="center" wrapText="1"/>
    </xf>
    <xf numFmtId="164" fontId="42" fillId="10" borderId="110" xfId="2" applyNumberFormat="1" applyFont="1" applyFill="1" applyBorder="1" applyAlignment="1">
      <alignment horizontal="center" vertical="center" wrapText="1"/>
    </xf>
    <xf numFmtId="9" fontId="42" fillId="10" borderId="88" xfId="1" applyNumberFormat="1" applyFont="1" applyFill="1" applyBorder="1" applyAlignment="1">
      <alignment horizontal="center" vertical="center" wrapText="1"/>
    </xf>
    <xf numFmtId="0" fontId="42" fillId="10" borderId="88" xfId="0" applyFont="1" applyFill="1" applyBorder="1" applyAlignment="1">
      <alignment horizontal="center" wrapText="1"/>
    </xf>
    <xf numFmtId="0" fontId="42" fillId="6" borderId="87" xfId="0" applyFont="1" applyFill="1" applyBorder="1" applyAlignment="1">
      <alignment horizontal="center" vertical="center" wrapText="1"/>
    </xf>
    <xf numFmtId="0" fontId="42" fillId="6" borderId="88" xfId="0" applyFont="1" applyFill="1" applyBorder="1" applyAlignment="1">
      <alignment horizontal="center" vertical="center" wrapText="1"/>
    </xf>
    <xf numFmtId="0" fontId="42" fillId="6" borderId="89" xfId="0" applyFont="1" applyFill="1" applyBorder="1" applyAlignment="1">
      <alignment horizontal="center" vertical="center" wrapText="1"/>
    </xf>
    <xf numFmtId="0" fontId="38" fillId="28" borderId="90" xfId="0" applyFont="1" applyFill="1" applyBorder="1" applyAlignment="1">
      <alignment horizontal="left"/>
    </xf>
    <xf numFmtId="0" fontId="38" fillId="28" borderId="65" xfId="0" applyFont="1" applyFill="1" applyBorder="1" applyAlignment="1">
      <alignment horizontal="left"/>
    </xf>
    <xf numFmtId="0" fontId="38" fillId="28" borderId="93" xfId="0" applyFont="1" applyFill="1" applyBorder="1" applyAlignment="1">
      <alignment horizontal="left"/>
    </xf>
    <xf numFmtId="0" fontId="38" fillId="28" borderId="86" xfId="0" applyFont="1" applyFill="1" applyBorder="1" applyAlignment="1">
      <alignment horizontal="left"/>
    </xf>
    <xf numFmtId="0" fontId="38" fillId="19" borderId="90" xfId="0" applyFont="1" applyFill="1" applyBorder="1" applyAlignment="1">
      <alignment horizontal="left"/>
    </xf>
    <xf numFmtId="0" fontId="38" fillId="19" borderId="65" xfId="0" applyFont="1" applyFill="1" applyBorder="1" applyAlignment="1">
      <alignment horizontal="left"/>
    </xf>
    <xf numFmtId="0" fontId="38" fillId="19" borderId="93" xfId="0" applyFont="1" applyFill="1" applyBorder="1" applyAlignment="1">
      <alignment horizontal="left"/>
    </xf>
    <xf numFmtId="0" fontId="38" fillId="19" borderId="86" xfId="0" applyFont="1" applyFill="1" applyBorder="1" applyAlignment="1">
      <alignment horizontal="left"/>
    </xf>
    <xf numFmtId="0" fontId="42" fillId="6" borderId="66" xfId="0" applyFont="1" applyFill="1" applyBorder="1" applyAlignment="1">
      <alignment horizontal="center" vertical="center"/>
    </xf>
    <xf numFmtId="166" fontId="15" fillId="28" borderId="65" xfId="2" applyNumberFormat="1" applyFont="1" applyFill="1" applyBorder="1" applyProtection="1">
      <protection locked="0"/>
    </xf>
    <xf numFmtId="166" fontId="15" fillId="28" borderId="90" xfId="2" applyNumberFormat="1" applyFont="1" applyFill="1" applyBorder="1" applyProtection="1">
      <protection locked="0"/>
    </xf>
    <xf numFmtId="166" fontId="15" fillId="28" borderId="86" xfId="2" applyNumberFormat="1" applyFont="1" applyFill="1" applyBorder="1" applyProtection="1">
      <protection locked="0"/>
    </xf>
    <xf numFmtId="166" fontId="15" fillId="28" borderId="93" xfId="2" applyNumberFormat="1" applyFont="1" applyFill="1" applyBorder="1" applyProtection="1">
      <protection locked="0"/>
    </xf>
    <xf numFmtId="166" fontId="15" fillId="19" borderId="65" xfId="2" applyNumberFormat="1" applyFont="1" applyFill="1" applyBorder="1" applyProtection="1">
      <protection locked="0"/>
    </xf>
    <xf numFmtId="166" fontId="15" fillId="19" borderId="90" xfId="2" applyNumberFormat="1" applyFont="1" applyFill="1" applyBorder="1" applyProtection="1">
      <protection locked="0"/>
    </xf>
    <xf numFmtId="166" fontId="15" fillId="19" borderId="86" xfId="2" applyNumberFormat="1" applyFont="1" applyFill="1" applyBorder="1" applyProtection="1">
      <protection locked="0"/>
    </xf>
    <xf numFmtId="166" fontId="15" fillId="19" borderId="93" xfId="2" applyNumberFormat="1" applyFont="1" applyFill="1" applyBorder="1" applyProtection="1">
      <protection locked="0"/>
    </xf>
    <xf numFmtId="8" fontId="29" fillId="12" borderId="0" xfId="0" applyNumberFormat="1" applyFont="1" applyFill="1" applyAlignment="1" applyProtection="1">
      <alignment vertical="center"/>
      <protection hidden="1"/>
    </xf>
    <xf numFmtId="0" fontId="15" fillId="54" borderId="58" xfId="0" applyFont="1" applyFill="1" applyBorder="1" applyAlignment="1">
      <alignment horizontal="left"/>
    </xf>
    <xf numFmtId="0" fontId="15" fillId="54" borderId="58" xfId="0" applyFont="1" applyFill="1" applyBorder="1" applyAlignment="1"/>
    <xf numFmtId="0" fontId="15" fillId="54" borderId="71" xfId="0" applyFont="1" applyFill="1" applyBorder="1" applyAlignment="1">
      <alignment horizontal="left"/>
    </xf>
    <xf numFmtId="0" fontId="15" fillId="54" borderId="71" xfId="0" applyFont="1" applyFill="1" applyBorder="1" applyAlignment="1"/>
    <xf numFmtId="0" fontId="15" fillId="54" borderId="59" xfId="0" applyFont="1" applyFill="1" applyBorder="1" applyAlignment="1">
      <alignment horizontal="left"/>
    </xf>
    <xf numFmtId="0" fontId="15" fillId="54" borderId="59" xfId="0" applyFont="1" applyFill="1" applyBorder="1" applyAlignment="1"/>
    <xf numFmtId="0" fontId="53" fillId="18" borderId="0" xfId="0" applyFont="1" applyFill="1" applyAlignment="1" applyProtection="1">
      <alignment horizontal="center" vertical="center"/>
      <protection locked="0"/>
    </xf>
    <xf numFmtId="10" fontId="53" fillId="50" borderId="65" xfId="1" applyNumberFormat="1" applyFont="1" applyFill="1" applyBorder="1" applyAlignment="1" applyProtection="1">
      <alignment horizontal="left" vertical="center" indent="1"/>
      <protection hidden="1"/>
    </xf>
    <xf numFmtId="10" fontId="53" fillId="50" borderId="86" xfId="1" applyNumberFormat="1" applyFont="1" applyFill="1" applyBorder="1" applyAlignment="1" applyProtection="1">
      <alignment horizontal="left" vertical="center" indent="1"/>
      <protection hidden="1"/>
    </xf>
    <xf numFmtId="10" fontId="53" fillId="50" borderId="57" xfId="1" applyNumberFormat="1" applyFont="1" applyFill="1" applyBorder="1" applyAlignment="1" applyProtection="1">
      <alignment horizontal="left" vertical="center" indent="1"/>
      <protection hidden="1"/>
    </xf>
    <xf numFmtId="10" fontId="53" fillId="47" borderId="105" xfId="1" applyNumberFormat="1" applyFont="1" applyFill="1" applyBorder="1" applyAlignment="1" applyProtection="1">
      <alignment horizontal="left" vertical="center" indent="1"/>
      <protection hidden="1"/>
    </xf>
    <xf numFmtId="10" fontId="53" fillId="47" borderId="86" xfId="1" applyNumberFormat="1" applyFont="1" applyFill="1" applyBorder="1" applyAlignment="1" applyProtection="1">
      <alignment horizontal="left" vertical="center" indent="1"/>
      <protection hidden="1"/>
    </xf>
    <xf numFmtId="10" fontId="54" fillId="24" borderId="65" xfId="1" applyNumberFormat="1" applyFont="1" applyFill="1" applyBorder="1" applyAlignment="1" applyProtection="1">
      <alignment horizontal="left" vertical="center" indent="1"/>
      <protection hidden="1"/>
    </xf>
    <xf numFmtId="10" fontId="54" fillId="24" borderId="56" xfId="1" applyNumberFormat="1" applyFont="1" applyFill="1" applyBorder="1" applyAlignment="1" applyProtection="1">
      <alignment horizontal="left" vertical="center" indent="1"/>
      <protection hidden="1"/>
    </xf>
    <xf numFmtId="10" fontId="54" fillId="24" borderId="86" xfId="1" applyNumberFormat="1" applyFont="1" applyFill="1" applyBorder="1" applyAlignment="1" applyProtection="1">
      <alignment horizontal="left" vertical="center" indent="1"/>
      <protection hidden="1"/>
    </xf>
    <xf numFmtId="10" fontId="53" fillId="51" borderId="54" xfId="1" applyNumberFormat="1" applyFont="1" applyFill="1" applyBorder="1" applyAlignment="1" applyProtection="1">
      <alignment horizontal="left" vertical="center" indent="1"/>
      <protection hidden="1"/>
    </xf>
    <xf numFmtId="10" fontId="53" fillId="52" borderId="107" xfId="1" applyNumberFormat="1" applyFont="1" applyFill="1" applyBorder="1" applyAlignment="1" applyProtection="1">
      <alignment horizontal="left" vertical="center" indent="1"/>
      <protection hidden="1"/>
    </xf>
    <xf numFmtId="10" fontId="53" fillId="52" borderId="56" xfId="1" applyNumberFormat="1" applyFont="1" applyFill="1" applyBorder="1" applyAlignment="1" applyProtection="1">
      <alignment horizontal="left" vertical="center" indent="1"/>
      <protection hidden="1"/>
    </xf>
    <xf numFmtId="10" fontId="53" fillId="52" borderId="105" xfId="1" applyNumberFormat="1" applyFont="1" applyFill="1" applyBorder="1" applyAlignment="1" applyProtection="1">
      <alignment horizontal="left" vertical="center" indent="1"/>
      <protection hidden="1"/>
    </xf>
    <xf numFmtId="10" fontId="53" fillId="52" borderId="57" xfId="1" applyNumberFormat="1" applyFont="1" applyFill="1" applyBorder="1" applyAlignment="1" applyProtection="1">
      <alignment horizontal="left" vertical="center" indent="1"/>
      <protection hidden="1"/>
    </xf>
    <xf numFmtId="0" fontId="53" fillId="28" borderId="66" xfId="0" applyFont="1" applyFill="1" applyBorder="1" applyAlignment="1"/>
    <xf numFmtId="0" fontId="53" fillId="28" borderId="96" xfId="0" applyFont="1" applyFill="1" applyBorder="1" applyAlignment="1"/>
    <xf numFmtId="0" fontId="53" fillId="19" borderId="66" xfId="0" applyFont="1" applyFill="1" applyBorder="1" applyAlignment="1"/>
    <xf numFmtId="0" fontId="53" fillId="19" borderId="96" xfId="0" applyFont="1" applyFill="1" applyBorder="1" applyAlignment="1"/>
    <xf numFmtId="8" fontId="8" fillId="3" borderId="16" xfId="0" applyNumberFormat="1" applyFont="1" applyFill="1" applyBorder="1" applyAlignment="1">
      <alignment horizontal="right" vertical="center"/>
    </xf>
    <xf numFmtId="10" fontId="15" fillId="56" borderId="68" xfId="1" applyNumberFormat="1" applyFont="1" applyFill="1" applyBorder="1" applyAlignment="1" applyProtection="1">
      <alignment horizontal="left" vertical="center" indent="1"/>
      <protection hidden="1"/>
    </xf>
    <xf numFmtId="10" fontId="15" fillId="52" borderId="56" xfId="1" applyNumberFormat="1" applyFont="1" applyFill="1" applyBorder="1" applyAlignment="1" applyProtection="1">
      <alignment horizontal="left" vertical="center" indent="1"/>
      <protection hidden="1"/>
    </xf>
    <xf numFmtId="0" fontId="38" fillId="28" borderId="86" xfId="0" applyFont="1" applyFill="1" applyBorder="1" applyAlignment="1" applyProtection="1">
      <alignment horizontal="left"/>
      <protection hidden="1"/>
    </xf>
    <xf numFmtId="10" fontId="15" fillId="28" borderId="113" xfId="0" applyNumberFormat="1" applyFont="1" applyFill="1" applyBorder="1" applyAlignment="1" applyProtection="1">
      <protection locked="0"/>
    </xf>
    <xf numFmtId="10" fontId="15" fillId="28" borderId="96" xfId="0" applyNumberFormat="1" applyFont="1" applyFill="1" applyBorder="1" applyAlignment="1" applyProtection="1">
      <protection locked="0"/>
    </xf>
    <xf numFmtId="0" fontId="53" fillId="19" borderId="115" xfId="0" applyFont="1" applyFill="1" applyBorder="1" applyAlignment="1"/>
    <xf numFmtId="0" fontId="38" fillId="19" borderId="111" xfId="0" applyFont="1" applyFill="1" applyBorder="1" applyAlignment="1">
      <alignment horizontal="left"/>
    </xf>
    <xf numFmtId="0" fontId="38" fillId="19" borderId="57" xfId="0" applyFont="1" applyFill="1" applyBorder="1" applyAlignment="1">
      <alignment horizontal="left"/>
    </xf>
    <xf numFmtId="0" fontId="15" fillId="19" borderId="57" xfId="0" applyFont="1" applyFill="1" applyBorder="1" applyAlignment="1" applyProtection="1">
      <alignment horizontal="left"/>
      <protection locked="0"/>
    </xf>
    <xf numFmtId="174" fontId="15" fillId="19" borderId="112" xfId="2" applyNumberFormat="1" applyFont="1" applyFill="1" applyBorder="1" applyAlignment="1" applyProtection="1">
      <protection locked="0"/>
    </xf>
    <xf numFmtId="174" fontId="15" fillId="19" borderId="111" xfId="2" applyNumberFormat="1" applyFont="1" applyFill="1" applyBorder="1" applyAlignment="1" applyProtection="1">
      <protection locked="0"/>
    </xf>
    <xf numFmtId="174" fontId="15" fillId="19" borderId="57" xfId="2" applyNumberFormat="1" applyFont="1" applyFill="1" applyBorder="1" applyAlignment="1" applyProtection="1">
      <protection locked="0"/>
    </xf>
    <xf numFmtId="10" fontId="15" fillId="19" borderId="57" xfId="2" applyNumberFormat="1" applyFont="1" applyFill="1" applyBorder="1" applyAlignment="1" applyProtection="1">
      <protection locked="0"/>
    </xf>
    <xf numFmtId="10" fontId="15" fillId="19" borderId="57" xfId="0" applyNumberFormat="1" applyFont="1" applyFill="1" applyBorder="1" applyAlignment="1" applyProtection="1">
      <protection locked="0"/>
    </xf>
    <xf numFmtId="10" fontId="15" fillId="19" borderId="111" xfId="0" applyNumberFormat="1" applyFont="1" applyFill="1" applyBorder="1" applyAlignment="1" applyProtection="1">
      <protection locked="0"/>
    </xf>
    <xf numFmtId="10" fontId="15" fillId="54" borderId="57" xfId="0" applyNumberFormat="1" applyFont="1" applyFill="1" applyBorder="1" applyAlignment="1" applyProtection="1">
      <protection locked="0"/>
    </xf>
    <xf numFmtId="166" fontId="15" fillId="19" borderId="57" xfId="2" applyNumberFormat="1" applyFont="1" applyFill="1" applyBorder="1" applyProtection="1">
      <protection locked="0"/>
    </xf>
    <xf numFmtId="166" fontId="15" fillId="19" borderId="111" xfId="2" applyNumberFormat="1" applyFont="1" applyFill="1" applyBorder="1" applyProtection="1">
      <protection locked="0"/>
    </xf>
    <xf numFmtId="10" fontId="15" fillId="19" borderId="57" xfId="1" applyNumberFormat="1" applyFont="1" applyFill="1" applyBorder="1" applyProtection="1">
      <protection locked="0"/>
    </xf>
    <xf numFmtId="44" fontId="15" fillId="19" borderId="57" xfId="4" applyNumberFormat="1" applyFont="1" applyFill="1" applyBorder="1" applyProtection="1">
      <protection locked="0"/>
    </xf>
    <xf numFmtId="44" fontId="15" fillId="19" borderId="57" xfId="4" applyNumberFormat="1" applyFont="1" applyFill="1" applyBorder="1" applyAlignment="1" applyProtection="1">
      <alignment horizontal="center"/>
      <protection locked="0"/>
    </xf>
    <xf numFmtId="10" fontId="15" fillId="3" borderId="112" xfId="0" applyNumberFormat="1" applyFont="1" applyFill="1" applyBorder="1" applyAlignment="1" applyProtection="1">
      <protection locked="0"/>
    </xf>
    <xf numFmtId="10" fontId="15" fillId="3" borderId="57" xfId="0" applyNumberFormat="1" applyFont="1" applyFill="1" applyBorder="1" applyProtection="1">
      <protection locked="0"/>
    </xf>
    <xf numFmtId="164" fontId="15" fillId="3" borderId="57" xfId="2" applyNumberFormat="1" applyFont="1" applyFill="1" applyBorder="1" applyProtection="1">
      <protection locked="0"/>
    </xf>
    <xf numFmtId="10" fontId="15" fillId="3" borderId="57" xfId="0" applyNumberFormat="1" applyFont="1" applyFill="1" applyBorder="1" applyAlignment="1" applyProtection="1">
      <alignment horizontal="center"/>
      <protection locked="0"/>
    </xf>
    <xf numFmtId="9" fontId="15" fillId="3" borderId="114" xfId="1" applyNumberFormat="1" applyFont="1" applyFill="1" applyBorder="1" applyProtection="1">
      <protection locked="0"/>
    </xf>
    <xf numFmtId="166" fontId="15" fillId="28" borderId="113" xfId="2" applyNumberFormat="1" applyFont="1" applyFill="1" applyBorder="1" applyAlignment="1" applyProtection="1">
      <alignment vertical="center"/>
      <protection locked="0"/>
    </xf>
    <xf numFmtId="166" fontId="15" fillId="28" borderId="96" xfId="2" applyNumberFormat="1" applyFont="1" applyFill="1" applyBorder="1" applyAlignment="1" applyProtection="1">
      <alignment vertical="center"/>
      <protection locked="0"/>
    </xf>
    <xf numFmtId="10" fontId="15" fillId="28" borderId="86" xfId="1" applyNumberFormat="1" applyFont="1" applyFill="1" applyBorder="1" applyAlignment="1" applyProtection="1">
      <alignment vertical="center"/>
      <protection locked="0"/>
    </xf>
    <xf numFmtId="44" fontId="15" fillId="28" borderId="86" xfId="4" applyNumberFormat="1" applyFont="1" applyFill="1" applyBorder="1" applyAlignment="1" applyProtection="1">
      <alignment vertical="center"/>
      <protection locked="0"/>
    </xf>
    <xf numFmtId="10" fontId="15" fillId="29" borderId="86" xfId="0" applyNumberFormat="1" applyFont="1" applyFill="1" applyBorder="1" applyAlignment="1" applyProtection="1">
      <alignment vertical="center"/>
      <protection locked="0"/>
    </xf>
    <xf numFmtId="164" fontId="15" fillId="29" borderId="86" xfId="2" applyNumberFormat="1" applyFont="1" applyFill="1" applyBorder="1" applyAlignment="1" applyProtection="1">
      <alignment vertical="center"/>
      <protection locked="0"/>
    </xf>
    <xf numFmtId="9" fontId="15" fillId="29" borderId="95" xfId="1" applyNumberFormat="1" applyFont="1" applyFill="1" applyBorder="1" applyAlignment="1" applyProtection="1">
      <alignment vertical="center"/>
      <protection locked="0"/>
    </xf>
    <xf numFmtId="0" fontId="38" fillId="28" borderId="116" xfId="0" applyFont="1" applyFill="1" applyBorder="1" applyAlignment="1">
      <alignment horizontal="left"/>
    </xf>
    <xf numFmtId="0" fontId="38" fillId="28" borderId="74" xfId="0" applyFont="1" applyFill="1" applyBorder="1" applyAlignment="1" applyProtection="1">
      <alignment horizontal="left"/>
      <protection hidden="1"/>
    </xf>
    <xf numFmtId="0" fontId="15" fillId="28" borderId="74" xfId="0" applyFont="1" applyFill="1" applyBorder="1" applyAlignment="1" applyProtection="1">
      <alignment horizontal="left"/>
      <protection locked="0"/>
    </xf>
    <xf numFmtId="174" fontId="15" fillId="28" borderId="117" xfId="2" applyNumberFormat="1" applyFont="1" applyFill="1" applyBorder="1" applyAlignment="1" applyProtection="1">
      <protection locked="0"/>
    </xf>
    <xf numFmtId="174" fontId="15" fillId="28" borderId="116" xfId="2" applyNumberFormat="1" applyFont="1" applyFill="1" applyBorder="1" applyAlignment="1" applyProtection="1">
      <protection locked="0"/>
    </xf>
    <xf numFmtId="174" fontId="15" fillId="28" borderId="74" xfId="2" applyNumberFormat="1" applyFont="1" applyFill="1" applyBorder="1" applyAlignment="1" applyProtection="1">
      <protection locked="0"/>
    </xf>
    <xf numFmtId="10" fontId="15" fillId="28" borderId="74" xfId="1" applyNumberFormat="1" applyFont="1" applyFill="1" applyBorder="1" applyAlignment="1" applyProtection="1">
      <protection locked="0"/>
    </xf>
    <xf numFmtId="10" fontId="15" fillId="28" borderId="74" xfId="0" applyNumberFormat="1" applyFont="1" applyFill="1" applyBorder="1" applyAlignment="1" applyProtection="1">
      <protection locked="0"/>
    </xf>
    <xf numFmtId="10" fontId="15" fillId="28" borderId="118" xfId="0" applyNumberFormat="1" applyFont="1" applyFill="1" applyBorder="1" applyAlignment="1" applyProtection="1">
      <protection locked="0"/>
    </xf>
    <xf numFmtId="10" fontId="15" fillId="28" borderId="75" xfId="0" applyNumberFormat="1" applyFont="1" applyFill="1" applyBorder="1" applyAlignment="1" applyProtection="1">
      <protection locked="0"/>
    </xf>
    <xf numFmtId="10" fontId="15" fillId="53" borderId="74" xfId="0" applyNumberFormat="1" applyFont="1" applyFill="1" applyBorder="1" applyAlignment="1" applyProtection="1">
      <protection locked="0"/>
    </xf>
    <xf numFmtId="10" fontId="15" fillId="28" borderId="116" xfId="0" applyNumberFormat="1" applyFont="1" applyFill="1" applyBorder="1" applyAlignment="1" applyProtection="1">
      <protection locked="0"/>
    </xf>
    <xf numFmtId="166" fontId="15" fillId="28" borderId="118" xfId="2" applyNumberFormat="1" applyFont="1" applyFill="1" applyBorder="1" applyAlignment="1" applyProtection="1">
      <alignment vertical="center"/>
      <protection locked="0"/>
    </xf>
    <xf numFmtId="166" fontId="15" fillId="28" borderId="75" xfId="2" applyNumberFormat="1" applyFont="1" applyFill="1" applyBorder="1" applyAlignment="1" applyProtection="1">
      <alignment vertical="center"/>
      <protection locked="0"/>
    </xf>
    <xf numFmtId="10" fontId="15" fillId="28" borderId="74" xfId="1" applyNumberFormat="1" applyFont="1" applyFill="1" applyBorder="1" applyAlignment="1" applyProtection="1">
      <alignment vertical="center"/>
      <protection locked="0"/>
    </xf>
    <xf numFmtId="44" fontId="15" fillId="28" borderId="74" xfId="4" applyNumberFormat="1" applyFont="1" applyFill="1" applyBorder="1" applyAlignment="1" applyProtection="1">
      <alignment vertical="center"/>
      <protection locked="0"/>
    </xf>
    <xf numFmtId="44" fontId="15" fillId="28" borderId="74" xfId="4" applyNumberFormat="1" applyFont="1" applyFill="1" applyBorder="1" applyAlignment="1" applyProtection="1">
      <alignment horizontal="center"/>
      <protection locked="0"/>
    </xf>
    <xf numFmtId="10" fontId="15" fillId="29" borderId="117" xfId="0" applyNumberFormat="1" applyFont="1" applyFill="1" applyBorder="1" applyAlignment="1" applyProtection="1">
      <protection locked="0"/>
    </xf>
    <xf numFmtId="10" fontId="15" fillId="29" borderId="74" xfId="0" applyNumberFormat="1" applyFont="1" applyFill="1" applyBorder="1" applyAlignment="1" applyProtection="1">
      <alignment vertical="center"/>
      <protection locked="0"/>
    </xf>
    <xf numFmtId="164" fontId="15" fillId="29" borderId="74" xfId="2" applyNumberFormat="1" applyFont="1" applyFill="1" applyBorder="1" applyAlignment="1" applyProtection="1">
      <alignment vertical="center"/>
      <protection locked="0"/>
    </xf>
    <xf numFmtId="10" fontId="15" fillId="29" borderId="74" xfId="0" applyNumberFormat="1" applyFont="1" applyFill="1" applyBorder="1" applyAlignment="1" applyProtection="1">
      <alignment horizontal="center"/>
      <protection locked="0"/>
    </xf>
    <xf numFmtId="9" fontId="15" fillId="29" borderId="119" xfId="1" applyNumberFormat="1" applyFont="1" applyFill="1" applyBorder="1" applyAlignment="1" applyProtection="1">
      <alignment vertical="center"/>
      <protection locked="0"/>
    </xf>
    <xf numFmtId="0" fontId="38" fillId="28" borderId="120" xfId="0" applyFont="1" applyFill="1" applyBorder="1" applyAlignment="1">
      <alignment horizontal="left"/>
    </xf>
    <xf numFmtId="0" fontId="38" fillId="28" borderId="56" xfId="0" applyFont="1" applyFill="1" applyBorder="1" applyAlignment="1" applyProtection="1">
      <alignment horizontal="left"/>
      <protection hidden="1"/>
    </xf>
    <xf numFmtId="0" fontId="15" fillId="28" borderId="56" xfId="0" applyFont="1" applyFill="1" applyBorder="1" applyAlignment="1" applyProtection="1">
      <alignment horizontal="left"/>
      <protection locked="0"/>
    </xf>
    <xf numFmtId="174" fontId="15" fillId="28" borderId="121" xfId="2" applyNumberFormat="1" applyFont="1" applyFill="1" applyBorder="1" applyAlignment="1" applyProtection="1">
      <protection locked="0"/>
    </xf>
    <xf numFmtId="174" fontId="15" fillId="28" borderId="120" xfId="2" applyNumberFormat="1" applyFont="1" applyFill="1" applyBorder="1" applyAlignment="1" applyProtection="1">
      <protection locked="0"/>
    </xf>
    <xf numFmtId="174" fontId="15" fillId="28" borderId="56" xfId="2" applyNumberFormat="1" applyFont="1" applyFill="1" applyBorder="1" applyAlignment="1" applyProtection="1">
      <protection locked="0"/>
    </xf>
    <xf numFmtId="10" fontId="15" fillId="28" borderId="56" xfId="1" applyNumberFormat="1" applyFont="1" applyFill="1" applyBorder="1" applyAlignment="1" applyProtection="1">
      <protection locked="0"/>
    </xf>
    <xf numFmtId="10" fontId="15" fillId="28" borderId="56" xfId="0" applyNumberFormat="1" applyFont="1" applyFill="1" applyBorder="1" applyAlignment="1" applyProtection="1">
      <protection locked="0"/>
    </xf>
    <xf numFmtId="10" fontId="15" fillId="28" borderId="122" xfId="0" applyNumberFormat="1" applyFont="1" applyFill="1" applyBorder="1" applyAlignment="1" applyProtection="1">
      <protection locked="0"/>
    </xf>
    <xf numFmtId="10" fontId="15" fillId="28" borderId="97" xfId="0" applyNumberFormat="1" applyFont="1" applyFill="1" applyBorder="1" applyAlignment="1" applyProtection="1">
      <protection locked="0"/>
    </xf>
    <xf numFmtId="10" fontId="15" fillId="53" borderId="56" xfId="0" applyNumberFormat="1" applyFont="1" applyFill="1" applyBorder="1" applyAlignment="1" applyProtection="1">
      <protection locked="0"/>
    </xf>
    <xf numFmtId="10" fontId="15" fillId="28" borderId="120" xfId="0" applyNumberFormat="1" applyFont="1" applyFill="1" applyBorder="1" applyAlignment="1" applyProtection="1">
      <protection locked="0"/>
    </xf>
    <xf numFmtId="166" fontId="15" fillId="28" borderId="122" xfId="2" applyNumberFormat="1" applyFont="1" applyFill="1" applyBorder="1" applyAlignment="1" applyProtection="1">
      <alignment vertical="center"/>
      <protection locked="0"/>
    </xf>
    <xf numFmtId="166" fontId="15" fillId="28" borderId="97" xfId="2" applyNumberFormat="1" applyFont="1" applyFill="1" applyBorder="1" applyAlignment="1" applyProtection="1">
      <alignment vertical="center"/>
      <protection locked="0"/>
    </xf>
    <xf numFmtId="10" fontId="15" fillId="28" borderId="56" xfId="1" applyNumberFormat="1" applyFont="1" applyFill="1" applyBorder="1" applyAlignment="1" applyProtection="1">
      <alignment vertical="center"/>
      <protection locked="0"/>
    </xf>
    <xf numFmtId="44" fontId="15" fillId="28" borderId="56" xfId="4" applyNumberFormat="1" applyFont="1" applyFill="1" applyBorder="1" applyAlignment="1" applyProtection="1">
      <alignment vertical="center"/>
      <protection locked="0"/>
    </xf>
    <xf numFmtId="44" fontId="15" fillId="28" borderId="56" xfId="4" applyNumberFormat="1" applyFont="1" applyFill="1" applyBorder="1" applyAlignment="1" applyProtection="1">
      <alignment horizontal="center"/>
      <protection locked="0"/>
    </xf>
    <xf numFmtId="10" fontId="15" fillId="29" borderId="121" xfId="0" applyNumberFormat="1" applyFont="1" applyFill="1" applyBorder="1" applyAlignment="1" applyProtection="1">
      <protection locked="0"/>
    </xf>
    <xf numFmtId="10" fontId="15" fillId="29" borderId="56" xfId="0" applyNumberFormat="1" applyFont="1" applyFill="1" applyBorder="1" applyAlignment="1" applyProtection="1">
      <alignment vertical="center"/>
      <protection locked="0"/>
    </xf>
    <xf numFmtId="164" fontId="15" fillId="29" borderId="56" xfId="2" applyNumberFormat="1" applyFont="1" applyFill="1" applyBorder="1" applyAlignment="1" applyProtection="1">
      <alignment vertical="center"/>
      <protection locked="0"/>
    </xf>
    <xf numFmtId="10" fontId="15" fillId="29" borderId="56" xfId="0" applyNumberFormat="1" applyFont="1" applyFill="1" applyBorder="1" applyAlignment="1" applyProtection="1">
      <alignment horizontal="center"/>
      <protection locked="0"/>
    </xf>
    <xf numFmtId="9" fontId="15" fillId="29" borderId="123" xfId="1" applyNumberFormat="1" applyFont="1" applyFill="1" applyBorder="1" applyAlignment="1" applyProtection="1">
      <alignment vertical="center"/>
      <protection locked="0"/>
    </xf>
    <xf numFmtId="10" fontId="15" fillId="26" borderId="68" xfId="1" applyNumberFormat="1" applyFont="1" applyFill="1" applyBorder="1" applyAlignment="1" applyProtection="1">
      <alignment horizontal="left" vertical="center" indent="1"/>
      <protection hidden="1"/>
    </xf>
    <xf numFmtId="10" fontId="15" fillId="26" borderId="68" xfId="1" applyNumberFormat="1" applyFont="1" applyFill="1" applyBorder="1" applyAlignment="1" applyProtection="1">
      <alignment horizontal="center" vertical="center"/>
      <protection hidden="1"/>
    </xf>
    <xf numFmtId="10" fontId="53" fillId="56" borderId="105" xfId="1" applyNumberFormat="1" applyFont="1" applyFill="1" applyBorder="1" applyAlignment="1" applyProtection="1">
      <alignment horizontal="left" vertical="center" indent="1"/>
      <protection hidden="1"/>
    </xf>
    <xf numFmtId="10" fontId="53" fillId="56" borderId="56" xfId="1" applyNumberFormat="1" applyFont="1" applyFill="1" applyBorder="1" applyAlignment="1" applyProtection="1">
      <alignment horizontal="left" vertical="center" indent="1"/>
      <protection hidden="1"/>
    </xf>
    <xf numFmtId="10" fontId="53" fillId="56" borderId="68" xfId="1" applyNumberFormat="1" applyFont="1" applyFill="1" applyBorder="1" applyAlignment="1" applyProtection="1">
      <alignment horizontal="left" vertical="center" indent="1"/>
      <protection hidden="1"/>
    </xf>
    <xf numFmtId="0" fontId="15" fillId="19" borderId="106" xfId="0" applyFont="1" applyFill="1" applyBorder="1" applyAlignment="1"/>
    <xf numFmtId="164" fontId="44" fillId="0" borderId="124" xfId="2" applyFont="1" applyBorder="1" applyAlignment="1">
      <alignment vertical="center"/>
    </xf>
    <xf numFmtId="2" fontId="44" fillId="0" borderId="51" xfId="3" applyNumberFormat="1" applyFont="1" applyFill="1" applyBorder="1" applyAlignment="1">
      <alignment vertical="center"/>
    </xf>
    <xf numFmtId="0" fontId="45" fillId="0" borderId="51" xfId="0" applyFont="1" applyFill="1" applyBorder="1" applyAlignment="1">
      <alignment vertical="center"/>
    </xf>
    <xf numFmtId="0" fontId="23" fillId="15" borderId="72" xfId="0" applyFont="1" applyFill="1" applyBorder="1" applyAlignment="1" applyProtection="1">
      <alignment horizontal="center" vertical="center"/>
      <protection hidden="1"/>
    </xf>
    <xf numFmtId="0" fontId="23" fillId="15" borderId="55" xfId="0" applyFont="1" applyFill="1" applyBorder="1" applyAlignment="1" applyProtection="1">
      <alignment horizontal="center" vertical="center"/>
      <protection hidden="1"/>
    </xf>
    <xf numFmtId="0" fontId="10" fillId="23" borderId="43" xfId="0" applyFont="1" applyFill="1" applyBorder="1" applyAlignment="1">
      <alignment horizontal="center" vertical="center"/>
    </xf>
    <xf numFmtId="0" fontId="10" fillId="23" borderId="30" xfId="0" applyFont="1" applyFill="1" applyBorder="1" applyAlignment="1">
      <alignment horizontal="center" vertical="center"/>
    </xf>
    <xf numFmtId="10" fontId="14" fillId="21" borderId="0" xfId="0" applyNumberFormat="1" applyFont="1" applyFill="1" applyBorder="1" applyAlignment="1" applyProtection="1">
      <alignment horizontal="center" vertical="center"/>
      <protection hidden="1"/>
    </xf>
    <xf numFmtId="0" fontId="35" fillId="15" borderId="66" xfId="0" applyFont="1" applyFill="1" applyBorder="1" applyAlignment="1" applyProtection="1">
      <alignment horizontal="left" vertical="center" indent="18"/>
      <protection locked="0"/>
    </xf>
    <xf numFmtId="0" fontId="35" fillId="15" borderId="67" xfId="0" applyFont="1" applyFill="1" applyBorder="1" applyAlignment="1" applyProtection="1">
      <alignment horizontal="left" vertical="center" indent="18"/>
      <protection locked="0"/>
    </xf>
    <xf numFmtId="0" fontId="35" fillId="15" borderId="69" xfId="0" applyFont="1" applyFill="1" applyBorder="1" applyAlignment="1" applyProtection="1">
      <alignment horizontal="left" vertical="center" indent="18"/>
      <protection locked="0"/>
    </xf>
    <xf numFmtId="0" fontId="35" fillId="15" borderId="70" xfId="0" applyFont="1" applyFill="1" applyBorder="1" applyAlignment="1" applyProtection="1">
      <alignment horizontal="left" vertical="center" indent="18"/>
      <protection locked="0"/>
    </xf>
    <xf numFmtId="0" fontId="23" fillId="15" borderId="65" xfId="0" applyFont="1" applyFill="1" applyBorder="1" applyAlignment="1" applyProtection="1">
      <alignment horizontal="left" vertical="center" indent="5"/>
      <protection hidden="1"/>
    </xf>
    <xf numFmtId="0" fontId="23" fillId="15" borderId="66" xfId="0" applyFont="1" applyFill="1" applyBorder="1" applyAlignment="1" applyProtection="1">
      <alignment horizontal="left" vertical="center" indent="5"/>
      <protection hidden="1"/>
    </xf>
    <xf numFmtId="0" fontId="23" fillId="15" borderId="68" xfId="0" applyFont="1" applyFill="1" applyBorder="1" applyAlignment="1" applyProtection="1">
      <alignment horizontal="left" vertical="center" indent="5"/>
      <protection hidden="1"/>
    </xf>
    <xf numFmtId="0" fontId="23" fillId="15" borderId="69" xfId="0" applyFont="1" applyFill="1" applyBorder="1" applyAlignment="1" applyProtection="1">
      <alignment horizontal="left" vertical="center" indent="5"/>
      <protection hidden="1"/>
    </xf>
    <xf numFmtId="0" fontId="19" fillId="9" borderId="33" xfId="0" applyFont="1" applyFill="1" applyBorder="1" applyAlignment="1" applyProtection="1">
      <alignment horizontal="center" vertical="center" wrapText="1"/>
      <protection hidden="1"/>
    </xf>
    <xf numFmtId="0" fontId="19" fillId="9" borderId="81" xfId="0" applyFont="1" applyFill="1" applyBorder="1" applyAlignment="1" applyProtection="1">
      <alignment horizontal="center" vertical="center" wrapText="1"/>
      <protection hidden="1"/>
    </xf>
    <xf numFmtId="0" fontId="19" fillId="9" borderId="12" xfId="0" applyFont="1" applyFill="1" applyBorder="1" applyAlignment="1" applyProtection="1">
      <alignment horizontal="center" vertical="center" wrapText="1"/>
      <protection hidden="1"/>
    </xf>
    <xf numFmtId="172" fontId="52" fillId="8" borderId="0" xfId="0" applyNumberFormat="1" applyFont="1" applyFill="1" applyBorder="1" applyAlignment="1" applyProtection="1">
      <alignment horizontal="center" vertical="center"/>
      <protection hidden="1"/>
    </xf>
    <xf numFmtId="0" fontId="17" fillId="10" borderId="44" xfId="0" applyFont="1" applyFill="1" applyBorder="1" applyAlignment="1" applyProtection="1">
      <alignment horizontal="center" vertical="center" wrapText="1"/>
      <protection hidden="1"/>
    </xf>
    <xf numFmtId="0" fontId="17" fillId="10" borderId="47" xfId="0" applyFont="1" applyFill="1" applyBorder="1" applyAlignment="1" applyProtection="1">
      <alignment horizontal="center" vertical="center" wrapText="1"/>
      <protection hidden="1"/>
    </xf>
    <xf numFmtId="0" fontId="17" fillId="10" borderId="45" xfId="0" applyFont="1" applyFill="1" applyBorder="1" applyAlignment="1" applyProtection="1">
      <alignment horizontal="center" vertical="center" wrapText="1"/>
      <protection hidden="1"/>
    </xf>
    <xf numFmtId="0" fontId="17" fillId="26" borderId="72" xfId="0" applyFont="1" applyFill="1" applyBorder="1" applyAlignment="1" applyProtection="1">
      <alignment horizontal="center" vertical="center"/>
      <protection hidden="1"/>
    </xf>
    <xf numFmtId="0" fontId="17" fillId="26" borderId="55" xfId="0" applyFont="1" applyFill="1" applyBorder="1" applyAlignment="1" applyProtection="1">
      <alignment horizontal="center" vertical="center"/>
      <protection hidden="1"/>
    </xf>
    <xf numFmtId="0" fontId="17" fillId="26" borderId="85" xfId="0" applyFont="1" applyFill="1" applyBorder="1" applyAlignment="1" applyProtection="1">
      <alignment horizontal="center" vertical="center" wrapText="1"/>
      <protection hidden="1"/>
    </xf>
    <xf numFmtId="0" fontId="17" fillId="26" borderId="98" xfId="0" applyFont="1" applyFill="1" applyBorder="1" applyAlignment="1" applyProtection="1">
      <alignment horizontal="center" vertical="center" wrapText="1"/>
      <protection hidden="1"/>
    </xf>
    <xf numFmtId="0" fontId="43" fillId="2" borderId="44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0" fontId="23" fillId="15" borderId="65" xfId="0" applyFont="1" applyFill="1" applyBorder="1" applyAlignment="1" applyProtection="1">
      <alignment horizontal="left" vertical="center"/>
      <protection hidden="1"/>
    </xf>
    <xf numFmtId="0" fontId="23" fillId="15" borderId="66" xfId="0" applyFont="1" applyFill="1" applyBorder="1" applyAlignment="1" applyProtection="1">
      <alignment horizontal="left" vertical="center"/>
      <protection hidden="1"/>
    </xf>
    <xf numFmtId="0" fontId="23" fillId="15" borderId="67" xfId="0" applyFont="1" applyFill="1" applyBorder="1" applyAlignment="1" applyProtection="1">
      <alignment horizontal="left" vertical="center"/>
      <protection hidden="1"/>
    </xf>
    <xf numFmtId="0" fontId="23" fillId="15" borderId="68" xfId="0" applyFont="1" applyFill="1" applyBorder="1" applyAlignment="1" applyProtection="1">
      <alignment horizontal="left" vertical="center"/>
      <protection hidden="1"/>
    </xf>
    <xf numFmtId="0" fontId="23" fillId="15" borderId="69" xfId="0" applyFont="1" applyFill="1" applyBorder="1" applyAlignment="1" applyProtection="1">
      <alignment horizontal="left" vertical="center"/>
      <protection hidden="1"/>
    </xf>
    <xf numFmtId="0" fontId="23" fillId="15" borderId="70" xfId="0" applyFont="1" applyFill="1" applyBorder="1" applyAlignment="1" applyProtection="1">
      <alignment horizontal="left" vertical="center"/>
      <protection hidden="1"/>
    </xf>
    <xf numFmtId="0" fontId="34" fillId="0" borderId="66" xfId="0" applyFont="1" applyBorder="1" applyAlignment="1" applyProtection="1">
      <alignment horizontal="left"/>
      <protection hidden="1"/>
    </xf>
    <xf numFmtId="0" fontId="23" fillId="15" borderId="65" xfId="0" applyFont="1" applyFill="1" applyBorder="1" applyAlignment="1" applyProtection="1">
      <alignment horizontal="center" vertical="center"/>
      <protection hidden="1"/>
    </xf>
    <xf numFmtId="0" fontId="23" fillId="15" borderId="66" xfId="0" applyFont="1" applyFill="1" applyBorder="1" applyAlignment="1" applyProtection="1">
      <alignment horizontal="center" vertical="center"/>
      <protection hidden="1"/>
    </xf>
    <xf numFmtId="0" fontId="23" fillId="15" borderId="67" xfId="0" applyFont="1" applyFill="1" applyBorder="1" applyAlignment="1" applyProtection="1">
      <alignment horizontal="center" vertical="center"/>
      <protection hidden="1"/>
    </xf>
    <xf numFmtId="0" fontId="23" fillId="15" borderId="68" xfId="0" applyFont="1" applyFill="1" applyBorder="1" applyAlignment="1" applyProtection="1">
      <alignment horizontal="center" vertical="center"/>
      <protection hidden="1"/>
    </xf>
    <xf numFmtId="0" fontId="23" fillId="15" borderId="69" xfId="0" applyFont="1" applyFill="1" applyBorder="1" applyAlignment="1" applyProtection="1">
      <alignment horizontal="center" vertical="center"/>
      <protection hidden="1"/>
    </xf>
    <xf numFmtId="0" fontId="23" fillId="15" borderId="70" xfId="0" applyFont="1" applyFill="1" applyBorder="1" applyAlignment="1" applyProtection="1">
      <alignment horizontal="center" vertical="center"/>
      <protection hidden="1"/>
    </xf>
    <xf numFmtId="0" fontId="27" fillId="8" borderId="0" xfId="6" applyFont="1" applyFill="1" applyAlignment="1" applyProtection="1">
      <alignment horizontal="left"/>
    </xf>
    <xf numFmtId="0" fontId="28" fillId="11" borderId="0" xfId="0" applyFont="1" applyFill="1" applyAlignment="1" applyProtection="1">
      <alignment horizontal="center" vertical="center"/>
      <protection hidden="1"/>
    </xf>
    <xf numFmtId="0" fontId="4" fillId="42" borderId="33" xfId="0" applyFont="1" applyFill="1" applyBorder="1" applyAlignment="1">
      <alignment horizontal="center" vertical="center"/>
    </xf>
    <xf numFmtId="0" fontId="4" fillId="42" borderId="12" xfId="0" applyFont="1" applyFill="1" applyBorder="1" applyAlignment="1">
      <alignment horizontal="center" vertical="center"/>
    </xf>
    <xf numFmtId="0" fontId="28" fillId="36" borderId="30" xfId="0" applyFont="1" applyFill="1" applyBorder="1" applyAlignment="1">
      <alignment horizontal="center" vertical="center"/>
    </xf>
    <xf numFmtId="0" fontId="28" fillId="36" borderId="0" xfId="0" applyFont="1" applyFill="1" applyBorder="1" applyAlignment="1">
      <alignment horizontal="center" vertical="center"/>
    </xf>
    <xf numFmtId="0" fontId="28" fillId="46" borderId="8" xfId="0" applyFont="1" applyFill="1" applyBorder="1" applyAlignment="1" applyProtection="1">
      <alignment horizontal="center" vertical="center"/>
      <protection hidden="1"/>
    </xf>
    <xf numFmtId="0" fontId="28" fillId="36" borderId="44" xfId="0" applyFont="1" applyFill="1" applyBorder="1" applyAlignment="1" applyProtection="1">
      <alignment horizontal="center" vertical="center"/>
      <protection hidden="1"/>
    </xf>
    <xf numFmtId="0" fontId="28" fillId="36" borderId="47" xfId="0" applyFont="1" applyFill="1" applyBorder="1" applyAlignment="1" applyProtection="1">
      <alignment horizontal="center" vertical="center"/>
      <protection hidden="1"/>
    </xf>
    <xf numFmtId="0" fontId="28" fillId="36" borderId="45" xfId="0" applyFont="1" applyFill="1" applyBorder="1" applyAlignment="1" applyProtection="1">
      <alignment horizontal="center" vertical="center"/>
      <protection hidden="1"/>
    </xf>
    <xf numFmtId="0" fontId="28" fillId="36" borderId="0" xfId="0" applyFont="1" applyFill="1" applyBorder="1" applyAlignment="1" applyProtection="1">
      <alignment horizontal="center" vertical="center"/>
      <protection hidden="1"/>
    </xf>
    <xf numFmtId="44" fontId="12" fillId="0" borderId="47" xfId="4" applyFont="1" applyBorder="1" applyAlignment="1">
      <alignment horizontal="center"/>
    </xf>
    <xf numFmtId="44" fontId="12" fillId="0" borderId="63" xfId="4" applyFont="1" applyBorder="1" applyAlignment="1">
      <alignment horizontal="center"/>
    </xf>
  </cellXfs>
  <cellStyles count="7">
    <cellStyle name="Collegamento ipertestuale" xfId="6" builtinId="8"/>
    <cellStyle name="Migliaia" xfId="2" builtinId="3"/>
    <cellStyle name="Normal 2" xfId="5"/>
    <cellStyle name="Normal 3" xfId="3"/>
    <cellStyle name="Normale" xfId="0" builtinId="0"/>
    <cellStyle name="Percentuale" xfId="1" builtinId="5"/>
    <cellStyle name="Valuta" xfId="4" builtinId="4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3" formatCode="0%"/>
      <fill>
        <patternFill patternType="solid">
          <fgColor indexed="64"/>
          <bgColor theme="4" tint="0.59999389629810485"/>
        </patternFill>
      </fill>
      <border diagonalUp="0" diagonalDown="0">
        <left style="thick">
          <color rgb="FFFF0000"/>
        </left>
        <right style="thick">
          <color rgb="FF002060"/>
        </right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4" tint="0.59999389629810485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64" formatCode="_-* #,##0.00_-;\-* #,##0.00_-;_-* &quot;-&quot;??_-;_-@_-"/>
      <fill>
        <patternFill patternType="solid">
          <fgColor indexed="64"/>
          <bgColor theme="4" tint="0.59999389629810485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4" tint="0.59999389629810485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4" tint="0.59999389629810485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theme="4" tint="-0.499984740745262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8" tint="0.79998168889431442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66" formatCode="#,##0.00_ ;\-#,##0.00\ 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66" formatCode="#,##0.00_ ;\-#,##0.00\ "/>
      <fill>
        <patternFill patternType="solid">
          <fgColor indexed="64"/>
          <bgColor theme="8" tint="0.79998168889431442"/>
        </patternFill>
      </fill>
      <border diagonalUp="0" diagonalDown="0">
        <left style="thick">
          <color rgb="FFFF0000"/>
        </left>
        <right style="thin">
          <color rgb="FFFF0000"/>
        </right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mediumGray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 style="thin">
          <color rgb="FFFF0000"/>
        </right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numFmt numFmtId="174" formatCode="#,##0_ ;\-#,##0\ 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theme="4" tint="-0.499984740745262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 Pro Semibold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Verdana Pro Semibold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Verdana Pro Semibold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rgb="FFFF0000"/>
        </left>
        <right/>
        <top style="thin">
          <color rgb="FFFF0000"/>
        </top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Verdana Pro Semibold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FF000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"/>
        <name val="Verdana Pro Semibold"/>
        <scheme val="none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FF0000"/>
        </top>
        <bottom/>
      </border>
      <protection locked="1" hidden="1"/>
    </dxf>
    <dxf>
      <border outline="0">
        <left style="thick">
          <color rgb="FFFF0000"/>
        </left>
        <bottom style="thick">
          <color rgb="FFFF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Verdana Pro Semibold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bottom/>
        <vertical/>
        <horizontal/>
      </border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bgColor rgb="FFFF0000"/>
        </patternFill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Gray"/>
      </fill>
    </dxf>
    <dxf>
      <fill>
        <patternFill patternType="darkTrellis"/>
      </fill>
    </dxf>
    <dxf>
      <fill>
        <patternFill patternType="darkTrellis"/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ont>
        <color theme="2" tint="-0.499984740745262"/>
      </font>
      <fill>
        <patternFill patternType="darkGray"/>
      </fill>
    </dxf>
    <dxf>
      <fill>
        <patternFill>
          <bgColor rgb="FFFF0000"/>
        </patternFill>
      </fill>
    </dxf>
    <dxf>
      <font>
        <color theme="4" tint="0.79998168889431442"/>
      </font>
      <border>
        <left/>
        <right/>
        <top/>
        <bottom/>
        <vertical/>
        <horizontal/>
      </border>
    </dxf>
    <dxf>
      <font>
        <color theme="4" tint="0.79998168889431442"/>
      </font>
      <border>
        <left/>
        <right/>
        <top/>
        <bottom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4" tint="0.79998168889431442"/>
      </font>
      <border>
        <left/>
        <right/>
        <vertical/>
        <horizontal/>
      </border>
    </dxf>
    <dxf>
      <font>
        <color theme="4" tint="0.79998168889431442"/>
      </font>
      <border>
        <left/>
        <right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bottom/>
        <vertical/>
        <horizontal/>
      </border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7A37"/>
      <color rgb="FFFF9966"/>
      <color rgb="FFFF6600"/>
      <color rgb="FFFF9900"/>
      <color rgb="FF66FF33"/>
      <color rgb="FFFFCC00"/>
      <color rgb="FFFFCC66"/>
      <color rgb="FFFFDE75"/>
      <color rgb="FFFFD54F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123825</xdr:rowOff>
    </xdr:from>
    <xdr:to>
      <xdr:col>6</xdr:col>
      <xdr:colOff>971550</xdr:colOff>
      <xdr:row>18</xdr:row>
      <xdr:rowOff>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5C8CC23E-9CBC-4472-828B-9C78D0E805B1}"/>
            </a:ext>
          </a:extLst>
        </xdr:cNvPr>
        <xdr:cNvSpPr/>
      </xdr:nvSpPr>
      <xdr:spPr>
        <a:xfrm>
          <a:off x="314325" y="2114550"/>
          <a:ext cx="10106025" cy="428625"/>
        </a:xfrm>
        <a:prstGeom prst="round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17145</xdr:colOff>
      <xdr:row>8</xdr:row>
      <xdr:rowOff>123825</xdr:rowOff>
    </xdr:from>
    <xdr:to>
      <xdr:col>6</xdr:col>
      <xdr:colOff>982980</xdr:colOff>
      <xdr:row>13</xdr:row>
      <xdr:rowOff>57150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EF31371E-C6EE-4C65-8A2D-3D1D1E684D83}"/>
            </a:ext>
          </a:extLst>
        </xdr:cNvPr>
        <xdr:cNvSpPr/>
      </xdr:nvSpPr>
      <xdr:spPr>
        <a:xfrm>
          <a:off x="306705" y="1198245"/>
          <a:ext cx="10140315" cy="809625"/>
        </a:xfrm>
        <a:prstGeom prst="round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36195</xdr:colOff>
      <xdr:row>4</xdr:row>
      <xdr:rowOff>19050</xdr:rowOff>
    </xdr:from>
    <xdr:to>
      <xdr:col>6</xdr:col>
      <xdr:colOff>975360</xdr:colOff>
      <xdr:row>7</xdr:row>
      <xdr:rowOff>62865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A7019CA3-0390-D410-ABFB-30150BBB40D5}"/>
            </a:ext>
          </a:extLst>
        </xdr:cNvPr>
        <xdr:cNvSpPr/>
      </xdr:nvSpPr>
      <xdr:spPr>
        <a:xfrm>
          <a:off x="325755" y="598170"/>
          <a:ext cx="10113645" cy="462915"/>
        </a:xfrm>
        <a:prstGeom prst="round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1224914</xdr:colOff>
      <xdr:row>2</xdr:row>
      <xdr:rowOff>19050</xdr:rowOff>
    </xdr:from>
    <xdr:to>
      <xdr:col>9</xdr:col>
      <xdr:colOff>160019</xdr:colOff>
      <xdr:row>10</xdr:row>
      <xdr:rowOff>161925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16DC3907-D1B7-47EF-8A15-2E778E725E72}"/>
            </a:ext>
          </a:extLst>
        </xdr:cNvPr>
        <xdr:cNvSpPr/>
      </xdr:nvSpPr>
      <xdr:spPr>
        <a:xfrm>
          <a:off x="11226164" y="457200"/>
          <a:ext cx="3192780" cy="1800225"/>
        </a:xfrm>
        <a:prstGeom prst="roundRect">
          <a:avLst/>
        </a:prstGeom>
        <a:noFill/>
        <a:ln w="101600" cap="rnd" cmpd="tri">
          <a:gradFill flip="none" rotWithShape="1">
            <a:gsLst>
              <a:gs pos="0">
                <a:srgbClr val="FF9900"/>
              </a:gs>
              <a:gs pos="100000">
                <a:srgbClr val="FF0000"/>
              </a:gs>
              <a:gs pos="54000">
                <a:srgbClr val="66FF33">
                  <a:alpha val="54000"/>
                </a:srgbClr>
              </a:gs>
            </a:gsLst>
            <a:path path="shape">
              <a:fillToRect l="50000" t="50000" r="50000" b="50000"/>
            </a:path>
            <a:tileRect/>
          </a:gradFill>
          <a:prstDash val="lgDash"/>
          <a:bevel/>
          <a:extLst>
            <a:ext uri="{C807C97D-BFC1-408E-A445-0C87EB9F89A2}">
              <ask:lineSketchStyleProps xmlns="" xmlns:ask="http://schemas.microsoft.com/office/drawing/2018/sketchyshapes" sd="1219033472">
                <a:custGeom>
                  <a:avLst/>
                  <a:gdLst>
                    <a:gd name="connsiteX0" fmla="*/ 0 w 3188970"/>
                    <a:gd name="connsiteY0" fmla="*/ 262578 h 1575435"/>
                    <a:gd name="connsiteX1" fmla="*/ 262578 w 3188970"/>
                    <a:gd name="connsiteY1" fmla="*/ 0 h 1575435"/>
                    <a:gd name="connsiteX2" fmla="*/ 2926392 w 3188970"/>
                    <a:gd name="connsiteY2" fmla="*/ 0 h 1575435"/>
                    <a:gd name="connsiteX3" fmla="*/ 3188970 w 3188970"/>
                    <a:gd name="connsiteY3" fmla="*/ 262578 h 1575435"/>
                    <a:gd name="connsiteX4" fmla="*/ 3188970 w 3188970"/>
                    <a:gd name="connsiteY4" fmla="*/ 1312857 h 1575435"/>
                    <a:gd name="connsiteX5" fmla="*/ 2926392 w 3188970"/>
                    <a:gd name="connsiteY5" fmla="*/ 1575435 h 1575435"/>
                    <a:gd name="connsiteX6" fmla="*/ 262578 w 3188970"/>
                    <a:gd name="connsiteY6" fmla="*/ 1575435 h 1575435"/>
                    <a:gd name="connsiteX7" fmla="*/ 0 w 3188970"/>
                    <a:gd name="connsiteY7" fmla="*/ 1312857 h 1575435"/>
                    <a:gd name="connsiteX8" fmla="*/ 0 w 3188970"/>
                    <a:gd name="connsiteY8" fmla="*/ 262578 h 157543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3188970" h="1575435" extrusionOk="0">
                      <a:moveTo>
                        <a:pt x="0" y="262578"/>
                      </a:moveTo>
                      <a:cubicBezTo>
                        <a:pt x="-11158" y="110677"/>
                        <a:pt x="92535" y="9392"/>
                        <a:pt x="262578" y="0"/>
                      </a:cubicBezTo>
                      <a:cubicBezTo>
                        <a:pt x="1454913" y="132882"/>
                        <a:pt x="1616122" y="-84951"/>
                        <a:pt x="2926392" y="0"/>
                      </a:cubicBezTo>
                      <a:cubicBezTo>
                        <a:pt x="3054794" y="16226"/>
                        <a:pt x="3187450" y="125960"/>
                        <a:pt x="3188970" y="262578"/>
                      </a:cubicBezTo>
                      <a:cubicBezTo>
                        <a:pt x="3180494" y="525853"/>
                        <a:pt x="3155264" y="975117"/>
                        <a:pt x="3188970" y="1312857"/>
                      </a:cubicBezTo>
                      <a:cubicBezTo>
                        <a:pt x="3206232" y="1459923"/>
                        <a:pt x="3082733" y="1552133"/>
                        <a:pt x="2926392" y="1575435"/>
                      </a:cubicBezTo>
                      <a:cubicBezTo>
                        <a:pt x="1994052" y="1663074"/>
                        <a:pt x="1199344" y="1502756"/>
                        <a:pt x="262578" y="1575435"/>
                      </a:cubicBezTo>
                      <a:cubicBezTo>
                        <a:pt x="116992" y="1570014"/>
                        <a:pt x="-5028" y="1464862"/>
                        <a:pt x="0" y="1312857"/>
                      </a:cubicBezTo>
                      <a:cubicBezTo>
                        <a:pt x="48871" y="890199"/>
                        <a:pt x="-1236" y="511189"/>
                        <a:pt x="0" y="262578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outerShdw blurRad="50800" dist="50800" dir="5400000" algn="ctr" rotWithShape="0">
            <a:schemeClr val="bg1">
              <a:lumMod val="65000"/>
            </a:scheme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922020</xdr:colOff>
      <xdr:row>5</xdr:row>
      <xdr:rowOff>7620</xdr:rowOff>
    </xdr:from>
    <xdr:to>
      <xdr:col>17</xdr:col>
      <xdr:colOff>11429</xdr:colOff>
      <xdr:row>6</xdr:row>
      <xdr:rowOff>146684</xdr:rowOff>
    </xdr:to>
    <xdr:pic>
      <xdr:nvPicPr>
        <xdr:cNvPr id="10" name="Elemento grafico 9" descr="Documento con riempimento a tinta unita">
          <a:extLst>
            <a:ext uri="{FF2B5EF4-FFF2-40B4-BE49-F238E27FC236}">
              <a16:creationId xmlns:a16="http://schemas.microsoft.com/office/drawing/2014/main" id="{6CD7DFDE-0B5B-4AEE-8DC0-13DC7E4D5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48900" y="1318260"/>
          <a:ext cx="468629" cy="4514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22860</xdr:rowOff>
    </xdr:from>
    <xdr:to>
      <xdr:col>17</xdr:col>
      <xdr:colOff>26669</xdr:colOff>
      <xdr:row>8</xdr:row>
      <xdr:rowOff>161924</xdr:rowOff>
    </xdr:to>
    <xdr:pic>
      <xdr:nvPicPr>
        <xdr:cNvPr id="11" name="Elemento grafico 10" descr="Documento con riempimento a tinta unita">
          <a:extLst>
            <a:ext uri="{FF2B5EF4-FFF2-40B4-BE49-F238E27FC236}">
              <a16:creationId xmlns:a16="http://schemas.microsoft.com/office/drawing/2014/main" id="{F024AA84-529E-4632-A88B-34A57F4E4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64140" y="1958340"/>
          <a:ext cx="468629" cy="451484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</xdr:colOff>
      <xdr:row>9</xdr:row>
      <xdr:rowOff>7620</xdr:rowOff>
    </xdr:from>
    <xdr:to>
      <xdr:col>17</xdr:col>
      <xdr:colOff>34289</xdr:colOff>
      <xdr:row>10</xdr:row>
      <xdr:rowOff>146684</xdr:rowOff>
    </xdr:to>
    <xdr:pic>
      <xdr:nvPicPr>
        <xdr:cNvPr id="12" name="Elemento grafico 11" descr="Documento con riempimento a tinta unita">
          <a:extLst>
            <a:ext uri="{FF2B5EF4-FFF2-40B4-BE49-F238E27FC236}">
              <a16:creationId xmlns:a16="http://schemas.microsoft.com/office/drawing/2014/main" id="{98C3D1FC-E7E8-4022-B87D-067CA5D4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71760" y="2567940"/>
          <a:ext cx="468629" cy="45148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545</xdr:rowOff>
    </xdr:from>
    <xdr:to>
      <xdr:col>15</xdr:col>
      <xdr:colOff>403861</xdr:colOff>
      <xdr:row>29</xdr:row>
      <xdr:rowOff>22113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0EB1AEB-98A3-44A4-5AED-341E0D6EE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45"/>
          <a:ext cx="9730740" cy="7146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B32:AE232" totalsRowShown="0" headerRowDxfId="31" tableBorderDxfId="30">
  <autoFilter ref="B32:AE232"/>
  <tableColumns count="30">
    <tableColumn id="1" name="PRODOTTO" dataDxfId="29"/>
    <tableColumn id="2" name="NOME TABELLA 1" dataDxfId="28">
      <calculatedColumnFormula>IF(F33="","",F33)</calculatedColumnFormula>
    </tableColumn>
    <tableColumn id="3" name="PDT" dataDxfId="27"/>
    <tableColumn id="4" name="CONCATENA NOME" dataDxfId="26">
      <calculatedColumnFormula>IF(C33="","",CONCATENATE(D33," ",C33))</calculatedColumnFormula>
    </tableColumn>
    <tableColumn id="5" name="NOME TABELLA" dataDxfId="25"/>
    <tableColumn id="6" name="IMPORTO MIN" dataDxfId="24" dataCellStyle="Migliaia"/>
    <tableColumn id="7" name="IMPORTO MAX" dataDxfId="23" dataCellStyle="Migliaia"/>
    <tableColumn id="8" name="DURATA DA" dataDxfId="22" dataCellStyle="Migliaia"/>
    <tableColumn id="9" name="DURATA A" dataDxfId="21" dataCellStyle="Migliaia"/>
    <tableColumn id="10" name="PROCR. MIN" dataDxfId="20" dataCellStyle="Migliaia"/>
    <tableColumn id="11" name="PROCR. MAX" dataDxfId="19" dataCellStyle="Migliaia"/>
    <tableColumn id="12" name="TAN" dataDxfId="18" dataCellStyle="Percentuale"/>
    <tableColumn id="13" name="TASSO _x000a_RENDIM" dataDxfId="17"/>
    <tableColumn id="14" name="TAN _x000a_MINIMO" dataDxfId="16"/>
    <tableColumn id="15" name="TAN _x000a_MASSIMO" dataDxfId="15"/>
    <tableColumn id="16" name="TAN_x000a_SECONDA PARTE" dataDxfId="14"/>
    <tableColumn id="17" name="% MXRATA MIN" dataDxfId="13"/>
    <tableColumn id="18" name="% MXRATA MAX" dataDxfId="12"/>
    <tableColumn id="19" name="S.I.P. MIN" dataDxfId="11" dataCellStyle="Migliaia"/>
    <tableColumn id="20" name="S.I.P. MAX" dataDxfId="10" dataCellStyle="Migliaia"/>
    <tableColumn id="21" name="S.I.P. %" dataDxfId="9" dataCellStyle="Percentuale"/>
    <tableColumn id="22" name="SPESE _x000a_INCASSO" dataDxfId="8" dataCellStyle="Valuta"/>
    <tableColumn id="23" name="BOLLI E RENDICONT._x000a_SI/NO" dataDxfId="7" dataCellStyle="Valuta"/>
    <tableColumn id="24" name="DELTA TASSO" dataDxfId="6"/>
    <tableColumn id="25" name="PROVV. _x000a_SU M.I." dataDxfId="5"/>
    <tableColumn id="26" name="RISTORNO_x000a_S.I.P. %" dataDxfId="4"/>
    <tableColumn id="27" name="RISTORNO_x000a_S.I.P. FISSO" dataDxfId="3" dataCellStyle="Migliaia"/>
    <tableColumn id="28" name="PROVV. _x000a_SU CAPITALE" dataDxfId="2"/>
    <tableColumn id="29" name="EROGAZIONE _x000a_AL LORDO" dataDxfId="1"/>
    <tableColumn id="30" name="CONTRIBUTO_x000a_ CAPTIVE %" dataDxfId="0" dataCellStyle="Percentu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beasy.it/files/documents/AC9-CL20810-Deutsche-Bank-Set-Informativo-CPI-2023.pdf" TargetMode="External"/><Relationship Id="rId2" Type="http://schemas.openxmlformats.org/officeDocument/2006/relationships/hyperlink" Target="https://www.dbeasy.it/files/documents/AC1-CL20808-Deutsche-Bank-Set-Informativo-CPI-2023.pdf" TargetMode="External"/><Relationship Id="rId1" Type="http://schemas.openxmlformats.org/officeDocument/2006/relationships/hyperlink" Target="https://www.dbeasy.it/files/documents/AC4-CL20809-Deutsche-Bank-Set-Informativo-CPI-2023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rgb="FFFF0000"/>
    <pageSetUpPr fitToPage="1"/>
  </sheetPr>
  <dimension ref="A1:W72"/>
  <sheetViews>
    <sheetView zoomScale="85" zoomScaleNormal="82" workbookViewId="0">
      <selection activeCell="A2" sqref="A2:XFD71"/>
    </sheetView>
  </sheetViews>
  <sheetFormatPr defaultColWidth="8.85546875" defaultRowHeight="15"/>
  <cols>
    <col min="1" max="1" width="7.140625" style="159" customWidth="1"/>
    <col min="2" max="2" width="38.7109375" style="159" bestFit="1" customWidth="1"/>
    <col min="3" max="3" width="48.42578125" style="160" bestFit="1" customWidth="1"/>
    <col min="4" max="4" width="37.5703125" style="159" bestFit="1" customWidth="1"/>
    <col min="5" max="5" width="12.5703125" style="159" customWidth="1"/>
    <col min="6" max="6" width="24" style="159" bestFit="1" customWidth="1"/>
    <col min="7" max="7" width="1.7109375" style="159" customWidth="1"/>
    <col min="8" max="8" width="24" style="159" bestFit="1" customWidth="1"/>
    <col min="9" max="9" width="23.140625" style="159" customWidth="1"/>
    <col min="10" max="10" width="1.7109375" style="159" customWidth="1"/>
    <col min="11" max="11" width="19.85546875" style="159" bestFit="1" customWidth="1"/>
    <col min="12" max="12" width="1.7109375" style="159" customWidth="1"/>
    <col min="13" max="13" width="27.28515625" style="159" bestFit="1" customWidth="1"/>
    <col min="14" max="14" width="1.7109375" style="159" customWidth="1"/>
    <col min="15" max="15" width="36.28515625" style="159" bestFit="1" customWidth="1"/>
    <col min="16" max="16" width="1.7109375" style="159" customWidth="1"/>
    <col min="17" max="17" width="17.28515625" style="159" customWidth="1"/>
    <col min="18" max="18" width="2.140625" style="159" customWidth="1"/>
    <col min="19" max="19" width="14.85546875" style="159" customWidth="1"/>
    <col min="20" max="20" width="2.28515625" style="159" customWidth="1"/>
    <col min="21" max="21" width="28.7109375" style="159" customWidth="1"/>
    <col min="22" max="22" width="8.85546875" style="159"/>
    <col min="23" max="23" width="11.140625" style="159" customWidth="1"/>
    <col min="24" max="16384" width="8.85546875" style="159"/>
  </cols>
  <sheetData>
    <row r="1" spans="1:23" ht="11.25" customHeight="1"/>
    <row r="2" spans="1:23" ht="28.9" hidden="1" customHeight="1" thickTop="1" thickBot="1">
      <c r="B2" s="725" t="s">
        <v>226</v>
      </c>
      <c r="C2" s="726"/>
    </row>
    <row r="3" spans="1:23" ht="24" hidden="1" customHeight="1" thickTop="1" thickBot="1">
      <c r="B3" s="161"/>
      <c r="C3" s="162"/>
      <c r="D3" s="161"/>
      <c r="E3" s="161"/>
      <c r="F3" s="161"/>
    </row>
    <row r="4" spans="1:23" ht="15.75" hidden="1" thickBot="1">
      <c r="A4" s="163"/>
      <c r="B4" s="164" t="s">
        <v>0</v>
      </c>
      <c r="C4" s="165">
        <f>SIMULATORE!C10</f>
        <v>3850</v>
      </c>
      <c r="D4" s="161"/>
      <c r="E4" s="161"/>
      <c r="F4" s="166" t="s">
        <v>177</v>
      </c>
      <c r="H4" s="166" t="s">
        <v>187</v>
      </c>
      <c r="I4" s="166" t="s">
        <v>246</v>
      </c>
      <c r="K4" s="166" t="s">
        <v>189</v>
      </c>
      <c r="M4" s="166" t="s">
        <v>242</v>
      </c>
      <c r="O4" s="167" t="s">
        <v>185</v>
      </c>
      <c r="Q4" s="166" t="s">
        <v>278</v>
      </c>
      <c r="S4" s="166" t="s">
        <v>315</v>
      </c>
      <c r="U4" s="727" t="s">
        <v>368</v>
      </c>
      <c r="V4" s="728"/>
      <c r="W4" s="728"/>
    </row>
    <row r="5" spans="1:23" hidden="1">
      <c r="A5" s="163"/>
      <c r="B5" s="168" t="s">
        <v>1</v>
      </c>
      <c r="C5" s="169">
        <f>SIMULATORE!C11</f>
        <v>0</v>
      </c>
      <c r="D5" s="161"/>
      <c r="E5" s="161"/>
      <c r="F5" s="170" t="s">
        <v>178</v>
      </c>
      <c r="G5" s="161"/>
      <c r="H5" s="171">
        <v>30</v>
      </c>
      <c r="I5" s="171">
        <v>0</v>
      </c>
      <c r="J5" s="161"/>
      <c r="K5" s="170">
        <v>12</v>
      </c>
      <c r="L5" s="161"/>
      <c r="M5" s="170" t="s">
        <v>178</v>
      </c>
      <c r="N5" s="161"/>
      <c r="O5" s="577" t="s">
        <v>333</v>
      </c>
      <c r="P5" s="161"/>
      <c r="Q5" s="170"/>
      <c r="R5" s="161"/>
      <c r="S5" s="170"/>
      <c r="T5" s="161"/>
      <c r="U5" s="424" t="s">
        <v>107</v>
      </c>
      <c r="V5" s="424"/>
      <c r="W5" s="424"/>
    </row>
    <row r="6" spans="1:23" ht="15.75" hidden="1" thickBot="1">
      <c r="A6" s="163"/>
      <c r="B6" s="168" t="s">
        <v>2</v>
      </c>
      <c r="C6" s="169">
        <f>C4-C5</f>
        <v>3850</v>
      </c>
      <c r="D6" s="161"/>
      <c r="E6" s="161"/>
      <c r="F6" s="172" t="s">
        <v>179</v>
      </c>
      <c r="G6" s="161"/>
      <c r="H6" s="173">
        <v>60</v>
      </c>
      <c r="I6" s="173">
        <v>1</v>
      </c>
      <c r="J6" s="161"/>
      <c r="K6" s="174">
        <v>24</v>
      </c>
      <c r="L6" s="161"/>
      <c r="M6" s="174" t="s">
        <v>179</v>
      </c>
      <c r="N6" s="161"/>
      <c r="O6" s="578" t="s">
        <v>334</v>
      </c>
      <c r="P6" s="161"/>
      <c r="Q6" s="175" t="s">
        <v>279</v>
      </c>
      <c r="R6" s="161"/>
      <c r="S6" s="175" t="s">
        <v>178</v>
      </c>
      <c r="T6" s="161"/>
      <c r="U6" s="424" t="str">
        <f>_xlfn.IFNA(W6,"")</f>
        <v/>
      </c>
      <c r="V6" s="424">
        <v>1</v>
      </c>
      <c r="W6" s="424" t="e">
        <f>IF(VLOOKUP(V6,'Condizioni comm.li'!$M$5:$N$8,2,0)&lt;&gt;"",VLOOKUP(V6,'Condizioni comm.li'!$M$5:$N$8,2,0),"")</f>
        <v>#N/A</v>
      </c>
    </row>
    <row r="7" spans="1:23" ht="15.75" hidden="1" thickBot="1">
      <c r="A7" s="163"/>
      <c r="B7" s="168" t="s">
        <v>3</v>
      </c>
      <c r="C7" s="176" t="str">
        <f>SIMULATORE!C6</f>
        <v>CASA_GRANDI_INTERVENTI</v>
      </c>
      <c r="D7" s="177" t="str">
        <f>VLOOKUP(C7,'Condizioni comm.li'!$B$5:$E$31,3,0)</f>
        <v>GI</v>
      </c>
      <c r="E7" s="161"/>
      <c r="F7" s="161"/>
      <c r="G7" s="161"/>
      <c r="H7" s="173">
        <v>90</v>
      </c>
      <c r="I7" s="173">
        <v>2</v>
      </c>
      <c r="J7" s="161"/>
      <c r="K7" s="174">
        <v>36</v>
      </c>
      <c r="L7" s="161"/>
      <c r="M7" s="172" t="s">
        <v>267</v>
      </c>
      <c r="N7" s="161"/>
      <c r="O7" s="578" t="s">
        <v>335</v>
      </c>
      <c r="P7" s="161"/>
      <c r="Q7" s="161"/>
      <c r="R7" s="161"/>
      <c r="S7" s="161"/>
      <c r="T7" s="161"/>
      <c r="U7" s="424" t="str">
        <f t="shared" ref="U7:U9" si="0">_xlfn.IFNA(W7,"")</f>
        <v/>
      </c>
      <c r="V7" s="424">
        <v>2</v>
      </c>
      <c r="W7" s="424" t="e">
        <f>IF(VLOOKUP(V7,'Condizioni comm.li'!$M$5:$N$8,2,0)&lt;&gt;"",VLOOKUP(V7,'Condizioni comm.li'!$M$5:$N$8,2,0),"")</f>
        <v>#N/A</v>
      </c>
    </row>
    <row r="8" spans="1:23" ht="15.75" hidden="1" thickBot="1">
      <c r="A8" s="163"/>
      <c r="B8" s="168" t="s">
        <v>193</v>
      </c>
      <c r="C8" s="176" t="str">
        <f>IF(LEFT(C7,8)="MAXIRATA","MAXIRATA","PIANO STD")</f>
        <v>PIANO STD</v>
      </c>
      <c r="D8" s="177" t="str">
        <f>IF(OR(C7='Condizioni comm.li'!B14,C7='Condizioni comm.li'!B15,C7='Condizioni comm.li'!B16,C7='Condizioni comm.li'!B17,C7='Condizioni comm.li'!B18),"sì","no")</f>
        <v>no</v>
      </c>
      <c r="F8" s="161"/>
      <c r="G8" s="161"/>
      <c r="H8" s="173">
        <v>120</v>
      </c>
      <c r="I8" s="173">
        <v>3</v>
      </c>
      <c r="J8" s="161"/>
      <c r="K8" s="172">
        <v>48</v>
      </c>
      <c r="L8" s="161"/>
      <c r="M8" s="161"/>
      <c r="N8" s="161"/>
      <c r="O8" s="578" t="s">
        <v>336</v>
      </c>
      <c r="P8" s="161"/>
      <c r="Q8" s="161"/>
      <c r="R8" s="161"/>
      <c r="S8" s="161"/>
      <c r="T8" s="161"/>
      <c r="U8" s="424" t="str">
        <f t="shared" si="0"/>
        <v/>
      </c>
      <c r="V8" s="424">
        <v>3</v>
      </c>
      <c r="W8" s="424" t="e">
        <f>IF(VLOOKUP(V8,'Condizioni comm.li'!$M$5:$N$8,2,0)&lt;&gt;"",VLOOKUP(V8,'Condizioni comm.li'!$M$5:$N$8,2,0),"")</f>
        <v>#N/A</v>
      </c>
    </row>
    <row r="9" spans="1:23" ht="15.75" hidden="1" thickBot="1">
      <c r="A9" s="163"/>
      <c r="B9" s="168" t="s">
        <v>291</v>
      </c>
      <c r="C9" s="176" t="str">
        <f>SIMULATORE!$C$7</f>
        <v xml:space="preserve">RYF </v>
      </c>
      <c r="D9" s="177" t="str">
        <f>CONCATENATE(D7," ",C9)</f>
        <v xml:space="preserve">GI RYF </v>
      </c>
      <c r="E9" s="161"/>
      <c r="F9" s="161"/>
      <c r="G9" s="161"/>
      <c r="H9" s="173">
        <v>150</v>
      </c>
      <c r="I9" s="173">
        <v>4</v>
      </c>
      <c r="J9" s="161"/>
      <c r="K9" s="161"/>
      <c r="L9" s="161"/>
      <c r="M9" s="161"/>
      <c r="N9" s="161"/>
      <c r="O9" s="578" t="s">
        <v>345</v>
      </c>
      <c r="P9" s="161"/>
      <c r="Q9" s="161"/>
      <c r="R9" s="161"/>
      <c r="S9" s="161"/>
      <c r="T9" s="161"/>
      <c r="U9" s="424" t="str">
        <f t="shared" si="0"/>
        <v/>
      </c>
      <c r="V9" s="424">
        <v>4</v>
      </c>
      <c r="W9" s="424" t="e">
        <f>IF(VLOOKUP(V9,'Condizioni comm.li'!$M$5:$N$8,2,0)&lt;&gt;"",VLOOKUP(V9,'Condizioni comm.li'!$M$5:$N$8,2,0),"")</f>
        <v>#N/A</v>
      </c>
    </row>
    <row r="10" spans="1:23" ht="15.75" hidden="1" thickBot="1">
      <c r="A10" s="163"/>
      <c r="B10" s="168" t="s">
        <v>6</v>
      </c>
      <c r="C10" s="178">
        <f>IF(VLOOKUP(D9,'Condizioni comm.li'!E33:M1127,9,0)&lt;&gt;"",VLOOKUP(D9,'Condizioni comm.li'!E33:M1127,9,0),SIMULATORE!E7)</f>
        <v>6.9500000000000006E-2</v>
      </c>
      <c r="D10" s="161"/>
      <c r="E10" s="161"/>
      <c r="F10" s="161"/>
      <c r="G10" s="161"/>
      <c r="H10" s="179">
        <v>180</v>
      </c>
      <c r="I10" s="179">
        <v>5</v>
      </c>
      <c r="J10" s="161"/>
      <c r="K10" s="161"/>
      <c r="L10" s="161"/>
      <c r="M10" s="161"/>
      <c r="N10" s="161"/>
      <c r="O10" s="578" t="s">
        <v>346</v>
      </c>
      <c r="P10" s="161"/>
      <c r="Q10" s="161"/>
      <c r="R10" s="161"/>
      <c r="S10" s="161"/>
      <c r="T10" s="161"/>
      <c r="U10" s="161"/>
      <c r="V10" s="163"/>
    </row>
    <row r="11" spans="1:23" hidden="1">
      <c r="A11" s="163"/>
      <c r="B11" s="168" t="s">
        <v>186</v>
      </c>
      <c r="C11" s="176">
        <f>SIMULATORE!E10</f>
        <v>36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578" t="s">
        <v>347</v>
      </c>
      <c r="P11" s="161"/>
      <c r="Q11" s="161"/>
      <c r="R11" s="161"/>
      <c r="S11" s="161"/>
      <c r="T11" s="161"/>
      <c r="U11" s="161"/>
      <c r="V11" s="163"/>
    </row>
    <row r="12" spans="1:23" ht="15.75" hidden="1" thickBot="1">
      <c r="A12" s="163"/>
      <c r="B12" s="168" t="s">
        <v>188</v>
      </c>
      <c r="C12" s="176">
        <f>VLOOKUP(C7,prodotti!B3:D104,3,0)</f>
        <v>120</v>
      </c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578" t="s">
        <v>348</v>
      </c>
      <c r="P12" s="161"/>
      <c r="Q12" s="161"/>
      <c r="R12" s="161"/>
      <c r="S12" s="161"/>
      <c r="T12" s="161"/>
      <c r="U12" s="161"/>
      <c r="V12" s="163"/>
    </row>
    <row r="13" spans="1:23" ht="15.75" hidden="1" thickBot="1">
      <c r="A13" s="163"/>
      <c r="B13" s="168" t="s">
        <v>259</v>
      </c>
      <c r="C13" s="176">
        <f>VLOOKUP(SIMULATORE!E11,H5:I10,2)</f>
        <v>0</v>
      </c>
      <c r="D13" s="177">
        <f>C13*30+30</f>
        <v>30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578" t="s">
        <v>349</v>
      </c>
      <c r="P13" s="161"/>
      <c r="Q13" s="161"/>
      <c r="R13" s="161"/>
      <c r="S13" s="161"/>
      <c r="T13" s="161"/>
      <c r="U13" s="161"/>
      <c r="V13" s="163"/>
    </row>
    <row r="14" spans="1:23" ht="15.75" hidden="1" thickBot="1">
      <c r="A14" s="163"/>
      <c r="B14" s="180" t="s">
        <v>4</v>
      </c>
      <c r="C14" s="181">
        <f>SIMULATORE!C12</f>
        <v>0</v>
      </c>
      <c r="D14" s="285" t="s">
        <v>316</v>
      </c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578" t="s">
        <v>350</v>
      </c>
      <c r="P14" s="161"/>
      <c r="Q14" s="161"/>
      <c r="R14" s="161"/>
      <c r="S14" s="161"/>
      <c r="T14" s="161"/>
      <c r="U14" s="161"/>
      <c r="V14" s="163"/>
    </row>
    <row r="15" spans="1:23" ht="15.75" hidden="1" thickBot="1">
      <c r="A15" s="163"/>
      <c r="B15" s="182" t="s">
        <v>184</v>
      </c>
      <c r="C15" s="183">
        <f>IF(C8="MAXIRATA",C11+C13+C47,C11+C13)</f>
        <v>36</v>
      </c>
      <c r="D15" s="286">
        <f>ROUND(calcoli!C6*VLOOKUP(calcoli!D9,'Condizioni comm.li'!E33:BA1096,18,0),2)</f>
        <v>0</v>
      </c>
      <c r="E15" s="458"/>
      <c r="F15" s="161"/>
      <c r="G15" s="161"/>
      <c r="H15" s="161"/>
      <c r="I15" s="161"/>
      <c r="J15" s="161"/>
      <c r="K15" s="161"/>
      <c r="L15" s="161"/>
      <c r="M15" s="161"/>
      <c r="N15" s="161"/>
      <c r="O15" s="578" t="s">
        <v>352</v>
      </c>
      <c r="P15" s="161"/>
      <c r="Q15" s="161"/>
      <c r="R15" s="161"/>
      <c r="S15" s="161"/>
      <c r="T15" s="161"/>
      <c r="U15" s="161"/>
      <c r="V15" s="163"/>
    </row>
    <row r="16" spans="1:23" ht="15.75" hidden="1" thickBot="1">
      <c r="A16" s="163"/>
      <c r="B16" s="184" t="s">
        <v>146</v>
      </c>
      <c r="C16" s="185">
        <f>SIMULATORE!D21</f>
        <v>27461</v>
      </c>
      <c r="D16" s="444" t="e">
        <f>CONCATENATE("MAX IMPORTO FIN. ",TRUNC(VLOOKUP(C7,prodotti!B3:H100,7,0)/VLOOKUP(calcoli!D9,'Condizioni comm.li'!E33:AF1114,18,0),2),"€")</f>
        <v>#DIV/0!</v>
      </c>
      <c r="E16" s="192"/>
      <c r="F16" s="161"/>
      <c r="G16" s="161"/>
      <c r="H16" s="161"/>
      <c r="I16" s="161"/>
      <c r="J16" s="161"/>
      <c r="K16" s="161"/>
      <c r="L16" s="161"/>
      <c r="M16" s="161"/>
      <c r="N16" s="161"/>
      <c r="O16" s="578" t="s">
        <v>353</v>
      </c>
      <c r="P16" s="161"/>
      <c r="Q16" s="161"/>
      <c r="R16" s="161"/>
      <c r="S16" s="161"/>
      <c r="T16" s="161"/>
      <c r="U16" s="161"/>
      <c r="V16" s="163"/>
    </row>
    <row r="17" spans="1:22" ht="15.75" hidden="1" thickBot="1">
      <c r="A17" s="163"/>
      <c r="B17" s="186" t="s">
        <v>14</v>
      </c>
      <c r="C17" s="187" t="str">
        <f>IF(OR(AND('Condizioni comm.li'!P5="NO",'Condizioni comm.li'!P6="NO",'Condizioni comm.li'!P7="NO",'Condizioni comm.li'!P8="NO"),SIMULATORE!C21="",SIMULATORE!C21="no"),"NO",SIMULATORE!C21)</f>
        <v>NO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579" t="s">
        <v>355</v>
      </c>
      <c r="P17" s="161"/>
      <c r="Q17" s="161"/>
      <c r="R17" s="161"/>
      <c r="S17" s="161"/>
      <c r="T17" s="161"/>
      <c r="U17" s="161"/>
      <c r="V17" s="163"/>
    </row>
    <row r="18" spans="1:22" hidden="1">
      <c r="A18" s="163"/>
      <c r="B18" s="186" t="s">
        <v>276</v>
      </c>
      <c r="C18" s="188">
        <f>ROUND(C20*VLOOKUP(C17,assicurazioni!B4:C7,2),2)</f>
        <v>2.31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3"/>
    </row>
    <row r="19" spans="1:22" hidden="1">
      <c r="A19" s="163"/>
      <c r="B19" s="186" t="s">
        <v>277</v>
      </c>
      <c r="C19" s="188">
        <f>IF(OR(C17="no",C17="",),0,IF(D7="GI",C18*C11,C18*C15))</f>
        <v>0</v>
      </c>
      <c r="D19" s="161"/>
      <c r="E19" s="161"/>
      <c r="F19" s="161"/>
      <c r="G19" s="161"/>
      <c r="H19" s="161"/>
    </row>
    <row r="20" spans="1:22" ht="15.75" hidden="1" thickBot="1">
      <c r="A20" s="163"/>
      <c r="B20" s="189" t="s">
        <v>190</v>
      </c>
      <c r="C20" s="190">
        <f>C6+C14+C32+C34</f>
        <v>3850</v>
      </c>
      <c r="D20" s="161"/>
      <c r="E20" s="161"/>
      <c r="F20" s="161"/>
      <c r="G20" s="161"/>
      <c r="H20" s="161"/>
    </row>
    <row r="21" spans="1:22" hidden="1">
      <c r="A21" s="163"/>
      <c r="B21" s="279" t="s">
        <v>15</v>
      </c>
      <c r="C21" s="400"/>
      <c r="D21" s="161"/>
      <c r="E21" s="161"/>
      <c r="F21" s="161"/>
      <c r="G21" s="161"/>
      <c r="H21" s="161"/>
    </row>
    <row r="22" spans="1:22" hidden="1">
      <c r="A22" s="163"/>
      <c r="B22" s="280" t="s">
        <v>159</v>
      </c>
      <c r="C22" s="281"/>
      <c r="D22" s="161"/>
      <c r="E22" s="161"/>
      <c r="F22" s="161"/>
      <c r="G22" s="161"/>
      <c r="H22" s="161"/>
    </row>
    <row r="23" spans="1:22" hidden="1">
      <c r="A23" s="163"/>
      <c r="B23" s="280" t="s">
        <v>36</v>
      </c>
      <c r="C23" s="281"/>
      <c r="D23" s="161"/>
      <c r="E23" s="161"/>
      <c r="F23" s="161"/>
      <c r="G23" s="161"/>
      <c r="H23" s="161"/>
    </row>
    <row r="24" spans="1:22" hidden="1">
      <c r="A24" s="163"/>
      <c r="B24" s="280" t="s">
        <v>35</v>
      </c>
      <c r="C24" s="281"/>
      <c r="D24" s="161"/>
      <c r="E24" s="161"/>
      <c r="F24" s="161"/>
      <c r="G24" s="161"/>
      <c r="H24" s="161"/>
    </row>
    <row r="25" spans="1:22" hidden="1">
      <c r="A25" s="163"/>
      <c r="B25" s="282" t="s">
        <v>163</v>
      </c>
      <c r="C25" s="281"/>
      <c r="D25" s="161"/>
      <c r="E25" s="161"/>
      <c r="F25" s="161"/>
      <c r="G25" s="161"/>
      <c r="H25" s="161"/>
    </row>
    <row r="26" spans="1:22" hidden="1">
      <c r="A26" s="163"/>
      <c r="B26" s="280" t="s">
        <v>150</v>
      </c>
      <c r="C26" s="281"/>
      <c r="D26" s="161"/>
      <c r="E26" s="161"/>
    </row>
    <row r="27" spans="1:22" hidden="1">
      <c r="A27" s="163"/>
      <c r="B27" s="283" t="s">
        <v>176</v>
      </c>
      <c r="C27" s="284"/>
      <c r="D27" s="161"/>
      <c r="E27" s="161"/>
    </row>
    <row r="28" spans="1:22" hidden="1">
      <c r="A28" s="163"/>
      <c r="B28" s="282" t="s">
        <v>162</v>
      </c>
      <c r="C28" s="281"/>
      <c r="D28" s="161"/>
      <c r="E28" s="161"/>
      <c r="F28" s="161"/>
    </row>
    <row r="29" spans="1:22" hidden="1">
      <c r="A29" s="163"/>
      <c r="B29" s="280" t="s">
        <v>17</v>
      </c>
      <c r="C29" s="284"/>
      <c r="D29" s="161"/>
      <c r="E29" s="161"/>
      <c r="F29" s="161"/>
    </row>
    <row r="30" spans="1:22" ht="15.75" hidden="1" thickBot="1">
      <c r="A30" s="163"/>
      <c r="B30" s="283" t="s">
        <v>225</v>
      </c>
      <c r="C30" s="401"/>
      <c r="D30" s="161"/>
      <c r="E30" s="161"/>
      <c r="F30" s="161"/>
    </row>
    <row r="31" spans="1:22" hidden="1">
      <c r="A31" s="163"/>
      <c r="B31" s="258" t="s">
        <v>341</v>
      </c>
      <c r="C31" s="259" t="str">
        <f>SIMULATORE!C24</f>
        <v>No</v>
      </c>
      <c r="D31" s="161"/>
      <c r="E31" s="161"/>
      <c r="F31" s="161"/>
    </row>
    <row r="32" spans="1:22" ht="15.75" hidden="1" thickBot="1">
      <c r="A32" s="163"/>
      <c r="B32" s="260" t="s">
        <v>342</v>
      </c>
      <c r="C32" s="261">
        <f>IF(OR(C31="NO",C31="",'Condizioni comm.li'!P9="no"),0,IF(AND(calcoli!$D$7&lt;&gt;"aa",calcoli!$D$7&lt;&gt;"as",calcoli!$D$7&lt;&gt;"cu",calcoli!$D$7&lt;&gt;"im"),0,C4*assicurazioni!AB3))</f>
        <v>0</v>
      </c>
      <c r="D32" s="161"/>
      <c r="E32" s="161"/>
      <c r="F32" s="161"/>
    </row>
    <row r="33" spans="1:6" hidden="1">
      <c r="A33" s="163"/>
      <c r="B33" s="388" t="s">
        <v>356</v>
      </c>
      <c r="C33" s="391" t="str">
        <f>SIMULATORE!C27</f>
        <v>No</v>
      </c>
      <c r="D33" s="161"/>
      <c r="E33" s="161"/>
      <c r="F33" s="161"/>
    </row>
    <row r="34" spans="1:6" ht="15.75" hidden="1" thickBot="1">
      <c r="A34" s="163"/>
      <c r="B34" s="389" t="s">
        <v>17</v>
      </c>
      <c r="C34" s="390">
        <f>IF(OR(C33="NO",C33="",'Condizioni comm.li'!P10="no"),0,IF(AND(D7&lt;&gt;"bk",D7&lt;&gt;"mb"),0,C6*VLOOKUP(C33,assicurazioni!AE4:AF6,2,0)))</f>
        <v>0</v>
      </c>
      <c r="D34" s="161"/>
      <c r="E34" s="161"/>
      <c r="F34" s="161"/>
    </row>
    <row r="35" spans="1:6" hidden="1">
      <c r="A35" s="163"/>
      <c r="B35" s="191" t="s">
        <v>201</v>
      </c>
      <c r="C35" s="278">
        <f>IF(C8="MAXIRATA",-PMT(C10/12,C11-1,C42,-C46/(1+C10/12)),-PMT(C10/12,C11,C42))</f>
        <v>118.78882868393664</v>
      </c>
      <c r="D35" s="161"/>
      <c r="E35" s="161"/>
      <c r="F35" s="192"/>
    </row>
    <row r="36" spans="1:6" hidden="1">
      <c r="A36" s="163"/>
      <c r="B36" s="193" t="s">
        <v>202</v>
      </c>
      <c r="C36" s="638">
        <f>IF(AND(C10=0,C57=0),C35,IF(AND(C10=0,C57&gt;0),CEILING(C35,0.01),IF(C10&lt;C57,CEILING(TRUNC(C35,5),0.5),IF(D8="no",CEILING(TRUNC(C35,5),1),CEILING(TRUNC(C35,5),0.5)))))</f>
        <v>119</v>
      </c>
      <c r="D36" s="161"/>
      <c r="E36" s="161"/>
      <c r="F36" s="192"/>
    </row>
    <row r="37" spans="1:6" hidden="1">
      <c r="A37" s="163"/>
      <c r="B37" s="193" t="s">
        <v>180</v>
      </c>
      <c r="C37" s="194">
        <f>IF(C8="maxirata",ROUND(C42*C39*C13/(12*(C11)),2),ROUND((C42*C39*C13)/(12*C11),2))</f>
        <v>0</v>
      </c>
      <c r="D37" s="161"/>
      <c r="E37" s="161"/>
      <c r="F37" s="195"/>
    </row>
    <row r="38" spans="1:6" hidden="1">
      <c r="A38" s="163"/>
      <c r="B38" s="193" t="s">
        <v>253</v>
      </c>
      <c r="C38" s="194">
        <f>C36+C37</f>
        <v>119</v>
      </c>
      <c r="D38" s="161"/>
      <c r="E38" s="161"/>
    </row>
    <row r="39" spans="1:6" hidden="1">
      <c r="A39" s="163"/>
      <c r="B39" s="193" t="s">
        <v>6</v>
      </c>
      <c r="C39" s="196">
        <f>IF(AND('sviluppo p. amm.to'!P3&lt;0,'sviluppo p. amm.to'!P3&gt;-0.05%),0,'sviluppo p. amm.to'!P3)</f>
        <v>7.0699538312625876E-2</v>
      </c>
      <c r="D39" s="161"/>
      <c r="E39" s="161"/>
    </row>
    <row r="40" spans="1:6" hidden="1">
      <c r="A40" s="163"/>
      <c r="B40" s="193" t="s">
        <v>10</v>
      </c>
      <c r="C40" s="197">
        <f>'sviluppo p. amm.to'!R3</f>
        <v>0.1057</v>
      </c>
      <c r="D40" s="161"/>
      <c r="E40" s="161"/>
    </row>
    <row r="41" spans="1:6" hidden="1">
      <c r="A41" s="163"/>
      <c r="B41" s="193" t="s">
        <v>209</v>
      </c>
      <c r="C41" s="197">
        <f>'sviluppo p. amm.to'!Q3</f>
        <v>0.10390000000000001</v>
      </c>
      <c r="D41" s="161"/>
      <c r="E41" s="161"/>
    </row>
    <row r="42" spans="1:6" hidden="1">
      <c r="A42" s="163"/>
      <c r="B42" s="193" t="s">
        <v>250</v>
      </c>
      <c r="C42" s="198">
        <f>C6+C14+C19+C32+C34</f>
        <v>3850</v>
      </c>
      <c r="D42" s="161"/>
      <c r="E42" s="161"/>
    </row>
    <row r="43" spans="1:6" hidden="1">
      <c r="A43" s="163"/>
      <c r="B43" s="193" t="s">
        <v>251</v>
      </c>
      <c r="C43" s="199">
        <f>C6+(C29*(1-C30))+C32+C34</f>
        <v>3850</v>
      </c>
      <c r="D43" s="161"/>
      <c r="E43" s="161"/>
    </row>
    <row r="44" spans="1:6" ht="15.75" hidden="1" thickBot="1">
      <c r="A44" s="163"/>
      <c r="B44" s="200" t="s">
        <v>252</v>
      </c>
      <c r="C44" s="199">
        <f>C6+C19+C29+C32+C34</f>
        <v>3850</v>
      </c>
      <c r="D44" s="161"/>
      <c r="E44" s="161"/>
    </row>
    <row r="45" spans="1:6" hidden="1">
      <c r="A45" s="163"/>
      <c r="B45" s="201" t="s">
        <v>5</v>
      </c>
      <c r="C45" s="202">
        <f>SIMULATORE!C16</f>
        <v>0.5</v>
      </c>
      <c r="D45" s="161"/>
      <c r="E45" s="161"/>
    </row>
    <row r="46" spans="1:6" hidden="1">
      <c r="A46" s="163"/>
      <c r="B46" s="203" t="s">
        <v>218</v>
      </c>
      <c r="C46" s="204" t="str">
        <f>IF(C8="MAXIRATA",C4*C45,"")</f>
        <v/>
      </c>
      <c r="D46" s="161"/>
      <c r="E46" s="161"/>
    </row>
    <row r="47" spans="1:6" hidden="1">
      <c r="A47" s="163"/>
      <c r="B47" s="203" t="s">
        <v>7</v>
      </c>
      <c r="C47" s="234">
        <f>SIMULATORE!E16</f>
        <v>36</v>
      </c>
      <c r="D47" s="161"/>
      <c r="E47" s="161"/>
    </row>
    <row r="48" spans="1:6" hidden="1">
      <c r="A48" s="163"/>
      <c r="B48" s="203" t="s">
        <v>8</v>
      </c>
      <c r="C48" s="205">
        <f>VLOOKUP(D9,'Condizioni comm.li'!E33:AD1127,13,0)</f>
        <v>0</v>
      </c>
      <c r="D48" s="161"/>
      <c r="E48" s="161"/>
    </row>
    <row r="49" spans="1:12" hidden="1">
      <c r="A49" s="163"/>
      <c r="B49" s="203" t="s">
        <v>219</v>
      </c>
      <c r="C49" s="205" t="str">
        <f>'sviluppo p. amm.to'!V3</f>
        <v/>
      </c>
      <c r="D49" s="161"/>
      <c r="E49" s="161"/>
    </row>
    <row r="50" spans="1:12" hidden="1">
      <c r="A50" s="163"/>
      <c r="B50" s="203" t="s">
        <v>18</v>
      </c>
      <c r="C50" s="204" t="str">
        <f>IF(C8="MAXIRATA",IF(C45&gt;0,CEILING(-PMT(C48/12,C47,C46),1),""),"")</f>
        <v/>
      </c>
      <c r="D50" s="161"/>
      <c r="E50" s="161"/>
    </row>
    <row r="51" spans="1:12" hidden="1">
      <c r="A51" s="163"/>
      <c r="B51" s="203" t="s">
        <v>220</v>
      </c>
      <c r="C51" s="205" t="str">
        <f>'sviluppo p. amm.to'!X3</f>
        <v/>
      </c>
      <c r="D51" s="161"/>
      <c r="E51" s="161"/>
    </row>
    <row r="52" spans="1:12" ht="15.75" hidden="1" thickBot="1">
      <c r="A52" s="163"/>
      <c r="B52" s="206" t="s">
        <v>221</v>
      </c>
      <c r="C52" s="207" t="str">
        <f>'sviluppo p. amm.to'!W3</f>
        <v/>
      </c>
      <c r="D52" s="161"/>
      <c r="E52" s="161"/>
    </row>
    <row r="53" spans="1:12" hidden="1">
      <c r="A53" s="163"/>
      <c r="B53" s="208" t="s">
        <v>11</v>
      </c>
      <c r="C53" s="209">
        <f>SUM('sviluppo p. amm.to'!R6:R151)</f>
        <v>4476.625</v>
      </c>
      <c r="D53" s="161"/>
      <c r="E53" s="161"/>
      <c r="F53" s="161"/>
      <c r="G53" s="161"/>
      <c r="H53" s="161"/>
      <c r="I53" s="161"/>
      <c r="J53" s="161"/>
      <c r="K53" s="161"/>
      <c r="L53" s="161"/>
    </row>
    <row r="54" spans="1:12" ht="15.75" hidden="1" thickBot="1">
      <c r="A54" s="163"/>
      <c r="B54" s="210" t="s">
        <v>12</v>
      </c>
      <c r="C54" s="211">
        <f>C19+C29+C32+C34</f>
        <v>0</v>
      </c>
      <c r="D54" s="161"/>
      <c r="E54" s="161"/>
      <c r="F54" s="161"/>
      <c r="G54" s="161"/>
      <c r="H54" s="161"/>
      <c r="I54" s="161"/>
      <c r="J54" s="161"/>
      <c r="K54" s="161"/>
      <c r="L54" s="161"/>
    </row>
    <row r="55" spans="1:12" hidden="1">
      <c r="A55" s="163"/>
      <c r="B55" s="212" t="s">
        <v>308</v>
      </c>
      <c r="C55" s="213">
        <f>C6+C14</f>
        <v>3850</v>
      </c>
      <c r="D55" s="161"/>
      <c r="E55" s="161"/>
      <c r="F55" s="161"/>
      <c r="G55" s="161"/>
      <c r="H55" s="161"/>
      <c r="I55" s="161"/>
      <c r="J55" s="161"/>
      <c r="K55" s="161"/>
      <c r="L55" s="161"/>
    </row>
    <row r="56" spans="1:12" ht="15.75" hidden="1" thickBot="1">
      <c r="A56" s="163"/>
      <c r="B56" s="214" t="s">
        <v>309</v>
      </c>
      <c r="C56" s="215">
        <f>IF(AND(C8="MAXIRATA",C10=0),TRUNC((C55-C46)/(C11-1),2),IF(C10=0,CEILING(C55/C11,0.01),IF(C8="MAXIRATA",CEILING(-PMT(C10/12,C11-1,C55,-C46/(1+C10/12)),0.5),CEILING(-PMT(C10/12,C11,C55),0.5))))</f>
        <v>119</v>
      </c>
      <c r="D56" s="161"/>
      <c r="E56" s="161"/>
      <c r="F56" s="161"/>
      <c r="G56" s="161"/>
      <c r="H56" s="161"/>
      <c r="I56" s="161"/>
      <c r="J56" s="161"/>
      <c r="K56" s="161"/>
      <c r="L56" s="161"/>
    </row>
    <row r="57" spans="1:12" hidden="1">
      <c r="A57" s="163"/>
      <c r="B57" s="216" t="s">
        <v>312</v>
      </c>
      <c r="C57" s="217">
        <f>IF(VLOOKUP(D9,'Condizioni comm.li'!E33:AC1127,10,0)="",C10,VLOOKUP(D9,'Condizioni comm.li'!E33:AC1127,10,0))</f>
        <v>6.9500000000000006E-2</v>
      </c>
      <c r="D57" s="161"/>
      <c r="E57" s="161"/>
      <c r="F57" s="161"/>
      <c r="G57" s="161"/>
      <c r="H57" s="161"/>
      <c r="I57" s="161"/>
      <c r="J57" s="161"/>
      <c r="K57" s="161"/>
      <c r="L57" s="161"/>
    </row>
    <row r="58" spans="1:12" hidden="1">
      <c r="A58" s="163"/>
      <c r="B58" s="218" t="s">
        <v>295</v>
      </c>
      <c r="C58" s="219">
        <f>IF(C8="MAXIRATA",-PMT(C57/12,C11-1,C55,-C46/(1+C57/12)),-PMT(C57/12,C11,C55))</f>
        <v>118.78882868393664</v>
      </c>
      <c r="D58" s="161"/>
      <c r="E58" s="161"/>
      <c r="F58" s="161"/>
      <c r="G58" s="161"/>
      <c r="H58" s="161"/>
      <c r="I58" s="161"/>
      <c r="J58" s="161"/>
      <c r="K58" s="161"/>
      <c r="L58" s="161"/>
    </row>
    <row r="59" spans="1:12" hidden="1">
      <c r="A59" s="163"/>
      <c r="B59" s="218" t="s">
        <v>302</v>
      </c>
      <c r="C59" s="219">
        <f>-IF(C57=0,0,IF(C8="MAXIRATA",C55-(C56*(((1-(1+(C57/12))^((C11-1)*-1)))/((C57/12)*(1+(C57/12)*(30/30-1)))))-C46*(1+C57/12)^(C11*-1),C55-(C56*(((1-(1+(C57/12))^(C11*-1)))/(C57/12)*(1+(C57/12)*(30/30-1))))))</f>
        <v>6.8441584604352101</v>
      </c>
      <c r="D59" s="161"/>
      <c r="E59" s="161"/>
      <c r="F59" s="161"/>
      <c r="G59" s="161"/>
      <c r="H59" s="161"/>
      <c r="I59" s="161"/>
      <c r="J59" s="161"/>
      <c r="K59" s="161"/>
      <c r="L59" s="161"/>
    </row>
    <row r="60" spans="1:12" hidden="1">
      <c r="A60" s="163"/>
      <c r="B60" s="218" t="s">
        <v>303</v>
      </c>
      <c r="C60" s="220">
        <f>IF(C8="maxirata",C55*C57*C13/(12*(C11-1)),(C55*C57*C13)/(12*C11))</f>
        <v>0</v>
      </c>
      <c r="D60" s="161"/>
      <c r="E60" s="161"/>
      <c r="F60" s="161"/>
      <c r="G60" s="161"/>
      <c r="H60" s="161"/>
      <c r="I60" s="161"/>
      <c r="J60" s="161"/>
      <c r="K60" s="161"/>
      <c r="L60" s="161"/>
    </row>
    <row r="61" spans="1:12" hidden="1">
      <c r="B61" s="218" t="s">
        <v>304</v>
      </c>
      <c r="C61" s="220">
        <f>PV(C57/12,C11,-C60/(1+C57*C13/12))</f>
        <v>0</v>
      </c>
      <c r="D61" s="161"/>
      <c r="E61" s="161"/>
      <c r="F61" s="161"/>
      <c r="G61" s="161"/>
      <c r="H61" s="161"/>
      <c r="I61" s="161"/>
      <c r="J61" s="161"/>
      <c r="K61" s="161"/>
      <c r="L61" s="161"/>
    </row>
    <row r="62" spans="1:12" hidden="1">
      <c r="B62" s="218" t="s">
        <v>305</v>
      </c>
      <c r="C62" s="220">
        <f>C59-C61</f>
        <v>6.8441584604352101</v>
      </c>
      <c r="D62" s="161"/>
      <c r="E62" s="161"/>
      <c r="F62" s="161"/>
      <c r="G62" s="161"/>
      <c r="H62" s="161"/>
      <c r="I62" s="161"/>
      <c r="J62" s="161"/>
      <c r="K62" s="161"/>
      <c r="L62" s="161"/>
    </row>
    <row r="63" spans="1:12" hidden="1">
      <c r="B63" s="218" t="s">
        <v>217</v>
      </c>
      <c r="C63" s="221">
        <f>1-VLOOKUP(D9,'Condizioni comm.li'!E33:AF1114,27,0)</f>
        <v>1</v>
      </c>
      <c r="D63" s="161"/>
      <c r="E63" s="161"/>
      <c r="F63" s="161"/>
      <c r="G63" s="161"/>
      <c r="H63" s="161"/>
      <c r="I63" s="161"/>
      <c r="J63" s="161"/>
      <c r="K63" s="161"/>
      <c r="L63" s="161"/>
    </row>
    <row r="64" spans="1:12" hidden="1">
      <c r="B64" s="218" t="s">
        <v>317</v>
      </c>
      <c r="C64" s="220">
        <f>VLOOKUP(D9,'Condizioni comm.li'!E33:AF1114,26,0)</f>
        <v>0</v>
      </c>
    </row>
    <row r="65" spans="2:8" hidden="1">
      <c r="B65" s="218" t="s">
        <v>216</v>
      </c>
      <c r="C65" s="220">
        <f>-IF(C10=0,C62*C63,IF(C57&gt;C10,C59*C63,0))</f>
        <v>0</v>
      </c>
      <c r="H65" s="222"/>
    </row>
    <row r="66" spans="2:8" ht="15.75" hidden="1" thickBot="1">
      <c r="B66" s="223" t="s">
        <v>13</v>
      </c>
      <c r="C66" s="224">
        <f>IF(OR(C64="sì",C63=0),C6,C6-C65/C63)</f>
        <v>3850</v>
      </c>
      <c r="D66" s="161"/>
      <c r="E66" s="161"/>
    </row>
    <row r="67" spans="2:8" hidden="1">
      <c r="B67" s="225" t="s">
        <v>310</v>
      </c>
      <c r="C67" s="226">
        <f>IF(VLOOKUP(D9,'Condizioni comm.li'!E33:AB1127,21,0)="",0,VLOOKUP(D9,'Condizioni comm.li'!E33:AB1127,21,0))</f>
        <v>0</v>
      </c>
      <c r="D67" s="161"/>
      <c r="E67" s="161"/>
    </row>
    <row r="68" spans="2:8" hidden="1">
      <c r="B68" s="227" t="s">
        <v>311</v>
      </c>
      <c r="C68" s="228">
        <f>IF(C67="","",IF(C8="MAXIRATA",-PMT(C67/12,C11-1,C42,-C46/(1+C67/12)),-PMT(C67/12,C11,C42)))</f>
        <v>106.94444444444444</v>
      </c>
      <c r="D68" s="161"/>
      <c r="E68" s="229"/>
      <c r="F68" s="230"/>
    </row>
    <row r="69" spans="2:8" hidden="1">
      <c r="B69" s="227" t="s">
        <v>306</v>
      </c>
      <c r="C69" s="231">
        <f>IF('Condizioni comm.li'!L10="sì",100%,IF('Condizioni comm.li'!L10="No",0,'Condizioni comm.li'!L11))</f>
        <v>1</v>
      </c>
      <c r="D69" s="161"/>
      <c r="E69" s="229"/>
      <c r="F69" s="230"/>
    </row>
    <row r="70" spans="2:8" ht="15.75" hidden="1" thickBot="1">
      <c r="B70" s="232" t="s">
        <v>307</v>
      </c>
      <c r="C70" s="233">
        <f>TOTALE_PROVVIGIONI*calcoli!C69</f>
        <v>0</v>
      </c>
      <c r="D70" s="161"/>
    </row>
    <row r="71" spans="2:8" hidden="1">
      <c r="D71" s="161"/>
    </row>
    <row r="72" spans="2:8">
      <c r="C72" s="159"/>
    </row>
  </sheetData>
  <sheetProtection algorithmName="SHA-512" hashValue="KbwVzyluE8G47Cl7vRjGQMy8FMCGoRBd7QCNZ4WoVaEXy7muUv0p7RoUQtIbfvJBTI3sYWSoi1lSTjxi1m7TNA==" saltValue="gUl2lfOM+JZDbqErrtdDOg==" spinCount="100000" sheet="1" objects="1" scenarios="1"/>
  <mergeCells count="2">
    <mergeCell ref="B2:C2"/>
    <mergeCell ref="U4:W4"/>
  </mergeCells>
  <pageMargins left="0.7" right="0.7" top="0.75" bottom="0.75" header="0.3" footer="0.3"/>
  <pageSetup paperSize="9" scale="34" fitToHeight="0" orientation="landscape" r:id="rId1"/>
  <headerFooter>
    <oddFooter>&amp;C&amp;1#&amp;"Calibri"&amp;10&amp;K000000 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theme="4" tint="-0.499984740745262"/>
    <pageSetUpPr fitToPage="1"/>
  </sheetPr>
  <dimension ref="A1:N46"/>
  <sheetViews>
    <sheetView tabSelected="1" zoomScaleNormal="100" workbookViewId="0">
      <selection activeCell="C10" sqref="C10"/>
    </sheetView>
  </sheetViews>
  <sheetFormatPr defaultColWidth="8.85546875" defaultRowHeight="12.75"/>
  <cols>
    <col min="1" max="1" width="4.28515625" style="118" customWidth="1"/>
    <col min="2" max="2" width="20.7109375" style="119" customWidth="1"/>
    <col min="3" max="3" width="42.28515625" style="120" customWidth="1"/>
    <col min="4" max="4" width="31.5703125" style="118" customWidth="1"/>
    <col min="5" max="5" width="23.7109375" style="119" customWidth="1"/>
    <col min="6" max="6" width="19.28515625" style="118" customWidth="1"/>
    <col min="7" max="7" width="20.85546875" style="118" customWidth="1"/>
    <col min="8" max="8" width="23" style="121" customWidth="1"/>
    <col min="9" max="9" width="13.5703125" style="118" customWidth="1"/>
    <col min="10" max="10" width="17.140625" style="118" customWidth="1"/>
    <col min="11" max="11" width="13.140625" style="118" customWidth="1"/>
    <col min="12" max="12" width="8.85546875" style="118"/>
    <col min="13" max="13" width="14.85546875" style="118" bestFit="1" customWidth="1"/>
    <col min="14" max="16384" width="8.85546875" style="118"/>
  </cols>
  <sheetData>
    <row r="1" spans="1:14" ht="7.9" customHeight="1" thickBot="1"/>
    <row r="2" spans="1:14" ht="14.45" customHeight="1" thickTop="1">
      <c r="B2" s="734" t="s">
        <v>369</v>
      </c>
      <c r="C2" s="735"/>
      <c r="D2" s="735"/>
      <c r="E2" s="735"/>
      <c r="F2" s="735"/>
      <c r="G2" s="735"/>
      <c r="H2" s="730"/>
      <c r="I2" s="731"/>
    </row>
    <row r="3" spans="1:14" ht="14.45" customHeight="1" thickBot="1">
      <c r="A3" s="122"/>
      <c r="B3" s="736"/>
      <c r="C3" s="737"/>
      <c r="D3" s="737"/>
      <c r="E3" s="737"/>
      <c r="F3" s="737"/>
      <c r="G3" s="737"/>
      <c r="H3" s="732"/>
      <c r="I3" s="733"/>
    </row>
    <row r="4" spans="1:14" ht="9.6" customHeight="1" thickTop="1">
      <c r="C4" s="123"/>
      <c r="D4" s="123"/>
      <c r="E4" s="123"/>
      <c r="F4" s="124"/>
      <c r="G4" s="125"/>
      <c r="I4" s="126"/>
    </row>
    <row r="5" spans="1:14" ht="5.45" customHeight="1" thickBot="1">
      <c r="C5" s="123"/>
    </row>
    <row r="6" spans="1:14" ht="13.9" customHeight="1" thickBot="1">
      <c r="B6" s="127" t="s">
        <v>3</v>
      </c>
      <c r="C6" s="620" t="s">
        <v>347</v>
      </c>
      <c r="D6" s="127" t="s">
        <v>257</v>
      </c>
      <c r="E6" s="128">
        <f>IF(VLOOKUP(calcoli!D9,'Condizioni comm.li'!E33:N1127,9,0)&lt;&gt;"",calcoli!C10,"")</f>
        <v>6.9500000000000006E-2</v>
      </c>
      <c r="F6" s="126" t="str">
        <f>IF(calcoli!C10&lt;VLOOKUP(calcoli!D9,'Condizioni comm.li'!E33:AC1127,21,0),"TASSO/DELTA INCONGRUENTI",IF(OR(AND(VLOOKUP(calcoli!D9,'Condizioni comm.li'!E33:AC1127,9,0)&lt;&gt;"",VLOOKUP(calcoli!D9,'Condizioni comm.li'!E33:AC1127,12,0)&lt;&gt;""),AND(VLOOKUP(calcoli!D9,'Condizioni comm.li'!E33:AC1127,9,0)&lt;&gt;"",VLOOKUP(calcoli!D9,'Condizioni comm.li'!E33:AC1127,11,0)&lt;&gt;"")),"DATI TABELLA INCONGRUENTI",IF('Condizioni comm.li'!L4&lt;calcoli!C41,"TEG OLTRE SOGLIA","")))</f>
        <v/>
      </c>
      <c r="H6" s="129" t="s">
        <v>229</v>
      </c>
      <c r="I6" s="130">
        <f>calcoli!C36</f>
        <v>119</v>
      </c>
    </row>
    <row r="7" spans="1:14" ht="13.9" customHeight="1" thickBot="1">
      <c r="B7" s="127" t="s">
        <v>286</v>
      </c>
      <c r="C7" s="262" t="s">
        <v>418</v>
      </c>
      <c r="D7" s="127" t="s">
        <v>257</v>
      </c>
      <c r="E7" s="273">
        <v>0.11</v>
      </c>
      <c r="F7" s="126" t="str">
        <f>IF(OR(AND(calcoli!C10&lt;VLOOKUP(calcoli!D9,'Condizioni comm.li'!E33:AD1127,11,0),VLOOKUP(calcoli!D9,'Condizioni comm.li'!E33:AD1127,11,0)&lt;&gt;""),AND(calcoli!C10&gt;VLOOKUP(calcoli!D9,'Condizioni comm.li'!E33:AD1127,12,0),VLOOKUP(calcoli!D9,'Condizioni comm.li'!E33:AD1127,12,0)&lt;&gt;"")),"TASSO FUORI RANGE","")</f>
        <v/>
      </c>
      <c r="G7" s="133"/>
      <c r="H7" s="129" t="s">
        <v>318</v>
      </c>
      <c r="I7" s="131">
        <f>IF(I6="ERRORE","",calcoli!C37)</f>
        <v>0</v>
      </c>
    </row>
    <row r="8" spans="1:14" ht="6" customHeight="1" thickBot="1">
      <c r="B8" s="127"/>
      <c r="C8" s="127"/>
      <c r="D8" s="125"/>
      <c r="E8" s="132"/>
      <c r="F8" s="133"/>
      <c r="G8" s="133"/>
      <c r="H8" s="129"/>
      <c r="I8" s="134"/>
    </row>
    <row r="9" spans="1:14" ht="13.9" customHeight="1" thickBot="1">
      <c r="B9" s="127"/>
      <c r="C9" s="135"/>
      <c r="D9" s="125"/>
      <c r="E9" s="132"/>
      <c r="F9" s="133"/>
      <c r="G9" s="133"/>
      <c r="H9" s="129" t="s">
        <v>227</v>
      </c>
      <c r="I9" s="136">
        <f>calcoli!C39</f>
        <v>7.0699538312625876E-2</v>
      </c>
      <c r="M9" s="119"/>
    </row>
    <row r="10" spans="1:14" ht="13.9" customHeight="1" thickBot="1">
      <c r="B10" s="127" t="s">
        <v>256</v>
      </c>
      <c r="C10" s="276">
        <v>3850</v>
      </c>
      <c r="D10" s="132" t="s">
        <v>212</v>
      </c>
      <c r="E10" s="274">
        <v>36</v>
      </c>
      <c r="F10" s="126" t="str">
        <f>IF(AND(calcoli!C8="MAXIRATA",calcoli!C11&gt;36),"DURATA OLTRE IL MASSIMO",IF(AND(calcoli!D7="GI",calcoli!C11&gt;VLOOKUP(calcoli!C7,prodotti!B3:L105,3,0)),"DURATA OLTRE IL MASSIMO",IF(AND(calcoli!D7&lt;&gt;"GI",calcoli!C15&gt;VLOOKUP(calcoli!C7,prodotti!B3:L105,3,0)),"DURATA OLTRE IL MASSIMO",IF(calcoli!C11&lt;VLOOKUP(calcoli!C7,prodotti!B3:L105,2,0),"DURATA SOTTO IL MINIMO",IF(calcoli!C11&gt;VLOOKUP(calcoli!C7,prodotti!B3:L105,3,0),"DURATA OLTRE IL MASSIMO",IF(AND(OR(calcoli!D7="GI",calcoli!D7="PI"),calcoli!C6&lt;=1000,calcoli!C11&gt;12),"DURATA OLTRE IL MASSIMO",IF(AND(OR(calcoli!D7="GI",calcoli!D7="PI"),calcoli!C6&lt;=6000,calcoli!C11&gt;72),"DURATA OLTRE IL MASSIMO",IF(AND(calcoli!D7="CU",C10&lt;=10000,calcoli!C11&gt;84),"DURATA OLTRE IL MASSIMO",IF(AND(OR(calcoli!D7="AA",calcoli!D7="IM"),calcoli!C6&lt;=10000,calcoli!C11&gt;72),"DURATA OLTRE IL MASSIMO",IF(AND(calcoli!C11&lt;VLOOKUP(calcoli!D9,'Condizioni comm.li'!E33:AE1108,5,0),VLOOKUP(calcoli!D9,'Condizioni comm.li'!E33:AE1108,5,0)&lt;&gt;0),"DURATA SOTTO IL MINIMO",IF(AND(calcoli!C11&gt;VLOOKUP(calcoli!D9,'Condizioni comm.li'!E33:AE1108,6,0),VLOOKUP(calcoli!D9,'Condizioni comm.li'!E33:AE1108,6,0)&lt;&gt;0),"DURATA OLTRE IL MASSIMO","")))))))))))</f>
        <v/>
      </c>
      <c r="H10" s="129" t="s">
        <v>230</v>
      </c>
      <c r="I10" s="136">
        <f>calcoli!C40</f>
        <v>0.1057</v>
      </c>
      <c r="K10" s="119"/>
      <c r="L10" s="119"/>
      <c r="M10" s="119"/>
      <c r="N10" s="119"/>
    </row>
    <row r="11" spans="1:14" ht="13.9" customHeight="1" thickBot="1">
      <c r="B11" s="127" t="s">
        <v>1</v>
      </c>
      <c r="C11" s="277">
        <v>0</v>
      </c>
      <c r="D11" s="132" t="s">
        <v>249</v>
      </c>
      <c r="E11" s="275">
        <v>30</v>
      </c>
      <c r="F11" s="399" t="str">
        <f>IF(AND(calcoli!D13&gt;30,VLOOKUP(calcoli!C7,prodotti!B3:L105,11,0)&lt;&gt;"")," PROCR. NON AMMESSA",IF(AND(calcoli!C10=0,calcoli!C57=0,calcoli!C13&gt;0),"PROCR. NON AMMESSA",IF(AND(calcoli!C13&gt;=3,VLOOKUP(calcoli!C7,'Condizioni comm.li'!B5:C30,2,0)="PROCR. MAX 90GG"),VLOOKUP(calcoli!C7,'Condizioni comm.li'!B5:C30,2,0),IF(OR(AND(calcoli!D13&lt;VLOOKUP(calcoli!D9,'Condizioni comm.li'!E33:AC1108,7,0),VLOOKUP(calcoli!D9,'Condizioni comm.li'!E33:AC1108,7,0)&lt;&gt;""),AND(calcoli!D13&gt;VLOOKUP(calcoli!D9,'Condizioni comm.li'!E33:AC1108,8,0),VLOOKUP(calcoli!D9,'Condizioni comm.li'!E33:AC1108,8,0)&lt;&gt;""))," TABELLA/PROCR. NON CONGRUENTI",""))))</f>
        <v/>
      </c>
      <c r="H11" s="129" t="s">
        <v>231</v>
      </c>
      <c r="I11" s="136">
        <f>calcoli!C41</f>
        <v>0.10390000000000001</v>
      </c>
    </row>
    <row r="12" spans="1:14" ht="13.9" customHeight="1" thickBot="1">
      <c r="B12" s="127" t="s">
        <v>4</v>
      </c>
      <c r="C12" s="276">
        <v>0</v>
      </c>
      <c r="D12" s="126" t="str">
        <f>IF(AND(VLOOKUP(calcoli!D9,'Condizioni comm.li'!E33:AE1090,18,0)&lt;&gt;"",calcoli!C6*VLOOKUP(calcoli!D9,'Condizioni comm.li'!E33:AE1090,18,0)&gt;VLOOKUP(calcoli!C7,prodotti!B3:L105,7,0)),calcoli!D16,IF(calcoli!C14&gt;VLOOKUP(calcoli!C7,prodotti!B3:H105,7,0),"IMPORTO OLTRE IL MASSIMO",IF(AND(VLOOKUP(calcoli!D9,'Condizioni comm.li'!E33:AE1090,18,0)&lt;&gt;"",calcoli!C14&lt;&gt;calcoli!D15),CONCATENATE("IMPORTO CORRETTO S.I.P. ",calcoli!D15,"€"),IF(OR(AND(calcoli!C14&lt;VLOOKUP(calcoli!D9,'Condizioni comm.li'!E21:AD1054,16,0),VLOOKUP(calcoli!D9,'Condizioni comm.li'!E21:AD1054,16,0)&lt;&gt;""),AND(calcoli!C14&gt;VLOOKUP(calcoli!D9,'Condizioni comm.li'!E21:AD1054,17,0),VLOOKUP(calcoli!D9,'Condizioni comm.li'!E21:AD1054,17,0)&lt;&gt;"")),"SPESE NON PREVISTE PER TAB.",""))))</f>
        <v/>
      </c>
      <c r="E12" s="126" t="str">
        <f>IF(AND(calcoli!C8="maxirata",calcoli!C36&lt;calcoli!C42*1%),"RATA SOTTO IL MINIMO","")</f>
        <v/>
      </c>
      <c r="F12" s="126">
        <f>_xlfn.IFNA(calcoli!C10,"TABELLA/PRODOTTO INCONGRUENTI")</f>
        <v>6.9500000000000006E-2</v>
      </c>
      <c r="H12" s="129"/>
      <c r="I12" s="137"/>
    </row>
    <row r="13" spans="1:14" ht="13.9" customHeight="1" thickBot="1">
      <c r="B13" s="127" t="s">
        <v>211</v>
      </c>
      <c r="C13" s="138">
        <f>calcoli!C6</f>
        <v>3850</v>
      </c>
      <c r="D13" s="158" t="str">
        <f>IF(calcoli!C42&lt;VLOOKUP(calcoli!C7,prodotti!B3:F105,4,0),"IMPORTO SOTTO IL MINIMO",IF(calcoli!C42&gt;VLOOKUP(calcoli!C7,prodotti!B3:F105,5,0),"IMPORTO OLTRE IL MASSIMO",IF(AND(calcoli!C6&gt;VLOOKUP(calcoli!D9,'Condizioni comm.li'!E32:L1108,4,0),VLOOKUP(calcoli!D9,'Condizioni comm.li'!E32:L1108,4,0)&lt;&gt;""),"IMPORTO OLTRE IL MASSIMO",IF(calcoli!C42&gt;75000,"IMPORTO OLTRE IL MASSIMO",IF(AND(calcoli!C6&lt;VLOOKUP(calcoli!D9,'Condizioni comm.li'!E32:L1108,3,0),VLOOKUP(calcoli!D9,'Condizioni comm.li'!E32:L1108,3,0)&lt;&gt;""),"IMPORTO SOTTO IL MINIMO","")))))</f>
        <v/>
      </c>
      <c r="E13" s="139"/>
      <c r="G13" s="133"/>
      <c r="H13" s="129" t="s">
        <v>232</v>
      </c>
      <c r="I13" s="140" t="str">
        <f>calcoli!C50</f>
        <v/>
      </c>
    </row>
    <row r="14" spans="1:14" ht="5.45" customHeight="1" thickBot="1">
      <c r="B14" s="132"/>
      <c r="C14" s="141"/>
      <c r="D14" s="133"/>
      <c r="E14" s="132"/>
      <c r="F14" s="133"/>
      <c r="G14" s="133"/>
      <c r="H14" s="129"/>
      <c r="I14" s="134"/>
    </row>
    <row r="15" spans="1:14" ht="13.9" customHeight="1" thickBot="1">
      <c r="B15" s="132"/>
      <c r="C15" s="141"/>
      <c r="D15" s="133"/>
      <c r="E15" s="132"/>
      <c r="F15" s="133"/>
      <c r="G15" s="133"/>
      <c r="H15" s="129" t="s">
        <v>235</v>
      </c>
      <c r="I15" s="136" t="str">
        <f>calcoli!C49</f>
        <v/>
      </c>
    </row>
    <row r="16" spans="1:14" ht="13.9" customHeight="1" thickBot="1">
      <c r="B16" s="132" t="s">
        <v>214</v>
      </c>
      <c r="C16" s="415">
        <v>0.5</v>
      </c>
      <c r="D16" s="132" t="s">
        <v>228</v>
      </c>
      <c r="E16" s="416">
        <v>36</v>
      </c>
      <c r="F16" s="399" t="str">
        <f>IF(calcoli!C8&lt;&gt;"MAXIRATA","",IF(OR(C16&lt;0.2,C16&gt;0.4)," % MAXIRATA NON AMMESSA",IF(calcoli!C47&gt;36,"DURATA OLTRE IL MAX",IF(OR(AND(calcoli!C45&lt;VLOOKUP(calcoli!D9,'Condizioni comm.li'!E33:AD1127,14,0),VLOOKUP(calcoli!D9,'Condizioni comm.li'!E33:AD1127,14,0)&lt;&gt;""),AND(calcoli!C45&gt;VLOOKUP(calcoli!D9,'Condizioni comm.li'!E33:AD1127,15,0),VLOOKUP(calcoli!D9,'Condizioni comm.li'!E33:AD1127,15,0)&lt;&gt;"")),"% MAXIRATA NON AMMESSA PER TAB.",""))))</f>
        <v/>
      </c>
      <c r="G16" s="133"/>
      <c r="H16" s="129" t="s">
        <v>236</v>
      </c>
      <c r="I16" s="136" t="str">
        <f>calcoli!C51</f>
        <v/>
      </c>
    </row>
    <row r="17" spans="1:10" ht="13.9" customHeight="1" thickBot="1">
      <c r="B17" s="132" t="s">
        <v>213</v>
      </c>
      <c r="C17" s="142" t="str">
        <f>calcoli!C46</f>
        <v/>
      </c>
      <c r="D17" s="132" t="s">
        <v>258</v>
      </c>
      <c r="E17" s="128">
        <f>calcoli!C48</f>
        <v>0</v>
      </c>
      <c r="F17" s="147" t="str">
        <f>(IF(AND(calcoli!C8="MAXIRATA",calcoli!C52&gt;SIMULATORE!I28),"TEG OLTRE SOGLIA",IF(VLOOKUP(calcoli!D9,'Condizioni comm.li'!E33:AD1127,13,0)&lt;calcoli!C10,"TASSO NON AMMESSO","")))</f>
        <v>TASSO NON AMMESSO</v>
      </c>
      <c r="G17" s="133"/>
      <c r="H17" s="129" t="s">
        <v>237</v>
      </c>
      <c r="I17" s="136" t="str">
        <f>calcoli!C52</f>
        <v/>
      </c>
    </row>
    <row r="18" spans="1:10" ht="3" customHeight="1" thickBot="1">
      <c r="B18" s="132"/>
      <c r="C18" s="141"/>
      <c r="D18" s="133"/>
      <c r="E18" s="132"/>
      <c r="F18" s="133"/>
      <c r="G18" s="133"/>
      <c r="H18" s="143"/>
      <c r="I18" s="134"/>
    </row>
    <row r="19" spans="1:10" ht="13.9" customHeight="1" thickBot="1">
      <c r="B19" s="132"/>
      <c r="C19" s="141"/>
      <c r="D19" s="133"/>
      <c r="E19" s="132"/>
      <c r="F19" s="133"/>
      <c r="G19" s="133"/>
      <c r="H19" s="129" t="s">
        <v>233</v>
      </c>
      <c r="I19" s="144">
        <f>calcoli!C42</f>
        <v>3850</v>
      </c>
    </row>
    <row r="20" spans="1:10" ht="13.9" customHeight="1" thickBot="1">
      <c r="B20" s="729" t="s">
        <v>16</v>
      </c>
      <c r="C20" s="145" t="s">
        <v>215</v>
      </c>
      <c r="D20" s="145" t="s">
        <v>247</v>
      </c>
      <c r="E20" s="145" t="s">
        <v>26</v>
      </c>
      <c r="F20" s="133"/>
      <c r="G20" s="133"/>
      <c r="H20" s="129" t="s">
        <v>234</v>
      </c>
      <c r="I20" s="146">
        <f>calcoli!C54</f>
        <v>0</v>
      </c>
    </row>
    <row r="21" spans="1:10" ht="13.9" customHeight="1" thickBot="1">
      <c r="B21" s="729"/>
      <c r="C21" s="271" t="s">
        <v>107</v>
      </c>
      <c r="D21" s="272">
        <v>27461</v>
      </c>
      <c r="E21" s="138">
        <f>calcoli!C19</f>
        <v>0</v>
      </c>
      <c r="F21" s="147" t="str">
        <f ca="1">IF(TODAY()-D21+calcoli!C15/12*365&gt;78*365,"ETA' FUORI RANGE",IF(AND(TODAY()-D21&lt;=75*365,TODAY()-D21&gt;=18*365),"","ETA' FUORI RANGE"))</f>
        <v/>
      </c>
      <c r="G21" s="443"/>
      <c r="H21" s="129" t="s">
        <v>238</v>
      </c>
      <c r="I21" s="146">
        <f>calcoli!C66</f>
        <v>3850</v>
      </c>
    </row>
    <row r="22" spans="1:10" ht="13.9" customHeight="1" thickBot="1">
      <c r="B22" s="133"/>
      <c r="C22" s="133"/>
      <c r="D22" s="133"/>
      <c r="E22" s="132"/>
      <c r="F22" s="133"/>
      <c r="G22" s="125"/>
      <c r="H22" s="129" t="s">
        <v>239</v>
      </c>
      <c r="I22" s="146">
        <f>calcoli!C53</f>
        <v>4476.625</v>
      </c>
    </row>
    <row r="23" spans="1:10" s="120" customFormat="1" ht="13.9" customHeight="1" thickBot="1">
      <c r="B23" s="729" t="s">
        <v>358</v>
      </c>
      <c r="C23" s="257"/>
      <c r="D23" s="257" t="s">
        <v>26</v>
      </c>
      <c r="E23" s="148"/>
      <c r="F23" s="148"/>
      <c r="H23" s="129"/>
      <c r="I23" s="149"/>
      <c r="J23" s="118"/>
    </row>
    <row r="24" spans="1:10" ht="13.9" customHeight="1" thickBot="1">
      <c r="B24" s="729"/>
      <c r="C24" s="271" t="s">
        <v>179</v>
      </c>
      <c r="D24" s="268">
        <f>calcoli!C32</f>
        <v>0</v>
      </c>
      <c r="E24" s="126"/>
      <c r="F24" s="126"/>
      <c r="H24" s="129" t="s">
        <v>240</v>
      </c>
      <c r="I24" s="150">
        <f>calcoli!C70</f>
        <v>0</v>
      </c>
    </row>
    <row r="25" spans="1:10" ht="13.9" customHeight="1" thickBot="1">
      <c r="E25" s="126"/>
      <c r="F25" s="126"/>
      <c r="G25" s="151"/>
      <c r="H25" s="129"/>
      <c r="I25" s="149"/>
    </row>
    <row r="26" spans="1:10" ht="13.9" customHeight="1" thickBot="1">
      <c r="A26" s="263"/>
      <c r="B26" s="729" t="s">
        <v>357</v>
      </c>
      <c r="C26" s="375"/>
      <c r="D26" s="375" t="s">
        <v>26</v>
      </c>
      <c r="E26" s="126"/>
      <c r="G26" s="265" t="str">
        <f>IF(C26="NO","",IF(OR(LEFT(calcoli!C22,5)="EUROP",C24="",C24="no"),"","EASY CARE NON AMMESSA"))</f>
        <v/>
      </c>
      <c r="H26" s="129" t="s">
        <v>241</v>
      </c>
      <c r="I26" s="152">
        <f>-calcoli!C65</f>
        <v>0</v>
      </c>
    </row>
    <row r="27" spans="1:10" s="153" customFormat="1" ht="13.9" customHeight="1" thickBot="1">
      <c r="A27" s="266"/>
      <c r="B27" s="729"/>
      <c r="C27" s="271" t="s">
        <v>179</v>
      </c>
      <c r="D27" s="268">
        <f>calcoli!C34</f>
        <v>0</v>
      </c>
      <c r="E27" s="126"/>
      <c r="G27" s="265" t="str">
        <f>IF(C27="NO","",IF(OR(LEFT(calcoli!C22,5)="EUROP",C24="",C24="no"),"","EASY CARE NON AMMESSA"))</f>
        <v/>
      </c>
      <c r="H27" s="121"/>
      <c r="I27" s="118"/>
    </row>
    <row r="28" spans="1:10" s="153" customFormat="1" ht="15" customHeight="1" thickBot="1">
      <c r="A28" s="266"/>
      <c r="B28" s="264" t="s">
        <v>332</v>
      </c>
      <c r="C28" s="267"/>
      <c r="D28" s="266"/>
      <c r="E28" s="266"/>
      <c r="F28" s="266"/>
      <c r="G28" s="266"/>
      <c r="H28" s="154" t="str">
        <f>CONCATENATE("TEG soglia aggiorn. ",TEXT('Condizioni comm.li'!L5,"mmm. aa"))</f>
        <v>TEG soglia aggiorn. lug. 25</v>
      </c>
      <c r="I28" s="457">
        <f>'Condizioni comm.li'!L4</f>
        <v>0.168125</v>
      </c>
    </row>
    <row r="29" spans="1:10" s="153" customFormat="1" ht="13.9" customHeight="1">
      <c r="A29" s="266"/>
      <c r="B29" s="264" t="s">
        <v>331</v>
      </c>
      <c r="C29" s="267"/>
      <c r="D29" s="266"/>
      <c r="E29" s="266"/>
      <c r="F29" s="266"/>
      <c r="G29" s="266"/>
      <c r="H29" s="741" t="str">
        <f ca="1">IF(TODAY()&gt;EDATE('Condizioni comm.li'!L5,3),"TEG SOGLIA DA AGGIORNARE","")</f>
        <v/>
      </c>
      <c r="I29" s="741"/>
    </row>
    <row r="30" spans="1:10" s="153" customFormat="1" ht="8.4499999999999993" customHeight="1">
      <c r="B30" s="156"/>
      <c r="C30" s="156"/>
      <c r="D30" s="156"/>
      <c r="E30" s="156"/>
      <c r="F30" s="156"/>
      <c r="H30" s="155"/>
    </row>
    <row r="31" spans="1:10" ht="28.15" customHeight="1">
      <c r="B31" s="738" t="s">
        <v>388</v>
      </c>
      <c r="C31" s="739"/>
      <c r="D31" s="739"/>
      <c r="E31" s="739"/>
      <c r="F31" s="739"/>
      <c r="G31" s="740"/>
    </row>
    <row r="32" spans="1:10">
      <c r="C32" s="151"/>
    </row>
    <row r="33" spans="2:8">
      <c r="C33" s="118"/>
    </row>
    <row r="35" spans="2:8">
      <c r="E35" s="118"/>
      <c r="H35" s="157"/>
    </row>
    <row r="37" spans="2:8">
      <c r="D37" s="147"/>
    </row>
    <row r="45" spans="2:8">
      <c r="C45" s="118"/>
    </row>
    <row r="46" spans="2:8">
      <c r="B46" s="118"/>
      <c r="C46" s="118"/>
      <c r="E46" s="118"/>
    </row>
  </sheetData>
  <sheetProtection algorithmName="SHA-512" hashValue="cH8lhI/opG+j8VLUd2Z4ycbfZwxWLFuz1lpmZCEyxrB1JU8Hadm68ZwaDW1DnzSD0KMqeAukLu6dbbW/C+gT4g==" saltValue="p2JBXEQ354h3zUm9VYFpag==" spinCount="100000" sheet="1" selectLockedCells="1"/>
  <mergeCells count="7">
    <mergeCell ref="B20:B21"/>
    <mergeCell ref="H2:I3"/>
    <mergeCell ref="B2:G3"/>
    <mergeCell ref="B31:G31"/>
    <mergeCell ref="B23:B24"/>
    <mergeCell ref="B26:B27"/>
    <mergeCell ref="H29:I29"/>
  </mergeCells>
  <conditionalFormatting sqref="D23:D24">
    <cfRule type="expression" dxfId="100" priority="3">
      <formula>$C$24="No"</formula>
    </cfRule>
  </conditionalFormatting>
  <conditionalFormatting sqref="D6:E6">
    <cfRule type="expression" dxfId="99" priority="35">
      <formula>$E$6=""</formula>
    </cfRule>
  </conditionalFormatting>
  <conditionalFormatting sqref="D7:E7">
    <cfRule type="expression" dxfId="98" priority="128">
      <formula>$E$6&lt;&gt;""</formula>
    </cfRule>
  </conditionalFormatting>
  <conditionalFormatting sqref="D20:E21">
    <cfRule type="expression" dxfId="97" priority="4">
      <formula>$C$21="No"</formula>
    </cfRule>
  </conditionalFormatting>
  <conditionalFormatting sqref="H7:I7">
    <cfRule type="expression" dxfId="96" priority="2">
      <formula>$E$11=30</formula>
    </cfRule>
  </conditionalFormatting>
  <conditionalFormatting sqref="I11">
    <cfRule type="expression" dxfId="95" priority="137">
      <formula>$I$11&gt;$I$28</formula>
    </cfRule>
  </conditionalFormatting>
  <dataValidations count="6">
    <dataValidation allowBlank="1" showErrorMessage="1" prompt="RIDURRE IMPORTO FINANZIATO" sqref="C13"/>
    <dataValidation type="list" showInputMessage="1" showErrorMessage="1" sqref="C6">
      <formula1>PRODOTTO</formula1>
    </dataValidation>
    <dataValidation allowBlank="1" showInputMessage="1" showErrorMessage="1" error="% Maxirata fuori range" sqref="C16"/>
    <dataValidation allowBlank="1" showInputMessage="1" showErrorMessage="1" error="Tan fuori range" sqref="E7"/>
    <dataValidation type="list" allowBlank="1" showInputMessage="1" showErrorMessage="1" sqref="C7">
      <formula1>INDIRECT($C$6)</formula1>
    </dataValidation>
    <dataValidation allowBlank="1" showInputMessage="1" showErrorMessage="1" error="IMPORTO SPESE OLTRE IL MASSIMO" sqref="C12"/>
  </dataValidations>
  <pageMargins left="0.25" right="0.25" top="0.75" bottom="0.75" header="0.3" footer="0.3"/>
  <pageSetup paperSize="9" scale="71" orientation="landscape" r:id="rId1"/>
  <headerFooter>
    <oddFooter>&amp;C&amp;1#&amp;"Calibri"&amp;10&amp;K000000 For internal use only</oddFooter>
  </headerFooter>
  <colBreaks count="1" manualBreakCount="1">
    <brk id="9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42B4556A-E9B1-4BEB-A18C-F6AE92AAB396}">
            <xm:f>'Condizioni comm.li'!$P$10="No"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expression" priority="7" id="{311C6A76-E57C-4D86-9DBF-B86BE5254783}">
            <xm:f>AND(calcoli!$D$7&lt;&gt;"bk",calcoli!$D$7&lt;&gt;"mb")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B26:D27</xm:sqref>
        </x14:conditionalFormatting>
        <x14:conditionalFormatting xmlns:xm="http://schemas.microsoft.com/office/excel/2006/main">
          <x14:cfRule type="expression" priority="77" id="{138FE84D-A0A2-4562-A494-A62646926505}">
            <xm:f>calcoli!$C$8&lt;&gt;"MAXIRATA"</xm:f>
            <x14:dxf>
              <font>
                <color theme="0"/>
              </font>
              <fill>
                <patternFill>
                  <fgColor auto="1"/>
                  <bgColor theme="0"/>
                </patternFill>
              </fill>
            </x14:dxf>
          </x14:cfRule>
          <xm:sqref>B16:E16 B17:F17</xm:sqref>
        </x14:conditionalFormatting>
        <x14:conditionalFormatting xmlns:xm="http://schemas.microsoft.com/office/excel/2006/main">
          <x14:cfRule type="expression" priority="180" id="{12F59D4C-87FC-40F4-8867-6890E7F9D262}">
            <xm:f>AND('Condizioni comm.li'!$P$5="NO",'Condizioni comm.li'!$P$6="NO",'Condizioni comm.li'!$P$7="NO",'Condizioni comm.li'!$P$8="NO")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B20:G21</xm:sqref>
        </x14:conditionalFormatting>
        <x14:conditionalFormatting xmlns:xm="http://schemas.microsoft.com/office/excel/2006/main">
          <x14:cfRule type="expression" priority="6" id="{0227233B-5881-426C-BE63-623216824E5E}">
            <xm:f>'Condizioni comm.li'!$P$9="No"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expression" priority="8" id="{632AAF36-D73A-488F-A729-83FC3C5A0E46}">
            <xm:f>AND(calcoli!$D$7&lt;&gt;"CU",calcoli!$D$7&lt;&gt;"aa",calcoli!$D$7&lt;&gt;"im",calcoli!$D$7&lt;&gt;"as")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B23:G24</xm:sqref>
        </x14:conditionalFormatting>
        <x14:conditionalFormatting xmlns:xm="http://schemas.microsoft.com/office/excel/2006/main">
          <x14:cfRule type="expression" priority="28" id="{D37A8BE6-C2F6-464F-9EA6-735E7605C35D}">
            <xm:f>calcoli!$C$10&gt;=0</xm:f>
            <x14:dxf>
              <font>
                <color theme="0"/>
              </font>
            </x14:dxf>
          </x14:cfRule>
          <xm:sqref>F12</xm:sqref>
        </x14:conditionalFormatting>
        <x14:conditionalFormatting xmlns:xm="http://schemas.microsoft.com/office/excel/2006/main">
          <x14:cfRule type="expression" priority="50" id="{00000000-000E-0000-0000-000030000000}">
            <xm:f>calcoli!$C$10=0</xm:f>
            <x14:dxf>
              <font>
                <color theme="4" tint="0.79998168889431442"/>
              </font>
              <fill>
                <patternFill>
                  <bgColor theme="4" tint="0.79998168889431442"/>
                </patternFill>
              </fill>
              <border>
                <left/>
                <right/>
                <bottom/>
                <vertical/>
                <horizontal/>
              </border>
            </x14:dxf>
          </x14:cfRule>
          <xm:sqref>H7:I7</xm:sqref>
        </x14:conditionalFormatting>
        <x14:conditionalFormatting xmlns:xm="http://schemas.microsoft.com/office/excel/2006/main">
          <x14:cfRule type="expression" priority="43" id="{99F43DAD-1789-4DA0-BE12-9408E5A50227}">
            <xm:f>calcoli!$C$8&lt;&gt;"MAXIRATA"</xm:f>
            <x14:dxf>
              <font>
                <color theme="4" tint="0.79998168889431442"/>
              </font>
              <fill>
                <patternFill>
                  <bgColor theme="4" tint="0.7999816888943144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H13:I17</xm:sqref>
        </x14:conditionalFormatting>
        <x14:conditionalFormatting xmlns:xm="http://schemas.microsoft.com/office/excel/2006/main">
          <x14:cfRule type="expression" priority="1" id="{DB8A54D9-3E77-4D69-9DE8-966F79065878}">
            <xm:f>AND(calcoli!$C$17="NO",calcoli!$C$21="NO",calcoli!$C$31="NO",calcoli!$C$33="NO")</xm:f>
            <x14:dxf>
              <font>
                <color theme="4" tint="0.79998168889431442"/>
              </font>
              <border>
                <left/>
                <right/>
                <vertical/>
                <horizontal/>
              </border>
            </x14:dxf>
          </x14:cfRule>
          <x14:cfRule type="expression" priority="116" id="{C8745D19-7833-4621-AE75-45CB2D8B4D0F}">
            <xm:f>calcoli!$C$54=0</xm:f>
            <x14:dxf>
              <font>
                <color theme="4" tint="0.79998168889431442"/>
              </font>
              <border>
                <left/>
                <right/>
                <vertical/>
                <horizontal/>
              </border>
            </x14:dxf>
          </x14:cfRule>
          <xm:sqref>H20:I20</xm:sqref>
        </x14:conditionalFormatting>
        <x14:conditionalFormatting xmlns:xm="http://schemas.microsoft.com/office/excel/2006/main">
          <x14:cfRule type="expression" priority="207" id="{5B6B663C-E1A7-4F1D-9D96-2377A1A53B49}">
            <xm:f>OR('Condizioni comm.li'!$L$10="NO",'Condizioni comm.li'!$N$237=0,$H$2="No pr.")</xm:f>
            <x14:dxf>
              <font>
                <color theme="4" tint="0.79998168889431442"/>
              </font>
              <fill>
                <patternFill>
                  <bgColor theme="4" tint="0.7999816888943144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H24:I24</xm:sqref>
        </x14:conditionalFormatting>
        <x14:conditionalFormatting xmlns:xm="http://schemas.microsoft.com/office/excel/2006/main">
          <x14:cfRule type="expression" priority="184" id="{989DF8D6-9706-467D-8523-EA0A7C3C2861}">
            <xm:f>'Condizioni comm.li'!$K$10="NO"</xm:f>
            <x14:dxf>
              <font>
                <color theme="4" tint="0.79998168889431442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expression" priority="185" id="{FA6F7552-D3B4-4273-9D73-A8A3A59D65CF}">
            <xm:f>calcoli!$C$65=0</xm:f>
            <x14:dxf>
              <font>
                <color theme="4" tint="0.79998168889431442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m:sqref>H26:I26</xm:sqref>
        </x14:conditionalFormatting>
        <x14:conditionalFormatting xmlns:xm="http://schemas.microsoft.com/office/excel/2006/main">
          <x14:cfRule type="expression" priority="138" id="{1906907B-B8AB-408A-84D4-FA09391943F9}">
            <xm:f>AND($I$17&gt;$I$28,calcoli!$C$8="MAXIRATA")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assicurazioni!$AE$3:$AE$6</xm:f>
          </x14:formula1>
          <xm:sqref>C27</xm:sqref>
        </x14:dataValidation>
        <x14:dataValidation type="list" allowBlank="1" showInputMessage="1" showErrorMessage="1">
          <x14:formula1>
            <xm:f>calcoli!$H$5:$H$8</xm:f>
          </x14:formula1>
          <xm:sqref>E11</xm:sqref>
        </x14:dataValidation>
        <x14:dataValidation type="list" allowBlank="1" showInputMessage="1" showErrorMessage="1">
          <x14:formula1>
            <xm:f>calcoli!$F$5:$F$6</xm:f>
          </x14:formula1>
          <xm:sqref>C24</xm:sqref>
        </x14:dataValidation>
        <x14:dataValidation type="list" allowBlank="1" showInputMessage="1" showErrorMessage="1">
          <x14:formula1>
            <xm:f>calcoli!$Q$5:$Q$6</xm:f>
          </x14:formula1>
          <xm:sqref>H2:I3</xm:sqref>
        </x14:dataValidation>
        <x14:dataValidation type="list" allowBlank="1" showInputMessage="1" showErrorMessage="1">
          <x14:formula1>
            <xm:f>calcoli!$U$5:$U$9</xm:f>
          </x14:formula1>
          <xm:sqref>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pageSetUpPr fitToPage="1"/>
  </sheetPr>
  <dimension ref="A1:AE242"/>
  <sheetViews>
    <sheetView topLeftCell="F1" zoomScaleNormal="100" workbookViewId="0">
      <selection activeCell="I5" sqref="I5"/>
    </sheetView>
  </sheetViews>
  <sheetFormatPr defaultColWidth="8.85546875" defaultRowHeight="11.25"/>
  <cols>
    <col min="1" max="1" width="2" style="235" customWidth="1"/>
    <col min="2" max="2" width="34.7109375" style="235" customWidth="1"/>
    <col min="3" max="3" width="33.85546875" style="236" hidden="1" customWidth="1"/>
    <col min="4" max="4" width="10" style="236" hidden="1" customWidth="1"/>
    <col min="5" max="5" width="35.5703125" style="236" hidden="1" customWidth="1"/>
    <col min="6" max="6" width="33.85546875" style="236" bestFit="1" customWidth="1"/>
    <col min="7" max="7" width="20.42578125" style="236" customWidth="1"/>
    <col min="8" max="8" width="23" style="236" customWidth="1"/>
    <col min="9" max="9" width="20.42578125" style="236" customWidth="1"/>
    <col min="10" max="10" width="20.42578125" style="135" customWidth="1"/>
    <col min="11" max="11" width="20.42578125" style="236" customWidth="1"/>
    <col min="12" max="14" width="20.42578125" style="235" customWidth="1"/>
    <col min="15" max="16" width="19" style="235" customWidth="1"/>
    <col min="17" max="17" width="17.5703125" style="235" customWidth="1"/>
    <col min="18" max="21" width="16.85546875" style="235" customWidth="1"/>
    <col min="22" max="23" width="17.5703125" style="235" customWidth="1"/>
    <col min="24" max="24" width="19.7109375" style="235" customWidth="1"/>
    <col min="25" max="29" width="18.28515625" style="235" customWidth="1"/>
    <col min="30" max="30" width="15.85546875" style="235" customWidth="1"/>
    <col min="31" max="31" width="16.5703125" style="235" customWidth="1"/>
    <col min="32" max="32" width="16.7109375" style="235" customWidth="1"/>
    <col min="33" max="16384" width="8.85546875" style="235"/>
  </cols>
  <sheetData>
    <row r="1" spans="1:24" ht="9" customHeight="1" thickBot="1">
      <c r="G1" s="237"/>
      <c r="H1" s="238"/>
      <c r="I1" s="238"/>
      <c r="J1" s="238"/>
      <c r="K1" s="239"/>
      <c r="L1" s="240"/>
    </row>
    <row r="2" spans="1:24" ht="25.9" customHeight="1" thickTop="1" thickBot="1">
      <c r="B2" s="454" t="s">
        <v>301</v>
      </c>
      <c r="C2" s="455"/>
      <c r="D2" s="455"/>
      <c r="E2" s="455"/>
      <c r="F2" s="456"/>
    </row>
    <row r="3" spans="1:24" ht="15" customHeight="1" thickTop="1" thickBot="1">
      <c r="B3" s="236"/>
      <c r="F3" s="451"/>
      <c r="G3" s="466"/>
    </row>
    <row r="4" spans="1:24" ht="25.9" customHeight="1" thickTop="1" thickBot="1">
      <c r="B4" s="581" t="s">
        <v>281</v>
      </c>
      <c r="C4" s="581" t="s">
        <v>324</v>
      </c>
      <c r="D4" s="581" t="s">
        <v>404</v>
      </c>
      <c r="E4" s="581" t="s">
        <v>380</v>
      </c>
      <c r="F4" s="580" t="s">
        <v>314</v>
      </c>
      <c r="G4" s="452"/>
      <c r="H4" s="453" t="s">
        <v>383</v>
      </c>
      <c r="I4" s="446" t="s">
        <v>380</v>
      </c>
      <c r="J4" s="235"/>
      <c r="K4" s="241" t="s">
        <v>248</v>
      </c>
      <c r="L4" s="582">
        <v>0.168125</v>
      </c>
      <c r="M4" s="135"/>
      <c r="N4" s="745" t="s">
        <v>343</v>
      </c>
      <c r="O4" s="746"/>
      <c r="P4" s="459" t="s">
        <v>366</v>
      </c>
      <c r="Q4" s="429" t="s">
        <v>373</v>
      </c>
      <c r="X4" s="452"/>
    </row>
    <row r="5" spans="1:24" ht="15" customHeight="1" thickTop="1" thickBot="1">
      <c r="A5" s="452">
        <f>A4+G5</f>
        <v>0</v>
      </c>
      <c r="B5" s="621" t="s">
        <v>335</v>
      </c>
      <c r="C5" s="468"/>
      <c r="D5" s="468" t="s">
        <v>338</v>
      </c>
      <c r="E5" s="469" t="str">
        <f>$I$5</f>
        <v>Sì</v>
      </c>
      <c r="F5" s="481" t="s">
        <v>179</v>
      </c>
      <c r="G5" s="584">
        <f>IF(AND(F5="Sì",$I$5="Sì"),1,0)</f>
        <v>0</v>
      </c>
      <c r="H5" s="467" t="s">
        <v>378</v>
      </c>
      <c r="I5" s="481" t="s">
        <v>178</v>
      </c>
      <c r="J5" s="237"/>
      <c r="K5" s="241" t="s">
        <v>351</v>
      </c>
      <c r="L5" s="243">
        <v>45839</v>
      </c>
      <c r="M5" s="452">
        <f>M4+R5</f>
        <v>0</v>
      </c>
      <c r="N5" s="417" t="s">
        <v>264</v>
      </c>
      <c r="O5" s="418"/>
      <c r="P5" s="246" t="s">
        <v>179</v>
      </c>
      <c r="Q5" s="246">
        <v>0.3</v>
      </c>
      <c r="R5" s="584">
        <f>IF(P5="Sì",1,0)</f>
        <v>0</v>
      </c>
    </row>
    <row r="6" spans="1:24" ht="15" customHeight="1" thickTop="1">
      <c r="A6" s="452">
        <f t="shared" ref="A6:A8" si="0">A5+G6</f>
        <v>0</v>
      </c>
      <c r="B6" s="622" t="s">
        <v>336</v>
      </c>
      <c r="C6" s="470"/>
      <c r="D6" s="470" t="s">
        <v>70</v>
      </c>
      <c r="E6" s="471" t="str">
        <f>$I$5</f>
        <v>Sì</v>
      </c>
      <c r="F6" s="412" t="s">
        <v>179</v>
      </c>
      <c r="G6" s="584">
        <f t="shared" ref="G6:G8" si="1">IF(AND(F6="Sì",$I$5="Sì"),1,0)</f>
        <v>0</v>
      </c>
      <c r="H6" s="472" t="s">
        <v>379</v>
      </c>
      <c r="I6" s="412" t="s">
        <v>178</v>
      </c>
      <c r="J6" s="237"/>
      <c r="K6" s="135"/>
      <c r="L6" s="236"/>
      <c r="M6" s="452">
        <f t="shared" ref="M6:M8" si="2">M5+R6</f>
        <v>0</v>
      </c>
      <c r="N6" s="419" t="s">
        <v>365</v>
      </c>
      <c r="O6" s="420"/>
      <c r="P6" s="411" t="s">
        <v>179</v>
      </c>
      <c r="Q6" s="411">
        <v>0.3</v>
      </c>
      <c r="R6" s="584">
        <f t="shared" ref="R6:R8" si="3">IF(P6="Sì",1,0)</f>
        <v>0</v>
      </c>
    </row>
    <row r="7" spans="1:24" ht="15" customHeight="1" thickBot="1">
      <c r="A7" s="452">
        <f t="shared" si="0"/>
        <v>0</v>
      </c>
      <c r="B7" s="622" t="s">
        <v>333</v>
      </c>
      <c r="C7" s="470"/>
      <c r="D7" s="470" t="s">
        <v>337</v>
      </c>
      <c r="E7" s="471" t="str">
        <f>$I$5</f>
        <v>Sì</v>
      </c>
      <c r="F7" s="412" t="s">
        <v>179</v>
      </c>
      <c r="G7" s="584">
        <f t="shared" si="1"/>
        <v>0</v>
      </c>
      <c r="H7" s="473" t="s">
        <v>393</v>
      </c>
      <c r="I7" s="412" t="s">
        <v>178</v>
      </c>
      <c r="J7" s="236"/>
      <c r="K7" s="135"/>
      <c r="L7" s="236"/>
      <c r="M7" s="452">
        <f t="shared" si="2"/>
        <v>0</v>
      </c>
      <c r="N7" s="419" t="s">
        <v>265</v>
      </c>
      <c r="O7" s="420"/>
      <c r="P7" s="411" t="s">
        <v>179</v>
      </c>
      <c r="Q7" s="411">
        <v>0.3</v>
      </c>
      <c r="R7" s="584">
        <f t="shared" si="3"/>
        <v>0</v>
      </c>
    </row>
    <row r="8" spans="1:24" ht="15" customHeight="1" thickTop="1" thickBot="1">
      <c r="A8" s="452">
        <f t="shared" si="0"/>
        <v>0</v>
      </c>
      <c r="B8" s="623" t="s">
        <v>334</v>
      </c>
      <c r="C8" s="474"/>
      <c r="D8" s="474" t="s">
        <v>292</v>
      </c>
      <c r="E8" s="475" t="str">
        <f>$I$5</f>
        <v>Sì</v>
      </c>
      <c r="F8" s="482" t="s">
        <v>179</v>
      </c>
      <c r="G8" s="584">
        <f t="shared" si="1"/>
        <v>0</v>
      </c>
      <c r="H8" s="476" t="s">
        <v>381</v>
      </c>
      <c r="I8" s="412" t="s">
        <v>178</v>
      </c>
      <c r="J8" s="477"/>
      <c r="K8" s="747" t="s">
        <v>370</v>
      </c>
      <c r="L8" s="747" t="s">
        <v>371</v>
      </c>
      <c r="M8" s="452">
        <f t="shared" si="2"/>
        <v>0</v>
      </c>
      <c r="N8" s="421" t="s">
        <v>266</v>
      </c>
      <c r="O8" s="422"/>
      <c r="P8" s="412" t="s">
        <v>179</v>
      </c>
      <c r="Q8" s="412">
        <v>0.3</v>
      </c>
      <c r="R8" s="584">
        <f t="shared" si="3"/>
        <v>0</v>
      </c>
    </row>
    <row r="9" spans="1:24" ht="15" customHeight="1" thickTop="1" thickBot="1">
      <c r="A9" s="452">
        <f>A8+G9</f>
        <v>0</v>
      </c>
      <c r="B9" s="624" t="s">
        <v>345</v>
      </c>
      <c r="C9" s="478"/>
      <c r="D9" s="478" t="s">
        <v>113</v>
      </c>
      <c r="E9" s="479" t="str">
        <f t="shared" ref="E9:E13" si="4">$I$6</f>
        <v>Sì</v>
      </c>
      <c r="F9" s="483" t="s">
        <v>179</v>
      </c>
      <c r="G9" s="584">
        <f>IF(AND(F9="Sì",$I$6="Sì"),1,0)</f>
        <v>0</v>
      </c>
      <c r="H9" s="640" t="s">
        <v>382</v>
      </c>
      <c r="I9" s="411" t="s">
        <v>178</v>
      </c>
      <c r="K9" s="748"/>
      <c r="L9" s="748"/>
      <c r="N9" s="425" t="s">
        <v>339</v>
      </c>
      <c r="O9" s="426"/>
      <c r="P9" s="414" t="s">
        <v>179</v>
      </c>
      <c r="Q9" s="414">
        <v>0.05</v>
      </c>
    </row>
    <row r="10" spans="1:24" ht="15" customHeight="1" thickTop="1" thickBot="1">
      <c r="A10" s="452">
        <f t="shared" ref="A10:A29" si="5">A9+G10</f>
        <v>0</v>
      </c>
      <c r="B10" s="625" t="s">
        <v>346</v>
      </c>
      <c r="C10" s="470"/>
      <c r="D10" s="470" t="s">
        <v>359</v>
      </c>
      <c r="E10" s="471" t="str">
        <f t="shared" si="4"/>
        <v>Sì</v>
      </c>
      <c r="F10" s="412" t="s">
        <v>179</v>
      </c>
      <c r="G10" s="584">
        <f>IF(AND(F10="Sì",$I$6="Sì"),1,0)</f>
        <v>0</v>
      </c>
      <c r="H10" s="639" t="s">
        <v>409</v>
      </c>
      <c r="I10" s="413" t="s">
        <v>178</v>
      </c>
      <c r="J10" s="466"/>
      <c r="K10" s="242" t="s">
        <v>178</v>
      </c>
      <c r="L10" s="242" t="s">
        <v>178</v>
      </c>
      <c r="N10" s="427" t="s">
        <v>367</v>
      </c>
      <c r="O10" s="428"/>
      <c r="P10" s="413" t="s">
        <v>179</v>
      </c>
      <c r="Q10" s="413">
        <v>0.05</v>
      </c>
    </row>
    <row r="11" spans="1:24" ht="15" customHeight="1" thickTop="1" thickBot="1">
      <c r="A11" s="452">
        <f t="shared" si="5"/>
        <v>1</v>
      </c>
      <c r="B11" s="625" t="s">
        <v>347</v>
      </c>
      <c r="C11" s="470"/>
      <c r="D11" s="470" t="s">
        <v>360</v>
      </c>
      <c r="E11" s="471" t="str">
        <f t="shared" si="4"/>
        <v>Sì</v>
      </c>
      <c r="F11" s="412" t="s">
        <v>178</v>
      </c>
      <c r="G11" s="584">
        <f t="shared" ref="G11:G13" si="6">IF(AND(F11="Sì",$I$6="Sì"),1,0)</f>
        <v>1</v>
      </c>
      <c r="J11" s="466"/>
      <c r="K11" s="241" t="str">
        <f>IF(L10="IN %","INSERIRE %","")</f>
        <v/>
      </c>
      <c r="L11" s="364">
        <v>0.4</v>
      </c>
    </row>
    <row r="12" spans="1:24" ht="15" customHeight="1" thickTop="1" thickBot="1">
      <c r="A12" s="452">
        <f t="shared" si="5"/>
        <v>2</v>
      </c>
      <c r="B12" s="625" t="s">
        <v>349</v>
      </c>
      <c r="C12" s="470"/>
      <c r="D12" s="470" t="s">
        <v>361</v>
      </c>
      <c r="E12" s="471" t="str">
        <f t="shared" si="4"/>
        <v>Sì</v>
      </c>
      <c r="F12" s="412" t="s">
        <v>178</v>
      </c>
      <c r="G12" s="584">
        <f t="shared" si="6"/>
        <v>1</v>
      </c>
      <c r="J12" s="466"/>
      <c r="K12" s="445"/>
      <c r="L12" s="236"/>
    </row>
    <row r="13" spans="1:24" ht="15" customHeight="1" thickTop="1" thickBot="1">
      <c r="A13" s="452">
        <f t="shared" si="5"/>
        <v>2</v>
      </c>
      <c r="B13" s="625" t="s">
        <v>350</v>
      </c>
      <c r="C13" s="470"/>
      <c r="D13" s="470" t="s">
        <v>362</v>
      </c>
      <c r="E13" s="471" t="str">
        <f t="shared" si="4"/>
        <v>Sì</v>
      </c>
      <c r="F13" s="412" t="s">
        <v>179</v>
      </c>
      <c r="G13" s="584">
        <f t="shared" si="6"/>
        <v>0</v>
      </c>
      <c r="J13" s="236"/>
      <c r="K13" s="747" t="s">
        <v>406</v>
      </c>
      <c r="L13" s="747" t="s">
        <v>407</v>
      </c>
    </row>
    <row r="14" spans="1:24" ht="15" customHeight="1" thickTop="1" thickBot="1">
      <c r="A14" s="452">
        <f t="shared" si="5"/>
        <v>2</v>
      </c>
      <c r="B14" s="626" t="s">
        <v>352</v>
      </c>
      <c r="C14" s="468" t="s">
        <v>403</v>
      </c>
      <c r="D14" s="468" t="s">
        <v>363</v>
      </c>
      <c r="E14" s="469" t="str">
        <f>$I$7</f>
        <v>Sì</v>
      </c>
      <c r="F14" s="481" t="s">
        <v>179</v>
      </c>
      <c r="G14" s="584">
        <f>IF(AND(F14="Sì",$I$7="Sì"),1,0)</f>
        <v>0</v>
      </c>
      <c r="J14" s="236"/>
      <c r="K14" s="748"/>
      <c r="L14" s="748"/>
    </row>
    <row r="15" spans="1:24" ht="15" customHeight="1" thickTop="1" thickBot="1">
      <c r="A15" s="452">
        <f t="shared" si="5"/>
        <v>2</v>
      </c>
      <c r="B15" s="627" t="s">
        <v>353</v>
      </c>
      <c r="C15" s="558"/>
      <c r="D15" s="558" t="s">
        <v>72</v>
      </c>
      <c r="E15" s="559" t="str">
        <f>$I$7</f>
        <v>Sì</v>
      </c>
      <c r="F15" s="411" t="s">
        <v>179</v>
      </c>
      <c r="G15" s="584">
        <f t="shared" ref="G15:G18" si="7">IF(AND(F15="Sì",$I$7="Sì"),1,0)</f>
        <v>0</v>
      </c>
      <c r="H15" s="244"/>
      <c r="J15" s="236"/>
      <c r="L15" s="414" t="s">
        <v>179</v>
      </c>
      <c r="T15" s="236"/>
      <c r="U15" s="245"/>
    </row>
    <row r="16" spans="1:24" ht="15" customHeight="1" thickTop="1">
      <c r="A16" s="452">
        <f t="shared" si="5"/>
        <v>2</v>
      </c>
      <c r="B16" s="627" t="s">
        <v>394</v>
      </c>
      <c r="C16" s="558" t="s">
        <v>403</v>
      </c>
      <c r="D16" s="558" t="s">
        <v>391</v>
      </c>
      <c r="E16" s="559" t="str">
        <f t="shared" ref="E16:E18" si="8">$I$7</f>
        <v>Sì</v>
      </c>
      <c r="F16" s="411" t="s">
        <v>179</v>
      </c>
      <c r="G16" s="584">
        <f t="shared" si="7"/>
        <v>0</v>
      </c>
      <c r="H16" s="244"/>
      <c r="I16" s="244"/>
      <c r="J16" s="236"/>
      <c r="K16" s="135"/>
      <c r="L16" s="135"/>
      <c r="T16" s="236"/>
      <c r="U16" s="245"/>
    </row>
    <row r="17" spans="1:31" ht="15" customHeight="1">
      <c r="A17" s="452">
        <f t="shared" si="5"/>
        <v>2</v>
      </c>
      <c r="B17" s="627" t="s">
        <v>389</v>
      </c>
      <c r="C17" s="558" t="s">
        <v>403</v>
      </c>
      <c r="D17" s="558" t="s">
        <v>131</v>
      </c>
      <c r="E17" s="559" t="str">
        <f t="shared" si="8"/>
        <v>Sì</v>
      </c>
      <c r="F17" s="411" t="s">
        <v>179</v>
      </c>
      <c r="G17" s="584">
        <f t="shared" si="7"/>
        <v>0</v>
      </c>
      <c r="J17" s="236"/>
      <c r="K17" s="135"/>
      <c r="L17" s="236"/>
      <c r="T17" s="236"/>
      <c r="U17" s="245"/>
    </row>
    <row r="18" spans="1:31" ht="15" customHeight="1" thickBot="1">
      <c r="A18" s="452">
        <f t="shared" si="5"/>
        <v>2</v>
      </c>
      <c r="B18" s="628" t="s">
        <v>395</v>
      </c>
      <c r="C18" s="470" t="s">
        <v>403</v>
      </c>
      <c r="D18" s="470" t="s">
        <v>64</v>
      </c>
      <c r="E18" s="471" t="str">
        <f t="shared" si="8"/>
        <v>Sì</v>
      </c>
      <c r="F18" s="412" t="s">
        <v>179</v>
      </c>
      <c r="G18" s="584">
        <f t="shared" si="7"/>
        <v>0</v>
      </c>
      <c r="J18" s="236"/>
      <c r="K18" s="135"/>
      <c r="L18" s="236"/>
      <c r="T18" s="236"/>
      <c r="U18" s="245"/>
    </row>
    <row r="19" spans="1:31" ht="15" customHeight="1" thickTop="1" thickBot="1">
      <c r="A19" s="452">
        <f t="shared" si="5"/>
        <v>2</v>
      </c>
      <c r="B19" s="629" t="s">
        <v>354</v>
      </c>
      <c r="C19" s="568" t="s">
        <v>403</v>
      </c>
      <c r="D19" s="568" t="s">
        <v>364</v>
      </c>
      <c r="E19" s="569" t="str">
        <f>$I$8</f>
        <v>Sì</v>
      </c>
      <c r="F19" s="414" t="s">
        <v>179</v>
      </c>
      <c r="G19" s="584">
        <f>IF(AND(F19="Sì",$I$8="Sì"),1,0)</f>
        <v>0</v>
      </c>
      <c r="L19" s="236"/>
      <c r="S19" s="236"/>
      <c r="T19" s="236"/>
      <c r="U19" s="236"/>
      <c r="V19" s="236"/>
      <c r="W19" s="236"/>
    </row>
    <row r="20" spans="1:31" ht="15" customHeight="1" thickTop="1">
      <c r="A20" s="452">
        <f t="shared" si="5"/>
        <v>2</v>
      </c>
      <c r="B20" s="630" t="s">
        <v>396</v>
      </c>
      <c r="C20" s="566" t="s">
        <v>403</v>
      </c>
      <c r="D20" s="566" t="s">
        <v>401</v>
      </c>
      <c r="E20" s="570" t="str">
        <f t="shared" ref="E20:E24" si="9">$I$9</f>
        <v>Sì</v>
      </c>
      <c r="F20" s="567" t="s">
        <v>179</v>
      </c>
      <c r="G20" s="584">
        <f>IF(AND(F20="Sì",$I$9="Sì"),1,0)</f>
        <v>0</v>
      </c>
      <c r="J20" s="236"/>
      <c r="L20" s="236"/>
      <c r="S20" s="236"/>
      <c r="T20" s="236"/>
      <c r="U20" s="236"/>
      <c r="V20" s="236"/>
      <c r="W20" s="236"/>
    </row>
    <row r="21" spans="1:31" ht="15" customHeight="1">
      <c r="A21" s="452">
        <f t="shared" si="5"/>
        <v>2</v>
      </c>
      <c r="B21" s="631" t="s">
        <v>405</v>
      </c>
      <c r="C21" s="558"/>
      <c r="D21" s="558" t="s">
        <v>54</v>
      </c>
      <c r="E21" s="571" t="str">
        <f t="shared" si="9"/>
        <v>Sì</v>
      </c>
      <c r="F21" s="411" t="s">
        <v>179</v>
      </c>
      <c r="G21" s="584">
        <f t="shared" ref="G21:G26" si="10">IF(AND(F21="Sì",$I$9="Sì"),1,0)</f>
        <v>0</v>
      </c>
      <c r="J21" s="236"/>
      <c r="L21" s="236"/>
      <c r="S21" s="236"/>
      <c r="T21" s="236"/>
      <c r="U21" s="236"/>
      <c r="V21" s="236"/>
      <c r="W21" s="236"/>
    </row>
    <row r="22" spans="1:31" ht="15" customHeight="1">
      <c r="A22" s="452">
        <f t="shared" si="5"/>
        <v>2</v>
      </c>
      <c r="B22" s="631" t="s">
        <v>398</v>
      </c>
      <c r="C22" s="558" t="s">
        <v>403</v>
      </c>
      <c r="D22" s="558" t="s">
        <v>144</v>
      </c>
      <c r="E22" s="571" t="str">
        <f t="shared" si="9"/>
        <v>Sì</v>
      </c>
      <c r="F22" s="411" t="s">
        <v>179</v>
      </c>
      <c r="G22" s="584">
        <f t="shared" si="10"/>
        <v>0</v>
      </c>
      <c r="J22" s="236"/>
      <c r="L22" s="236"/>
      <c r="S22" s="236"/>
      <c r="T22" s="236"/>
      <c r="U22" s="236"/>
      <c r="V22" s="236"/>
      <c r="W22" s="236"/>
    </row>
    <row r="23" spans="1:31" ht="15" customHeight="1">
      <c r="A23" s="452">
        <f t="shared" si="5"/>
        <v>2</v>
      </c>
      <c r="B23" s="631" t="s">
        <v>400</v>
      </c>
      <c r="C23" s="558" t="s">
        <v>403</v>
      </c>
      <c r="D23" s="558" t="s">
        <v>90</v>
      </c>
      <c r="E23" s="571" t="str">
        <f t="shared" si="9"/>
        <v>Sì</v>
      </c>
      <c r="F23" s="411" t="s">
        <v>179</v>
      </c>
      <c r="G23" s="584">
        <f t="shared" si="10"/>
        <v>0</v>
      </c>
      <c r="J23" s="236"/>
      <c r="L23" s="236"/>
      <c r="S23" s="236"/>
      <c r="T23" s="236"/>
      <c r="U23" s="236"/>
      <c r="V23" s="236"/>
      <c r="W23" s="236"/>
    </row>
    <row r="24" spans="1:31" ht="15" customHeight="1">
      <c r="A24" s="452">
        <f t="shared" si="5"/>
        <v>2</v>
      </c>
      <c r="B24" s="631" t="s">
        <v>399</v>
      </c>
      <c r="C24" s="558" t="s">
        <v>403</v>
      </c>
      <c r="D24" s="558" t="s">
        <v>402</v>
      </c>
      <c r="E24" s="571" t="str">
        <f t="shared" si="9"/>
        <v>Sì</v>
      </c>
      <c r="F24" s="411" t="s">
        <v>179</v>
      </c>
      <c r="G24" s="584">
        <f t="shared" si="10"/>
        <v>0</v>
      </c>
      <c r="J24" s="236"/>
      <c r="L24" s="236"/>
      <c r="S24" s="236"/>
      <c r="T24" s="236"/>
      <c r="U24" s="236"/>
      <c r="V24" s="236"/>
      <c r="W24" s="236"/>
    </row>
    <row r="25" spans="1:31" ht="15" customHeight="1">
      <c r="A25" s="452">
        <f t="shared" si="5"/>
        <v>2</v>
      </c>
      <c r="B25" s="632" t="s">
        <v>374</v>
      </c>
      <c r="C25" s="478" t="s">
        <v>403</v>
      </c>
      <c r="D25" s="478" t="s">
        <v>376</v>
      </c>
      <c r="E25" s="571" t="str">
        <f>$I$9</f>
        <v>Sì</v>
      </c>
      <c r="F25" s="483" t="s">
        <v>179</v>
      </c>
      <c r="G25" s="584">
        <f t="shared" si="10"/>
        <v>0</v>
      </c>
      <c r="J25" s="236"/>
      <c r="L25" s="236"/>
      <c r="S25" s="236"/>
      <c r="T25" s="236"/>
      <c r="U25" s="236"/>
      <c r="V25" s="236"/>
      <c r="W25" s="236"/>
    </row>
    <row r="26" spans="1:31" ht="15" customHeight="1" thickBot="1">
      <c r="A26" s="452">
        <f t="shared" si="5"/>
        <v>2</v>
      </c>
      <c r="B26" s="633" t="s">
        <v>375</v>
      </c>
      <c r="C26" s="474"/>
      <c r="D26" s="474" t="s">
        <v>71</v>
      </c>
      <c r="E26" s="572" t="str">
        <f>$I$9</f>
        <v>Sì</v>
      </c>
      <c r="F26" s="482" t="s">
        <v>179</v>
      </c>
      <c r="G26" s="584">
        <f t="shared" si="10"/>
        <v>0</v>
      </c>
      <c r="J26" s="236"/>
      <c r="L26" s="236"/>
      <c r="S26" s="236"/>
      <c r="T26" s="236"/>
      <c r="U26" s="236"/>
      <c r="V26" s="236"/>
      <c r="W26" s="236"/>
    </row>
    <row r="27" spans="1:31" ht="15" customHeight="1" thickTop="1">
      <c r="A27" s="452">
        <f t="shared" si="5"/>
        <v>2</v>
      </c>
      <c r="B27" s="718" t="s">
        <v>411</v>
      </c>
      <c r="C27" s="468"/>
      <c r="D27" s="468" t="s">
        <v>52</v>
      </c>
      <c r="E27" s="469" t="s">
        <v>178</v>
      </c>
      <c r="F27" s="481" t="s">
        <v>179</v>
      </c>
      <c r="G27" s="584">
        <f>IF(AND(F27="Sì",$I$10="Sì"),1,0)</f>
        <v>0</v>
      </c>
      <c r="J27" s="236"/>
      <c r="L27" s="236"/>
      <c r="S27" s="236"/>
      <c r="T27" s="236"/>
      <c r="U27" s="236"/>
      <c r="V27" s="236"/>
      <c r="W27" s="236"/>
    </row>
    <row r="28" spans="1:31" ht="15" customHeight="1">
      <c r="A28" s="452">
        <f t="shared" si="5"/>
        <v>2</v>
      </c>
      <c r="B28" s="719" t="s">
        <v>410</v>
      </c>
      <c r="C28" s="558"/>
      <c r="D28" s="558" t="s">
        <v>414</v>
      </c>
      <c r="E28" s="559" t="s">
        <v>178</v>
      </c>
      <c r="F28" s="411" t="s">
        <v>179</v>
      </c>
      <c r="G28" s="584">
        <f t="shared" ref="G28:G29" si="11">IF(AND(F28="Sì",$I$10="Sì"),1,0)</f>
        <v>0</v>
      </c>
      <c r="J28" s="236"/>
      <c r="L28" s="236"/>
      <c r="S28" s="236"/>
      <c r="T28" s="236"/>
      <c r="U28" s="236"/>
      <c r="V28" s="236"/>
      <c r="W28" s="236"/>
    </row>
    <row r="29" spans="1:31" ht="15" customHeight="1" thickBot="1">
      <c r="A29" s="452">
        <f t="shared" si="5"/>
        <v>2</v>
      </c>
      <c r="B29" s="720" t="s">
        <v>412</v>
      </c>
      <c r="C29" s="716"/>
      <c r="D29" s="716" t="s">
        <v>413</v>
      </c>
      <c r="E29" s="717" t="s">
        <v>178</v>
      </c>
      <c r="F29" s="413" t="s">
        <v>179</v>
      </c>
      <c r="G29" s="584">
        <f t="shared" si="11"/>
        <v>0</v>
      </c>
      <c r="J29" s="236"/>
      <c r="L29" s="236"/>
      <c r="S29" s="236"/>
      <c r="T29" s="236"/>
      <c r="U29" s="236"/>
      <c r="V29" s="236"/>
      <c r="W29" s="236"/>
    </row>
    <row r="30" spans="1:31" ht="15" customHeight="1" thickTop="1">
      <c r="G30" s="452"/>
      <c r="J30" s="236"/>
      <c r="L30" s="236"/>
      <c r="S30" s="236"/>
      <c r="T30" s="236"/>
      <c r="U30" s="236"/>
      <c r="V30" s="236"/>
      <c r="W30" s="236"/>
    </row>
    <row r="31" spans="1:31" ht="18" customHeight="1" thickBot="1">
      <c r="B31" s="480"/>
      <c r="J31" s="236"/>
      <c r="L31" s="236"/>
      <c r="S31" s="236"/>
      <c r="T31" s="236"/>
      <c r="U31" s="236"/>
      <c r="V31" s="236"/>
      <c r="W31" s="236"/>
    </row>
    <row r="32" spans="1:31" s="247" customFormat="1" ht="25.9" customHeight="1" thickTop="1" thickBot="1">
      <c r="B32" s="604" t="s">
        <v>281</v>
      </c>
      <c r="C32" s="585" t="s">
        <v>325</v>
      </c>
      <c r="D32" s="585" t="s">
        <v>294</v>
      </c>
      <c r="E32" s="585" t="s">
        <v>293</v>
      </c>
      <c r="F32" s="585" t="s">
        <v>285</v>
      </c>
      <c r="G32" s="586" t="s">
        <v>319</v>
      </c>
      <c r="H32" s="587" t="s">
        <v>320</v>
      </c>
      <c r="I32" s="588" t="s">
        <v>321</v>
      </c>
      <c r="J32" s="587" t="s">
        <v>322</v>
      </c>
      <c r="K32" s="588" t="s">
        <v>323</v>
      </c>
      <c r="L32" s="587" t="s">
        <v>324</v>
      </c>
      <c r="M32" s="588" t="s">
        <v>203</v>
      </c>
      <c r="N32" s="588" t="s">
        <v>287</v>
      </c>
      <c r="O32" s="588" t="s">
        <v>384</v>
      </c>
      <c r="P32" s="587" t="s">
        <v>385</v>
      </c>
      <c r="Q32" s="588" t="s">
        <v>386</v>
      </c>
      <c r="R32" s="588" t="s">
        <v>326</v>
      </c>
      <c r="S32" s="587" t="s">
        <v>327</v>
      </c>
      <c r="T32" s="589" t="s">
        <v>328</v>
      </c>
      <c r="U32" s="590" t="s">
        <v>329</v>
      </c>
      <c r="V32" s="591" t="s">
        <v>300</v>
      </c>
      <c r="W32" s="588" t="s">
        <v>299</v>
      </c>
      <c r="X32" s="592" t="s">
        <v>290</v>
      </c>
      <c r="Y32" s="593" t="s">
        <v>280</v>
      </c>
      <c r="Z32" s="594" t="s">
        <v>282</v>
      </c>
      <c r="AA32" s="594" t="s">
        <v>288</v>
      </c>
      <c r="AB32" s="594" t="s">
        <v>289</v>
      </c>
      <c r="AC32" s="594" t="s">
        <v>298</v>
      </c>
      <c r="AD32" s="594" t="s">
        <v>372</v>
      </c>
      <c r="AE32" s="595" t="s">
        <v>408</v>
      </c>
    </row>
    <row r="33" spans="2:31" ht="15.6" customHeight="1" thickTop="1">
      <c r="B33" s="634" t="s">
        <v>335</v>
      </c>
      <c r="C33" s="596" t="str">
        <f t="shared" ref="C33:C89" si="12">IF(F33="","",F33)</f>
        <v/>
      </c>
      <c r="D33" s="597" t="s">
        <v>338</v>
      </c>
      <c r="E33" s="597" t="str">
        <f t="shared" ref="E33:E89" si="13">IF(C33="","",CONCATENATE(D33," ",C33))</f>
        <v/>
      </c>
      <c r="F33" s="484"/>
      <c r="G33" s="485"/>
      <c r="H33" s="486"/>
      <c r="I33" s="487"/>
      <c r="J33" s="486"/>
      <c r="K33" s="487"/>
      <c r="L33" s="486"/>
      <c r="M33" s="488"/>
      <c r="N33" s="489"/>
      <c r="O33" s="489"/>
      <c r="P33" s="491"/>
      <c r="Q33" s="490"/>
      <c r="R33" s="489"/>
      <c r="S33" s="491"/>
      <c r="T33" s="605"/>
      <c r="U33" s="606"/>
      <c r="V33" s="492"/>
      <c r="W33" s="493"/>
      <c r="X33" s="494"/>
      <c r="Y33" s="495"/>
      <c r="Z33" s="496"/>
      <c r="AA33" s="496"/>
      <c r="AB33" s="497"/>
      <c r="AC33" s="496"/>
      <c r="AD33" s="498"/>
      <c r="AE33" s="499"/>
    </row>
    <row r="34" spans="2:31" ht="15.6" customHeight="1">
      <c r="B34" s="635" t="s">
        <v>335</v>
      </c>
      <c r="C34" s="598" t="str">
        <f t="shared" si="12"/>
        <v/>
      </c>
      <c r="D34" s="599" t="s">
        <v>338</v>
      </c>
      <c r="E34" s="599" t="str">
        <f t="shared" si="13"/>
        <v/>
      </c>
      <c r="F34" s="500"/>
      <c r="G34" s="501"/>
      <c r="H34" s="502"/>
      <c r="I34" s="503"/>
      <c r="J34" s="502"/>
      <c r="K34" s="503"/>
      <c r="L34" s="502"/>
      <c r="M34" s="504"/>
      <c r="N34" s="505"/>
      <c r="O34" s="505"/>
      <c r="P34" s="507"/>
      <c r="Q34" s="506"/>
      <c r="R34" s="505"/>
      <c r="S34" s="507"/>
      <c r="T34" s="607"/>
      <c r="U34" s="608"/>
      <c r="V34" s="508"/>
      <c r="W34" s="509"/>
      <c r="X34" s="510"/>
      <c r="Y34" s="511"/>
      <c r="Z34" s="512"/>
      <c r="AA34" s="512"/>
      <c r="AB34" s="513"/>
      <c r="AC34" s="512"/>
      <c r="AD34" s="514"/>
      <c r="AE34" s="515"/>
    </row>
    <row r="35" spans="2:31" ht="15.6" customHeight="1">
      <c r="B35" s="635" t="s">
        <v>335</v>
      </c>
      <c r="C35" s="598" t="str">
        <f t="shared" si="12"/>
        <v/>
      </c>
      <c r="D35" s="599" t="s">
        <v>338</v>
      </c>
      <c r="E35" s="599" t="str">
        <f t="shared" si="13"/>
        <v/>
      </c>
      <c r="F35" s="500"/>
      <c r="G35" s="501"/>
      <c r="H35" s="502"/>
      <c r="I35" s="503"/>
      <c r="J35" s="502"/>
      <c r="K35" s="503"/>
      <c r="L35" s="502"/>
      <c r="M35" s="504"/>
      <c r="N35" s="505"/>
      <c r="O35" s="505"/>
      <c r="P35" s="507"/>
      <c r="Q35" s="506"/>
      <c r="R35" s="505"/>
      <c r="S35" s="507"/>
      <c r="T35" s="607"/>
      <c r="U35" s="608"/>
      <c r="V35" s="508"/>
      <c r="W35" s="509"/>
      <c r="X35" s="510"/>
      <c r="Y35" s="511"/>
      <c r="Z35" s="512"/>
      <c r="AA35" s="512"/>
      <c r="AB35" s="513"/>
      <c r="AC35" s="512"/>
      <c r="AD35" s="514"/>
      <c r="AE35" s="515"/>
    </row>
    <row r="36" spans="2:31" ht="15.6" customHeight="1">
      <c r="B36" s="635" t="s">
        <v>335</v>
      </c>
      <c r="C36" s="598" t="str">
        <f t="shared" si="12"/>
        <v/>
      </c>
      <c r="D36" s="599" t="s">
        <v>338</v>
      </c>
      <c r="E36" s="599" t="str">
        <f t="shared" si="13"/>
        <v/>
      </c>
      <c r="F36" s="500"/>
      <c r="G36" s="501"/>
      <c r="H36" s="502"/>
      <c r="I36" s="503"/>
      <c r="J36" s="502"/>
      <c r="K36" s="503"/>
      <c r="L36" s="502"/>
      <c r="M36" s="516"/>
      <c r="N36" s="505"/>
      <c r="O36" s="505"/>
      <c r="P36" s="507"/>
      <c r="Q36" s="506"/>
      <c r="R36" s="505"/>
      <c r="S36" s="507"/>
      <c r="T36" s="607"/>
      <c r="U36" s="608"/>
      <c r="V36" s="508"/>
      <c r="W36" s="509"/>
      <c r="X36" s="510"/>
      <c r="Y36" s="511"/>
      <c r="Z36" s="512"/>
      <c r="AA36" s="512"/>
      <c r="AB36" s="513"/>
      <c r="AC36" s="512"/>
      <c r="AD36" s="514"/>
      <c r="AE36" s="515"/>
    </row>
    <row r="37" spans="2:31" ht="15.6" customHeight="1">
      <c r="B37" s="635" t="s">
        <v>335</v>
      </c>
      <c r="C37" s="598" t="str">
        <f t="shared" si="12"/>
        <v/>
      </c>
      <c r="D37" s="599" t="s">
        <v>338</v>
      </c>
      <c r="E37" s="599" t="str">
        <f t="shared" si="13"/>
        <v/>
      </c>
      <c r="F37" s="500"/>
      <c r="G37" s="501"/>
      <c r="H37" s="502"/>
      <c r="I37" s="503"/>
      <c r="J37" s="502"/>
      <c r="K37" s="503"/>
      <c r="L37" s="502"/>
      <c r="M37" s="504"/>
      <c r="N37" s="505"/>
      <c r="O37" s="505"/>
      <c r="P37" s="507"/>
      <c r="Q37" s="506"/>
      <c r="R37" s="505"/>
      <c r="S37" s="507"/>
      <c r="T37" s="607"/>
      <c r="U37" s="608"/>
      <c r="V37" s="508"/>
      <c r="W37" s="509"/>
      <c r="X37" s="510"/>
      <c r="Y37" s="511"/>
      <c r="Z37" s="512"/>
      <c r="AA37" s="512"/>
      <c r="AB37" s="513"/>
      <c r="AC37" s="517"/>
      <c r="AD37" s="518"/>
      <c r="AE37" s="515"/>
    </row>
    <row r="38" spans="2:31" ht="15.6" customHeight="1">
      <c r="B38" s="635" t="s">
        <v>335</v>
      </c>
      <c r="C38" s="598" t="str">
        <f t="shared" si="12"/>
        <v/>
      </c>
      <c r="D38" s="599" t="s">
        <v>338</v>
      </c>
      <c r="E38" s="599" t="str">
        <f t="shared" si="13"/>
        <v/>
      </c>
      <c r="F38" s="500"/>
      <c r="G38" s="501"/>
      <c r="H38" s="502"/>
      <c r="I38" s="503"/>
      <c r="J38" s="502"/>
      <c r="K38" s="503"/>
      <c r="L38" s="502"/>
      <c r="M38" s="504"/>
      <c r="N38" s="505"/>
      <c r="O38" s="505"/>
      <c r="P38" s="507"/>
      <c r="Q38" s="506"/>
      <c r="R38" s="505"/>
      <c r="S38" s="507"/>
      <c r="T38" s="607"/>
      <c r="U38" s="608"/>
      <c r="V38" s="508"/>
      <c r="W38" s="509"/>
      <c r="X38" s="510"/>
      <c r="Y38" s="511"/>
      <c r="Z38" s="512"/>
      <c r="AA38" s="512"/>
      <c r="AB38" s="513"/>
      <c r="AC38" s="512"/>
      <c r="AD38" s="514"/>
      <c r="AE38" s="515"/>
    </row>
    <row r="39" spans="2:31" ht="15.6" customHeight="1">
      <c r="B39" s="635" t="s">
        <v>335</v>
      </c>
      <c r="C39" s="598" t="str">
        <f t="shared" si="12"/>
        <v/>
      </c>
      <c r="D39" s="599" t="s">
        <v>338</v>
      </c>
      <c r="E39" s="599" t="str">
        <f t="shared" si="13"/>
        <v/>
      </c>
      <c r="F39" s="500"/>
      <c r="G39" s="501"/>
      <c r="H39" s="502"/>
      <c r="I39" s="503"/>
      <c r="J39" s="502"/>
      <c r="K39" s="503"/>
      <c r="L39" s="502"/>
      <c r="M39" s="516"/>
      <c r="N39" s="505"/>
      <c r="O39" s="505"/>
      <c r="P39" s="507"/>
      <c r="Q39" s="506"/>
      <c r="R39" s="505"/>
      <c r="S39" s="507"/>
      <c r="T39" s="607"/>
      <c r="U39" s="608"/>
      <c r="V39" s="508"/>
      <c r="W39" s="509"/>
      <c r="X39" s="510"/>
      <c r="Y39" s="511"/>
      <c r="Z39" s="512"/>
      <c r="AA39" s="512"/>
      <c r="AB39" s="513"/>
      <c r="AC39" s="512"/>
      <c r="AD39" s="514"/>
      <c r="AE39" s="515"/>
    </row>
    <row r="40" spans="2:31" ht="15.6" customHeight="1" thickBot="1">
      <c r="B40" s="635" t="s">
        <v>335</v>
      </c>
      <c r="C40" s="598" t="str">
        <f t="shared" si="12"/>
        <v/>
      </c>
      <c r="D40" s="599" t="s">
        <v>338</v>
      </c>
      <c r="E40" s="599" t="str">
        <f t="shared" si="13"/>
        <v/>
      </c>
      <c r="F40" s="500"/>
      <c r="G40" s="501"/>
      <c r="H40" s="502"/>
      <c r="I40" s="503"/>
      <c r="J40" s="502"/>
      <c r="K40" s="503"/>
      <c r="L40" s="502"/>
      <c r="M40" s="504"/>
      <c r="N40" s="505"/>
      <c r="O40" s="505"/>
      <c r="P40" s="507"/>
      <c r="Q40" s="506"/>
      <c r="R40" s="505"/>
      <c r="S40" s="507"/>
      <c r="T40" s="607"/>
      <c r="U40" s="608"/>
      <c r="V40" s="508"/>
      <c r="W40" s="509"/>
      <c r="X40" s="510"/>
      <c r="Y40" s="511"/>
      <c r="Z40" s="512"/>
      <c r="AA40" s="512"/>
      <c r="AB40" s="513"/>
      <c r="AC40" s="517"/>
      <c r="AD40" s="518"/>
      <c r="AE40" s="515"/>
    </row>
    <row r="41" spans="2:31" ht="15.6" customHeight="1" thickTop="1">
      <c r="B41" s="636" t="s">
        <v>336</v>
      </c>
      <c r="C41" s="600" t="str">
        <f t="shared" si="12"/>
        <v/>
      </c>
      <c r="D41" s="601" t="s">
        <v>70</v>
      </c>
      <c r="E41" s="601" t="str">
        <f t="shared" si="13"/>
        <v/>
      </c>
      <c r="F41" s="519"/>
      <c r="G41" s="520"/>
      <c r="H41" s="521"/>
      <c r="I41" s="522"/>
      <c r="J41" s="521"/>
      <c r="K41" s="522"/>
      <c r="L41" s="521"/>
      <c r="M41" s="523"/>
      <c r="N41" s="524"/>
      <c r="O41" s="524"/>
      <c r="P41" s="526"/>
      <c r="Q41" s="525"/>
      <c r="R41" s="524"/>
      <c r="S41" s="526"/>
      <c r="T41" s="609"/>
      <c r="U41" s="610"/>
      <c r="V41" s="527"/>
      <c r="W41" s="528"/>
      <c r="X41" s="529"/>
      <c r="Y41" s="530"/>
      <c r="Z41" s="531"/>
      <c r="AA41" s="531"/>
      <c r="AB41" s="532"/>
      <c r="AC41" s="533"/>
      <c r="AD41" s="534"/>
      <c r="AE41" s="535"/>
    </row>
    <row r="42" spans="2:31" ht="15.6" customHeight="1">
      <c r="B42" s="637" t="s">
        <v>336</v>
      </c>
      <c r="C42" s="602" t="str">
        <f t="shared" si="12"/>
        <v/>
      </c>
      <c r="D42" s="603" t="s">
        <v>70</v>
      </c>
      <c r="E42" s="603" t="str">
        <f t="shared" si="13"/>
        <v/>
      </c>
      <c r="F42" s="536"/>
      <c r="G42" s="537"/>
      <c r="H42" s="538"/>
      <c r="I42" s="539"/>
      <c r="J42" s="538"/>
      <c r="K42" s="539"/>
      <c r="L42" s="538"/>
      <c r="M42" s="540"/>
      <c r="N42" s="541"/>
      <c r="O42" s="541"/>
      <c r="P42" s="543"/>
      <c r="Q42" s="542"/>
      <c r="R42" s="541"/>
      <c r="S42" s="543"/>
      <c r="T42" s="611"/>
      <c r="U42" s="612"/>
      <c r="V42" s="544"/>
      <c r="W42" s="545"/>
      <c r="X42" s="546"/>
      <c r="Y42" s="547"/>
      <c r="Z42" s="548"/>
      <c r="AA42" s="548"/>
      <c r="AB42" s="549"/>
      <c r="AC42" s="550"/>
      <c r="AD42" s="551"/>
      <c r="AE42" s="552"/>
    </row>
    <row r="43" spans="2:31" ht="15.6" customHeight="1">
      <c r="B43" s="637" t="s">
        <v>336</v>
      </c>
      <c r="C43" s="602" t="str">
        <f t="shared" si="12"/>
        <v/>
      </c>
      <c r="D43" s="603" t="s">
        <v>70</v>
      </c>
      <c r="E43" s="603" t="str">
        <f t="shared" si="13"/>
        <v/>
      </c>
      <c r="F43" s="536"/>
      <c r="G43" s="537"/>
      <c r="H43" s="538"/>
      <c r="I43" s="539"/>
      <c r="J43" s="538"/>
      <c r="K43" s="539"/>
      <c r="L43" s="538"/>
      <c r="M43" s="540"/>
      <c r="N43" s="541"/>
      <c r="O43" s="541"/>
      <c r="P43" s="543"/>
      <c r="Q43" s="542"/>
      <c r="R43" s="541"/>
      <c r="S43" s="543"/>
      <c r="T43" s="611"/>
      <c r="U43" s="612"/>
      <c r="V43" s="544"/>
      <c r="W43" s="545"/>
      <c r="X43" s="546"/>
      <c r="Y43" s="547"/>
      <c r="Z43" s="548"/>
      <c r="AA43" s="548"/>
      <c r="AB43" s="549"/>
      <c r="AC43" s="548"/>
      <c r="AD43" s="553"/>
      <c r="AE43" s="552"/>
    </row>
    <row r="44" spans="2:31" ht="15.6" customHeight="1">
      <c r="B44" s="637" t="s">
        <v>336</v>
      </c>
      <c r="C44" s="602" t="str">
        <f t="shared" si="12"/>
        <v/>
      </c>
      <c r="D44" s="603" t="s">
        <v>70</v>
      </c>
      <c r="E44" s="603" t="str">
        <f t="shared" si="13"/>
        <v/>
      </c>
      <c r="F44" s="536"/>
      <c r="G44" s="537"/>
      <c r="H44" s="538"/>
      <c r="I44" s="539"/>
      <c r="J44" s="538"/>
      <c r="K44" s="539"/>
      <c r="L44" s="538"/>
      <c r="M44" s="540"/>
      <c r="N44" s="541"/>
      <c r="O44" s="541"/>
      <c r="P44" s="543"/>
      <c r="Q44" s="542"/>
      <c r="R44" s="541"/>
      <c r="S44" s="543"/>
      <c r="T44" s="611"/>
      <c r="U44" s="612"/>
      <c r="V44" s="544"/>
      <c r="W44" s="545"/>
      <c r="X44" s="546"/>
      <c r="Y44" s="547"/>
      <c r="Z44" s="548"/>
      <c r="AA44" s="548"/>
      <c r="AB44" s="549"/>
      <c r="AC44" s="550"/>
      <c r="AD44" s="551"/>
      <c r="AE44" s="552"/>
    </row>
    <row r="45" spans="2:31" ht="15.6" customHeight="1">
      <c r="B45" s="637" t="s">
        <v>336</v>
      </c>
      <c r="C45" s="602" t="str">
        <f t="shared" si="12"/>
        <v/>
      </c>
      <c r="D45" s="603" t="s">
        <v>70</v>
      </c>
      <c r="E45" s="603" t="str">
        <f t="shared" si="13"/>
        <v/>
      </c>
      <c r="F45" s="536"/>
      <c r="G45" s="537"/>
      <c r="H45" s="538"/>
      <c r="I45" s="539"/>
      <c r="J45" s="538"/>
      <c r="K45" s="539"/>
      <c r="L45" s="538"/>
      <c r="M45" s="540"/>
      <c r="N45" s="541"/>
      <c r="O45" s="541"/>
      <c r="P45" s="543"/>
      <c r="Q45" s="542"/>
      <c r="R45" s="541"/>
      <c r="S45" s="543"/>
      <c r="T45" s="611"/>
      <c r="U45" s="612"/>
      <c r="V45" s="544"/>
      <c r="W45" s="545"/>
      <c r="X45" s="546"/>
      <c r="Y45" s="547"/>
      <c r="Z45" s="548"/>
      <c r="AA45" s="548"/>
      <c r="AB45" s="549"/>
      <c r="AC45" s="548"/>
      <c r="AD45" s="553"/>
      <c r="AE45" s="552"/>
    </row>
    <row r="46" spans="2:31" ht="15.6" customHeight="1">
      <c r="B46" s="637" t="s">
        <v>336</v>
      </c>
      <c r="C46" s="602" t="str">
        <f t="shared" si="12"/>
        <v/>
      </c>
      <c r="D46" s="603" t="s">
        <v>70</v>
      </c>
      <c r="E46" s="603" t="str">
        <f t="shared" si="13"/>
        <v/>
      </c>
      <c r="F46" s="536"/>
      <c r="G46" s="537"/>
      <c r="H46" s="538"/>
      <c r="I46" s="539"/>
      <c r="J46" s="538"/>
      <c r="K46" s="539"/>
      <c r="L46" s="538"/>
      <c r="M46" s="540"/>
      <c r="N46" s="554"/>
      <c r="O46" s="556"/>
      <c r="P46" s="557"/>
      <c r="Q46" s="555"/>
      <c r="R46" s="556"/>
      <c r="S46" s="557"/>
      <c r="T46" s="611"/>
      <c r="U46" s="612"/>
      <c r="V46" s="544"/>
      <c r="W46" s="545"/>
      <c r="X46" s="546"/>
      <c r="Y46" s="547"/>
      <c r="Z46" s="548"/>
      <c r="AA46" s="548"/>
      <c r="AB46" s="549"/>
      <c r="AC46" s="550"/>
      <c r="AD46" s="551"/>
      <c r="AE46" s="552"/>
    </row>
    <row r="47" spans="2:31" ht="15.6" customHeight="1">
      <c r="B47" s="637" t="s">
        <v>336</v>
      </c>
      <c r="C47" s="602" t="str">
        <f t="shared" si="12"/>
        <v/>
      </c>
      <c r="D47" s="603" t="s">
        <v>70</v>
      </c>
      <c r="E47" s="603" t="str">
        <f t="shared" si="13"/>
        <v/>
      </c>
      <c r="F47" s="536"/>
      <c r="G47" s="537"/>
      <c r="H47" s="538"/>
      <c r="I47" s="539"/>
      <c r="J47" s="538"/>
      <c r="K47" s="539"/>
      <c r="L47" s="538"/>
      <c r="M47" s="540"/>
      <c r="N47" s="554"/>
      <c r="O47" s="556"/>
      <c r="P47" s="557"/>
      <c r="Q47" s="555"/>
      <c r="R47" s="556"/>
      <c r="S47" s="557"/>
      <c r="T47" s="611"/>
      <c r="U47" s="612"/>
      <c r="V47" s="544"/>
      <c r="W47" s="545"/>
      <c r="X47" s="546"/>
      <c r="Y47" s="547"/>
      <c r="Z47" s="548"/>
      <c r="AA47" s="548"/>
      <c r="AB47" s="549"/>
      <c r="AC47" s="550"/>
      <c r="AD47" s="551"/>
      <c r="AE47" s="552"/>
    </row>
    <row r="48" spans="2:31" ht="15.6" customHeight="1" thickBot="1">
      <c r="B48" s="637" t="s">
        <v>336</v>
      </c>
      <c r="C48" s="602" t="str">
        <f t="shared" si="12"/>
        <v/>
      </c>
      <c r="D48" s="603" t="s">
        <v>70</v>
      </c>
      <c r="E48" s="603" t="str">
        <f t="shared" si="13"/>
        <v/>
      </c>
      <c r="F48" s="536"/>
      <c r="G48" s="537"/>
      <c r="H48" s="538"/>
      <c r="I48" s="539"/>
      <c r="J48" s="538"/>
      <c r="K48" s="539"/>
      <c r="L48" s="538"/>
      <c r="M48" s="540"/>
      <c r="N48" s="541"/>
      <c r="O48" s="541"/>
      <c r="P48" s="543"/>
      <c r="Q48" s="542"/>
      <c r="R48" s="541"/>
      <c r="S48" s="543"/>
      <c r="T48" s="611"/>
      <c r="U48" s="612"/>
      <c r="V48" s="544"/>
      <c r="W48" s="545"/>
      <c r="X48" s="546"/>
      <c r="Y48" s="547"/>
      <c r="Z48" s="548"/>
      <c r="AA48" s="548"/>
      <c r="AB48" s="549"/>
      <c r="AC48" s="548"/>
      <c r="AD48" s="553"/>
      <c r="AE48" s="552"/>
    </row>
    <row r="49" spans="2:31" ht="15.6" customHeight="1" thickTop="1">
      <c r="B49" s="634" t="s">
        <v>333</v>
      </c>
      <c r="C49" s="596" t="str">
        <f t="shared" si="12"/>
        <v/>
      </c>
      <c r="D49" s="597" t="s">
        <v>337</v>
      </c>
      <c r="E49" s="597" t="str">
        <f t="shared" si="13"/>
        <v/>
      </c>
      <c r="F49" s="484"/>
      <c r="G49" s="485"/>
      <c r="H49" s="486"/>
      <c r="I49" s="487"/>
      <c r="J49" s="486"/>
      <c r="K49" s="487"/>
      <c r="L49" s="486"/>
      <c r="M49" s="488"/>
      <c r="N49" s="489"/>
      <c r="O49" s="489"/>
      <c r="P49" s="491"/>
      <c r="Q49" s="490"/>
      <c r="R49" s="489"/>
      <c r="S49" s="491"/>
      <c r="T49" s="605"/>
      <c r="U49" s="606"/>
      <c r="V49" s="492"/>
      <c r="W49" s="493"/>
      <c r="X49" s="494"/>
      <c r="Y49" s="495"/>
      <c r="Z49" s="496"/>
      <c r="AA49" s="496"/>
      <c r="AB49" s="497"/>
      <c r="AC49" s="496"/>
      <c r="AD49" s="498"/>
      <c r="AE49" s="499"/>
    </row>
    <row r="50" spans="2:31" ht="15.6" customHeight="1">
      <c r="B50" s="635" t="s">
        <v>333</v>
      </c>
      <c r="C50" s="598" t="str">
        <f t="shared" si="12"/>
        <v/>
      </c>
      <c r="D50" s="599" t="s">
        <v>337</v>
      </c>
      <c r="E50" s="599" t="str">
        <f t="shared" si="13"/>
        <v/>
      </c>
      <c r="F50" s="500"/>
      <c r="G50" s="501"/>
      <c r="H50" s="502"/>
      <c r="I50" s="503"/>
      <c r="J50" s="502"/>
      <c r="K50" s="503"/>
      <c r="L50" s="502"/>
      <c r="M50" s="504"/>
      <c r="N50" s="505"/>
      <c r="O50" s="505"/>
      <c r="P50" s="507"/>
      <c r="Q50" s="506"/>
      <c r="R50" s="505"/>
      <c r="S50" s="507"/>
      <c r="T50" s="607"/>
      <c r="U50" s="608"/>
      <c r="V50" s="508"/>
      <c r="W50" s="509"/>
      <c r="X50" s="510"/>
      <c r="Y50" s="511"/>
      <c r="Z50" s="512"/>
      <c r="AA50" s="512"/>
      <c r="AB50" s="513"/>
      <c r="AC50" s="512"/>
      <c r="AD50" s="514"/>
      <c r="AE50" s="515"/>
    </row>
    <row r="51" spans="2:31" ht="15.6" customHeight="1">
      <c r="B51" s="635" t="s">
        <v>333</v>
      </c>
      <c r="C51" s="598" t="str">
        <f t="shared" si="12"/>
        <v/>
      </c>
      <c r="D51" s="599" t="s">
        <v>337</v>
      </c>
      <c r="E51" s="599" t="str">
        <f t="shared" si="13"/>
        <v/>
      </c>
      <c r="F51" s="500"/>
      <c r="G51" s="501"/>
      <c r="H51" s="502"/>
      <c r="I51" s="503"/>
      <c r="J51" s="502"/>
      <c r="K51" s="503"/>
      <c r="L51" s="502"/>
      <c r="M51" s="504"/>
      <c r="N51" s="505"/>
      <c r="O51" s="505"/>
      <c r="P51" s="507"/>
      <c r="Q51" s="506"/>
      <c r="R51" s="505"/>
      <c r="S51" s="507"/>
      <c r="T51" s="607"/>
      <c r="U51" s="608"/>
      <c r="V51" s="508"/>
      <c r="W51" s="509"/>
      <c r="X51" s="510"/>
      <c r="Y51" s="511"/>
      <c r="Z51" s="512"/>
      <c r="AA51" s="512"/>
      <c r="AB51" s="513"/>
      <c r="AC51" s="512"/>
      <c r="AD51" s="514"/>
      <c r="AE51" s="515"/>
    </row>
    <row r="52" spans="2:31" ht="15.6" customHeight="1">
      <c r="B52" s="635" t="s">
        <v>333</v>
      </c>
      <c r="C52" s="598" t="str">
        <f t="shared" si="12"/>
        <v/>
      </c>
      <c r="D52" s="599" t="s">
        <v>337</v>
      </c>
      <c r="E52" s="599" t="str">
        <f t="shared" si="13"/>
        <v/>
      </c>
      <c r="F52" s="500"/>
      <c r="G52" s="501"/>
      <c r="H52" s="502"/>
      <c r="I52" s="503"/>
      <c r="J52" s="502"/>
      <c r="K52" s="503"/>
      <c r="L52" s="502"/>
      <c r="M52" s="516"/>
      <c r="N52" s="505"/>
      <c r="O52" s="505"/>
      <c r="P52" s="507"/>
      <c r="Q52" s="506"/>
      <c r="R52" s="505"/>
      <c r="S52" s="507"/>
      <c r="T52" s="607"/>
      <c r="U52" s="608"/>
      <c r="V52" s="508"/>
      <c r="W52" s="509"/>
      <c r="X52" s="510"/>
      <c r="Y52" s="511"/>
      <c r="Z52" s="512"/>
      <c r="AA52" s="512"/>
      <c r="AB52" s="513"/>
      <c r="AC52" s="512"/>
      <c r="AD52" s="514"/>
      <c r="AE52" s="515"/>
    </row>
    <row r="53" spans="2:31" ht="15.6" customHeight="1">
      <c r="B53" s="635" t="s">
        <v>333</v>
      </c>
      <c r="C53" s="598" t="str">
        <f t="shared" si="12"/>
        <v/>
      </c>
      <c r="D53" s="599" t="s">
        <v>337</v>
      </c>
      <c r="E53" s="599" t="str">
        <f t="shared" si="13"/>
        <v/>
      </c>
      <c r="F53" s="500"/>
      <c r="G53" s="501"/>
      <c r="H53" s="502"/>
      <c r="I53" s="503"/>
      <c r="J53" s="502"/>
      <c r="K53" s="503"/>
      <c r="L53" s="502"/>
      <c r="M53" s="504"/>
      <c r="N53" s="505"/>
      <c r="O53" s="505"/>
      <c r="P53" s="507"/>
      <c r="Q53" s="506"/>
      <c r="R53" s="505"/>
      <c r="S53" s="507"/>
      <c r="T53" s="607"/>
      <c r="U53" s="608"/>
      <c r="V53" s="508"/>
      <c r="W53" s="509"/>
      <c r="X53" s="510"/>
      <c r="Y53" s="511"/>
      <c r="Z53" s="512"/>
      <c r="AA53" s="512"/>
      <c r="AB53" s="513"/>
      <c r="AC53" s="517"/>
      <c r="AD53" s="518"/>
      <c r="AE53" s="515"/>
    </row>
    <row r="54" spans="2:31" ht="15.6" customHeight="1">
      <c r="B54" s="635" t="s">
        <v>333</v>
      </c>
      <c r="C54" s="598" t="str">
        <f t="shared" si="12"/>
        <v/>
      </c>
      <c r="D54" s="599" t="s">
        <v>337</v>
      </c>
      <c r="E54" s="599" t="str">
        <f t="shared" si="13"/>
        <v/>
      </c>
      <c r="F54" s="500"/>
      <c r="G54" s="501"/>
      <c r="H54" s="502"/>
      <c r="I54" s="503"/>
      <c r="J54" s="502"/>
      <c r="K54" s="503"/>
      <c r="L54" s="502"/>
      <c r="M54" s="504"/>
      <c r="N54" s="505"/>
      <c r="O54" s="505"/>
      <c r="P54" s="507"/>
      <c r="Q54" s="506"/>
      <c r="R54" s="505"/>
      <c r="S54" s="507"/>
      <c r="T54" s="607"/>
      <c r="U54" s="608"/>
      <c r="V54" s="508"/>
      <c r="W54" s="509"/>
      <c r="X54" s="510"/>
      <c r="Y54" s="511"/>
      <c r="Z54" s="512"/>
      <c r="AA54" s="512"/>
      <c r="AB54" s="513"/>
      <c r="AC54" s="512"/>
      <c r="AD54" s="514"/>
      <c r="AE54" s="515"/>
    </row>
    <row r="55" spans="2:31" ht="15.6" customHeight="1">
      <c r="B55" s="635" t="s">
        <v>333</v>
      </c>
      <c r="C55" s="598" t="str">
        <f t="shared" si="12"/>
        <v/>
      </c>
      <c r="D55" s="599" t="s">
        <v>337</v>
      </c>
      <c r="E55" s="599" t="str">
        <f t="shared" si="13"/>
        <v/>
      </c>
      <c r="F55" s="500"/>
      <c r="G55" s="501"/>
      <c r="H55" s="502"/>
      <c r="I55" s="503"/>
      <c r="J55" s="502"/>
      <c r="K55" s="503"/>
      <c r="L55" s="502"/>
      <c r="M55" s="516"/>
      <c r="N55" s="505"/>
      <c r="O55" s="505"/>
      <c r="P55" s="507"/>
      <c r="Q55" s="506"/>
      <c r="R55" s="505"/>
      <c r="S55" s="507"/>
      <c r="T55" s="607"/>
      <c r="U55" s="608"/>
      <c r="V55" s="508"/>
      <c r="W55" s="509"/>
      <c r="X55" s="510"/>
      <c r="Y55" s="511"/>
      <c r="Z55" s="512"/>
      <c r="AA55" s="512"/>
      <c r="AB55" s="513"/>
      <c r="AC55" s="512"/>
      <c r="AD55" s="514"/>
      <c r="AE55" s="515"/>
    </row>
    <row r="56" spans="2:31" ht="15.6" customHeight="1" thickBot="1">
      <c r="B56" s="635" t="s">
        <v>333</v>
      </c>
      <c r="C56" s="598" t="str">
        <f t="shared" si="12"/>
        <v/>
      </c>
      <c r="D56" s="599" t="s">
        <v>337</v>
      </c>
      <c r="E56" s="599" t="str">
        <f t="shared" si="13"/>
        <v/>
      </c>
      <c r="F56" s="500"/>
      <c r="G56" s="501"/>
      <c r="H56" s="502"/>
      <c r="I56" s="503"/>
      <c r="J56" s="502"/>
      <c r="K56" s="503"/>
      <c r="L56" s="502"/>
      <c r="M56" s="504"/>
      <c r="N56" s="505"/>
      <c r="O56" s="505"/>
      <c r="P56" s="507"/>
      <c r="Q56" s="506"/>
      <c r="R56" s="505"/>
      <c r="S56" s="507"/>
      <c r="T56" s="607"/>
      <c r="U56" s="608"/>
      <c r="V56" s="508"/>
      <c r="W56" s="509"/>
      <c r="X56" s="510"/>
      <c r="Y56" s="511"/>
      <c r="Z56" s="512"/>
      <c r="AA56" s="512"/>
      <c r="AB56" s="513"/>
      <c r="AC56" s="517"/>
      <c r="AD56" s="518"/>
      <c r="AE56" s="515"/>
    </row>
    <row r="57" spans="2:31" ht="15.6" customHeight="1" thickTop="1">
      <c r="B57" s="636" t="s">
        <v>334</v>
      </c>
      <c r="C57" s="600" t="str">
        <f t="shared" si="12"/>
        <v/>
      </c>
      <c r="D57" s="601" t="s">
        <v>292</v>
      </c>
      <c r="E57" s="601" t="str">
        <f t="shared" si="13"/>
        <v/>
      </c>
      <c r="F57" s="519"/>
      <c r="G57" s="520"/>
      <c r="H57" s="521"/>
      <c r="I57" s="522"/>
      <c r="J57" s="521"/>
      <c r="K57" s="522"/>
      <c r="L57" s="521"/>
      <c r="M57" s="523"/>
      <c r="N57" s="524"/>
      <c r="O57" s="524"/>
      <c r="P57" s="526"/>
      <c r="Q57" s="525"/>
      <c r="R57" s="524"/>
      <c r="S57" s="526"/>
      <c r="T57" s="609"/>
      <c r="U57" s="610"/>
      <c r="V57" s="527"/>
      <c r="W57" s="528"/>
      <c r="X57" s="529"/>
      <c r="Y57" s="530"/>
      <c r="Z57" s="531"/>
      <c r="AA57" s="531"/>
      <c r="AB57" s="532"/>
      <c r="AC57" s="533"/>
      <c r="AD57" s="534"/>
      <c r="AE57" s="535"/>
    </row>
    <row r="58" spans="2:31" ht="15.6" customHeight="1">
      <c r="B58" s="637" t="s">
        <v>334</v>
      </c>
      <c r="C58" s="602" t="str">
        <f t="shared" si="12"/>
        <v/>
      </c>
      <c r="D58" s="603" t="s">
        <v>292</v>
      </c>
      <c r="E58" s="603" t="str">
        <f t="shared" si="13"/>
        <v/>
      </c>
      <c r="F58" s="536"/>
      <c r="G58" s="537"/>
      <c r="H58" s="538"/>
      <c r="I58" s="539"/>
      <c r="J58" s="538"/>
      <c r="K58" s="539"/>
      <c r="L58" s="538"/>
      <c r="M58" s="540"/>
      <c r="N58" s="541"/>
      <c r="O58" s="541"/>
      <c r="P58" s="543"/>
      <c r="Q58" s="542"/>
      <c r="R58" s="541"/>
      <c r="S58" s="543"/>
      <c r="T58" s="611"/>
      <c r="U58" s="612"/>
      <c r="V58" s="544"/>
      <c r="W58" s="545"/>
      <c r="X58" s="546"/>
      <c r="Y58" s="547"/>
      <c r="Z58" s="548"/>
      <c r="AA58" s="548"/>
      <c r="AB58" s="549"/>
      <c r="AC58" s="550"/>
      <c r="AD58" s="551"/>
      <c r="AE58" s="552"/>
    </row>
    <row r="59" spans="2:31" ht="15.6" customHeight="1">
      <c r="B59" s="637" t="s">
        <v>334</v>
      </c>
      <c r="C59" s="602" t="str">
        <f t="shared" si="12"/>
        <v/>
      </c>
      <c r="D59" s="603" t="s">
        <v>292</v>
      </c>
      <c r="E59" s="603" t="str">
        <f t="shared" si="13"/>
        <v/>
      </c>
      <c r="F59" s="536"/>
      <c r="G59" s="537"/>
      <c r="H59" s="538"/>
      <c r="I59" s="539"/>
      <c r="J59" s="538"/>
      <c r="K59" s="539"/>
      <c r="L59" s="538"/>
      <c r="M59" s="540"/>
      <c r="N59" s="541"/>
      <c r="O59" s="541"/>
      <c r="P59" s="543"/>
      <c r="Q59" s="542"/>
      <c r="R59" s="541"/>
      <c r="S59" s="543"/>
      <c r="T59" s="611"/>
      <c r="U59" s="612"/>
      <c r="V59" s="544"/>
      <c r="W59" s="545"/>
      <c r="X59" s="546"/>
      <c r="Y59" s="547"/>
      <c r="Z59" s="548"/>
      <c r="AA59" s="548"/>
      <c r="AB59" s="549"/>
      <c r="AC59" s="548"/>
      <c r="AD59" s="553"/>
      <c r="AE59" s="552"/>
    </row>
    <row r="60" spans="2:31" ht="15.6" customHeight="1">
      <c r="B60" s="637" t="s">
        <v>334</v>
      </c>
      <c r="C60" s="602" t="str">
        <f t="shared" si="12"/>
        <v/>
      </c>
      <c r="D60" s="603" t="s">
        <v>292</v>
      </c>
      <c r="E60" s="603" t="str">
        <f t="shared" si="13"/>
        <v/>
      </c>
      <c r="F60" s="536"/>
      <c r="G60" s="537"/>
      <c r="H60" s="538"/>
      <c r="I60" s="539"/>
      <c r="J60" s="538"/>
      <c r="K60" s="539"/>
      <c r="L60" s="538"/>
      <c r="M60" s="540"/>
      <c r="N60" s="541"/>
      <c r="O60" s="541"/>
      <c r="P60" s="543"/>
      <c r="Q60" s="542"/>
      <c r="R60" s="541"/>
      <c r="S60" s="543"/>
      <c r="T60" s="611"/>
      <c r="U60" s="612"/>
      <c r="V60" s="544"/>
      <c r="W60" s="545"/>
      <c r="X60" s="546"/>
      <c r="Y60" s="547"/>
      <c r="Z60" s="548"/>
      <c r="AA60" s="548"/>
      <c r="AB60" s="549"/>
      <c r="AC60" s="550"/>
      <c r="AD60" s="551"/>
      <c r="AE60" s="552"/>
    </row>
    <row r="61" spans="2:31" ht="15.6" customHeight="1">
      <c r="B61" s="637" t="s">
        <v>334</v>
      </c>
      <c r="C61" s="602" t="str">
        <f t="shared" si="12"/>
        <v/>
      </c>
      <c r="D61" s="603" t="s">
        <v>292</v>
      </c>
      <c r="E61" s="603" t="str">
        <f t="shared" si="13"/>
        <v/>
      </c>
      <c r="F61" s="536"/>
      <c r="G61" s="537"/>
      <c r="H61" s="538"/>
      <c r="I61" s="539"/>
      <c r="J61" s="538"/>
      <c r="K61" s="539"/>
      <c r="L61" s="538"/>
      <c r="M61" s="540"/>
      <c r="N61" s="541"/>
      <c r="O61" s="541"/>
      <c r="P61" s="543"/>
      <c r="Q61" s="542"/>
      <c r="R61" s="541"/>
      <c r="S61" s="543"/>
      <c r="T61" s="611"/>
      <c r="U61" s="612"/>
      <c r="V61" s="544"/>
      <c r="W61" s="545"/>
      <c r="X61" s="546"/>
      <c r="Y61" s="547"/>
      <c r="Z61" s="548"/>
      <c r="AA61" s="548"/>
      <c r="AB61" s="549"/>
      <c r="AC61" s="548"/>
      <c r="AD61" s="553"/>
      <c r="AE61" s="552"/>
    </row>
    <row r="62" spans="2:31" ht="15.6" customHeight="1">
      <c r="B62" s="637" t="s">
        <v>334</v>
      </c>
      <c r="C62" s="602" t="str">
        <f t="shared" si="12"/>
        <v/>
      </c>
      <c r="D62" s="603" t="s">
        <v>292</v>
      </c>
      <c r="E62" s="603" t="str">
        <f t="shared" si="13"/>
        <v/>
      </c>
      <c r="F62" s="536"/>
      <c r="G62" s="537"/>
      <c r="H62" s="538"/>
      <c r="I62" s="539"/>
      <c r="J62" s="538"/>
      <c r="K62" s="539"/>
      <c r="L62" s="538"/>
      <c r="M62" s="540"/>
      <c r="N62" s="554"/>
      <c r="O62" s="556"/>
      <c r="P62" s="557"/>
      <c r="Q62" s="555"/>
      <c r="R62" s="556"/>
      <c r="S62" s="557"/>
      <c r="T62" s="611"/>
      <c r="U62" s="612"/>
      <c r="V62" s="544"/>
      <c r="W62" s="545"/>
      <c r="X62" s="546"/>
      <c r="Y62" s="547"/>
      <c r="Z62" s="548"/>
      <c r="AA62" s="548"/>
      <c r="AB62" s="549"/>
      <c r="AC62" s="550"/>
      <c r="AD62" s="551"/>
      <c r="AE62" s="552"/>
    </row>
    <row r="63" spans="2:31" ht="15.6" customHeight="1">
      <c r="B63" s="637" t="s">
        <v>334</v>
      </c>
      <c r="C63" s="602" t="str">
        <f t="shared" si="12"/>
        <v/>
      </c>
      <c r="D63" s="603" t="s">
        <v>292</v>
      </c>
      <c r="E63" s="603" t="str">
        <f t="shared" si="13"/>
        <v/>
      </c>
      <c r="F63" s="536"/>
      <c r="G63" s="537"/>
      <c r="H63" s="538"/>
      <c r="I63" s="539"/>
      <c r="J63" s="538"/>
      <c r="K63" s="539"/>
      <c r="L63" s="538"/>
      <c r="M63" s="540"/>
      <c r="N63" s="554"/>
      <c r="O63" s="556"/>
      <c r="P63" s="557"/>
      <c r="Q63" s="555"/>
      <c r="R63" s="556"/>
      <c r="S63" s="557"/>
      <c r="T63" s="611"/>
      <c r="U63" s="612"/>
      <c r="V63" s="544"/>
      <c r="W63" s="545"/>
      <c r="X63" s="546"/>
      <c r="Y63" s="547"/>
      <c r="Z63" s="548"/>
      <c r="AA63" s="548"/>
      <c r="AB63" s="549"/>
      <c r="AC63" s="550"/>
      <c r="AD63" s="551"/>
      <c r="AE63" s="552"/>
    </row>
    <row r="64" spans="2:31" ht="15.6" customHeight="1" thickBot="1">
      <c r="B64" s="637" t="s">
        <v>334</v>
      </c>
      <c r="C64" s="602" t="str">
        <f t="shared" si="12"/>
        <v/>
      </c>
      <c r="D64" s="603" t="s">
        <v>292</v>
      </c>
      <c r="E64" s="603" t="str">
        <f t="shared" si="13"/>
        <v/>
      </c>
      <c r="F64" s="536"/>
      <c r="G64" s="537"/>
      <c r="H64" s="538"/>
      <c r="I64" s="539"/>
      <c r="J64" s="538"/>
      <c r="K64" s="539"/>
      <c r="L64" s="538"/>
      <c r="M64" s="540"/>
      <c r="N64" s="541"/>
      <c r="O64" s="541"/>
      <c r="P64" s="543"/>
      <c r="Q64" s="542"/>
      <c r="R64" s="541"/>
      <c r="S64" s="543"/>
      <c r="T64" s="611"/>
      <c r="U64" s="612"/>
      <c r="V64" s="544"/>
      <c r="W64" s="545"/>
      <c r="X64" s="546"/>
      <c r="Y64" s="547"/>
      <c r="Z64" s="548"/>
      <c r="AA64" s="548"/>
      <c r="AB64" s="549"/>
      <c r="AC64" s="548"/>
      <c r="AD64" s="553"/>
      <c r="AE64" s="552"/>
    </row>
    <row r="65" spans="2:31" ht="15.6" customHeight="1" thickTop="1">
      <c r="B65" s="634" t="s">
        <v>345</v>
      </c>
      <c r="C65" s="596" t="str">
        <f t="shared" si="12"/>
        <v/>
      </c>
      <c r="D65" s="597" t="s">
        <v>113</v>
      </c>
      <c r="E65" s="597" t="str">
        <f t="shared" si="13"/>
        <v/>
      </c>
      <c r="F65" s="484"/>
      <c r="G65" s="485"/>
      <c r="H65" s="486"/>
      <c r="I65" s="487"/>
      <c r="J65" s="486"/>
      <c r="K65" s="487"/>
      <c r="L65" s="486"/>
      <c r="M65" s="488"/>
      <c r="N65" s="489"/>
      <c r="O65" s="489"/>
      <c r="P65" s="491"/>
      <c r="Q65" s="490"/>
      <c r="R65" s="489"/>
      <c r="S65" s="491"/>
      <c r="T65" s="605"/>
      <c r="U65" s="606"/>
      <c r="V65" s="492"/>
      <c r="W65" s="493"/>
      <c r="X65" s="494"/>
      <c r="Y65" s="495"/>
      <c r="Z65" s="496"/>
      <c r="AA65" s="496"/>
      <c r="AB65" s="497"/>
      <c r="AC65" s="496"/>
      <c r="AD65" s="498"/>
      <c r="AE65" s="499"/>
    </row>
    <row r="66" spans="2:31" ht="15.6" customHeight="1">
      <c r="B66" s="635" t="s">
        <v>345</v>
      </c>
      <c r="C66" s="598" t="str">
        <f t="shared" si="12"/>
        <v/>
      </c>
      <c r="D66" s="599" t="s">
        <v>113</v>
      </c>
      <c r="E66" s="599" t="str">
        <f t="shared" si="13"/>
        <v/>
      </c>
      <c r="F66" s="500"/>
      <c r="G66" s="501"/>
      <c r="H66" s="502"/>
      <c r="I66" s="503"/>
      <c r="J66" s="502"/>
      <c r="K66" s="503"/>
      <c r="L66" s="502"/>
      <c r="M66" s="504"/>
      <c r="N66" s="505"/>
      <c r="O66" s="505"/>
      <c r="P66" s="507"/>
      <c r="Q66" s="506"/>
      <c r="R66" s="505"/>
      <c r="S66" s="507"/>
      <c r="T66" s="607"/>
      <c r="U66" s="608"/>
      <c r="V66" s="508"/>
      <c r="W66" s="509"/>
      <c r="X66" s="510"/>
      <c r="Y66" s="511"/>
      <c r="Z66" s="512"/>
      <c r="AA66" s="512"/>
      <c r="AB66" s="513"/>
      <c r="AC66" s="512"/>
      <c r="AD66" s="514"/>
      <c r="AE66" s="515"/>
    </row>
    <row r="67" spans="2:31" ht="15.6" customHeight="1">
      <c r="B67" s="635" t="s">
        <v>345</v>
      </c>
      <c r="C67" s="598" t="str">
        <f t="shared" si="12"/>
        <v/>
      </c>
      <c r="D67" s="599" t="s">
        <v>113</v>
      </c>
      <c r="E67" s="599" t="str">
        <f t="shared" si="13"/>
        <v/>
      </c>
      <c r="F67" s="500"/>
      <c r="G67" s="501"/>
      <c r="H67" s="502"/>
      <c r="I67" s="503"/>
      <c r="J67" s="502"/>
      <c r="K67" s="503"/>
      <c r="L67" s="502"/>
      <c r="M67" s="504"/>
      <c r="N67" s="505"/>
      <c r="O67" s="505"/>
      <c r="P67" s="507"/>
      <c r="Q67" s="506"/>
      <c r="R67" s="505"/>
      <c r="S67" s="507"/>
      <c r="T67" s="607"/>
      <c r="U67" s="608"/>
      <c r="V67" s="508"/>
      <c r="W67" s="509"/>
      <c r="X67" s="510"/>
      <c r="Y67" s="511"/>
      <c r="Z67" s="512"/>
      <c r="AA67" s="512"/>
      <c r="AB67" s="513"/>
      <c r="AC67" s="512"/>
      <c r="AD67" s="514"/>
      <c r="AE67" s="515"/>
    </row>
    <row r="68" spans="2:31" ht="15.6" customHeight="1">
      <c r="B68" s="635" t="s">
        <v>345</v>
      </c>
      <c r="C68" s="598" t="str">
        <f t="shared" si="12"/>
        <v/>
      </c>
      <c r="D68" s="599" t="s">
        <v>113</v>
      </c>
      <c r="E68" s="599" t="str">
        <f t="shared" si="13"/>
        <v/>
      </c>
      <c r="F68" s="500"/>
      <c r="G68" s="501"/>
      <c r="H68" s="502"/>
      <c r="I68" s="503"/>
      <c r="J68" s="502"/>
      <c r="K68" s="503"/>
      <c r="L68" s="502"/>
      <c r="M68" s="516"/>
      <c r="N68" s="505"/>
      <c r="O68" s="505"/>
      <c r="P68" s="507"/>
      <c r="Q68" s="506"/>
      <c r="R68" s="505"/>
      <c r="S68" s="507"/>
      <c r="T68" s="607"/>
      <c r="U68" s="608"/>
      <c r="V68" s="508"/>
      <c r="W68" s="509"/>
      <c r="X68" s="510"/>
      <c r="Y68" s="511"/>
      <c r="Z68" s="512"/>
      <c r="AA68" s="512"/>
      <c r="AB68" s="513"/>
      <c r="AC68" s="512"/>
      <c r="AD68" s="514"/>
      <c r="AE68" s="515"/>
    </row>
    <row r="69" spans="2:31" ht="15.6" customHeight="1">
      <c r="B69" s="635" t="s">
        <v>345</v>
      </c>
      <c r="C69" s="598" t="str">
        <f t="shared" si="12"/>
        <v/>
      </c>
      <c r="D69" s="599" t="s">
        <v>113</v>
      </c>
      <c r="E69" s="599" t="str">
        <f t="shared" si="13"/>
        <v/>
      </c>
      <c r="F69" s="500"/>
      <c r="G69" s="501"/>
      <c r="H69" s="502"/>
      <c r="I69" s="503"/>
      <c r="J69" s="502"/>
      <c r="K69" s="503"/>
      <c r="L69" s="502"/>
      <c r="M69" s="504"/>
      <c r="N69" s="505"/>
      <c r="O69" s="505"/>
      <c r="P69" s="507"/>
      <c r="Q69" s="506"/>
      <c r="R69" s="505"/>
      <c r="S69" s="507"/>
      <c r="T69" s="607"/>
      <c r="U69" s="608"/>
      <c r="V69" s="508"/>
      <c r="W69" s="509"/>
      <c r="X69" s="510"/>
      <c r="Y69" s="511"/>
      <c r="Z69" s="512"/>
      <c r="AA69" s="512"/>
      <c r="AB69" s="513"/>
      <c r="AC69" s="517"/>
      <c r="AD69" s="518"/>
      <c r="AE69" s="515"/>
    </row>
    <row r="70" spans="2:31" ht="15.6" customHeight="1">
      <c r="B70" s="635" t="s">
        <v>345</v>
      </c>
      <c r="C70" s="598" t="str">
        <f t="shared" si="12"/>
        <v/>
      </c>
      <c r="D70" s="599" t="s">
        <v>113</v>
      </c>
      <c r="E70" s="599" t="str">
        <f t="shared" si="13"/>
        <v/>
      </c>
      <c r="F70" s="500"/>
      <c r="G70" s="501"/>
      <c r="H70" s="502"/>
      <c r="I70" s="503"/>
      <c r="J70" s="502"/>
      <c r="K70" s="503"/>
      <c r="L70" s="502"/>
      <c r="M70" s="504"/>
      <c r="N70" s="505"/>
      <c r="O70" s="505"/>
      <c r="P70" s="507"/>
      <c r="Q70" s="506"/>
      <c r="R70" s="505"/>
      <c r="S70" s="507"/>
      <c r="T70" s="607"/>
      <c r="U70" s="608"/>
      <c r="V70" s="508"/>
      <c r="W70" s="509"/>
      <c r="X70" s="510"/>
      <c r="Y70" s="511"/>
      <c r="Z70" s="512"/>
      <c r="AA70" s="512"/>
      <c r="AB70" s="513"/>
      <c r="AC70" s="512"/>
      <c r="AD70" s="514"/>
      <c r="AE70" s="515"/>
    </row>
    <row r="71" spans="2:31" ht="15.6" customHeight="1">
      <c r="B71" s="635" t="s">
        <v>345</v>
      </c>
      <c r="C71" s="598" t="str">
        <f t="shared" si="12"/>
        <v/>
      </c>
      <c r="D71" s="599" t="s">
        <v>113</v>
      </c>
      <c r="E71" s="599" t="str">
        <f t="shared" si="13"/>
        <v/>
      </c>
      <c r="F71" s="500"/>
      <c r="G71" s="501"/>
      <c r="H71" s="502"/>
      <c r="I71" s="503"/>
      <c r="J71" s="502"/>
      <c r="K71" s="503"/>
      <c r="L71" s="502"/>
      <c r="M71" s="516"/>
      <c r="N71" s="505"/>
      <c r="O71" s="505"/>
      <c r="P71" s="507"/>
      <c r="Q71" s="506"/>
      <c r="R71" s="505"/>
      <c r="S71" s="507"/>
      <c r="T71" s="607"/>
      <c r="U71" s="608"/>
      <c r="V71" s="508"/>
      <c r="W71" s="509"/>
      <c r="X71" s="510"/>
      <c r="Y71" s="511"/>
      <c r="Z71" s="512"/>
      <c r="AA71" s="512"/>
      <c r="AB71" s="513"/>
      <c r="AC71" s="512"/>
      <c r="AD71" s="514"/>
      <c r="AE71" s="515"/>
    </row>
    <row r="72" spans="2:31" ht="15.6" customHeight="1" thickBot="1">
      <c r="B72" s="635" t="s">
        <v>345</v>
      </c>
      <c r="C72" s="598" t="str">
        <f t="shared" si="12"/>
        <v/>
      </c>
      <c r="D72" s="599" t="s">
        <v>113</v>
      </c>
      <c r="E72" s="599" t="str">
        <f t="shared" si="13"/>
        <v/>
      </c>
      <c r="F72" s="500"/>
      <c r="G72" s="501"/>
      <c r="H72" s="502"/>
      <c r="I72" s="503"/>
      <c r="J72" s="502"/>
      <c r="K72" s="503"/>
      <c r="L72" s="502"/>
      <c r="M72" s="504"/>
      <c r="N72" s="505"/>
      <c r="O72" s="505"/>
      <c r="P72" s="507"/>
      <c r="Q72" s="506"/>
      <c r="R72" s="505"/>
      <c r="S72" s="507"/>
      <c r="T72" s="607"/>
      <c r="U72" s="608"/>
      <c r="V72" s="508"/>
      <c r="W72" s="509"/>
      <c r="X72" s="510"/>
      <c r="Y72" s="511"/>
      <c r="Z72" s="512"/>
      <c r="AA72" s="512"/>
      <c r="AB72" s="513"/>
      <c r="AC72" s="517"/>
      <c r="AD72" s="518"/>
      <c r="AE72" s="515"/>
    </row>
    <row r="73" spans="2:31" ht="15.6" customHeight="1" thickTop="1">
      <c r="B73" s="636" t="s">
        <v>346</v>
      </c>
      <c r="C73" s="600" t="str">
        <f t="shared" si="12"/>
        <v/>
      </c>
      <c r="D73" s="601" t="s">
        <v>359</v>
      </c>
      <c r="E73" s="601" t="str">
        <f t="shared" si="13"/>
        <v/>
      </c>
      <c r="F73" s="519"/>
      <c r="G73" s="520"/>
      <c r="H73" s="521"/>
      <c r="I73" s="522"/>
      <c r="J73" s="521"/>
      <c r="K73" s="522"/>
      <c r="L73" s="521"/>
      <c r="M73" s="523"/>
      <c r="N73" s="524"/>
      <c r="O73" s="524"/>
      <c r="P73" s="526"/>
      <c r="Q73" s="525"/>
      <c r="R73" s="524"/>
      <c r="S73" s="526"/>
      <c r="T73" s="609"/>
      <c r="U73" s="610"/>
      <c r="V73" s="527"/>
      <c r="W73" s="528"/>
      <c r="X73" s="529"/>
      <c r="Y73" s="530"/>
      <c r="Z73" s="531"/>
      <c r="AA73" s="531"/>
      <c r="AB73" s="532"/>
      <c r="AC73" s="533"/>
      <c r="AD73" s="534"/>
      <c r="AE73" s="535"/>
    </row>
    <row r="74" spans="2:31" ht="15.6" customHeight="1">
      <c r="B74" s="637" t="s">
        <v>346</v>
      </c>
      <c r="C74" s="602" t="str">
        <f t="shared" si="12"/>
        <v/>
      </c>
      <c r="D74" s="603" t="s">
        <v>359</v>
      </c>
      <c r="E74" s="603" t="str">
        <f t="shared" si="13"/>
        <v/>
      </c>
      <c r="F74" s="536"/>
      <c r="G74" s="537"/>
      <c r="H74" s="538"/>
      <c r="I74" s="539"/>
      <c r="J74" s="538"/>
      <c r="K74" s="539"/>
      <c r="L74" s="538"/>
      <c r="M74" s="540"/>
      <c r="N74" s="541"/>
      <c r="O74" s="541"/>
      <c r="P74" s="543"/>
      <c r="Q74" s="542"/>
      <c r="R74" s="541"/>
      <c r="S74" s="543"/>
      <c r="T74" s="611"/>
      <c r="U74" s="612"/>
      <c r="V74" s="544"/>
      <c r="W74" s="545"/>
      <c r="X74" s="546"/>
      <c r="Y74" s="547"/>
      <c r="Z74" s="548"/>
      <c r="AA74" s="548"/>
      <c r="AB74" s="549"/>
      <c r="AC74" s="550"/>
      <c r="AD74" s="551"/>
      <c r="AE74" s="552"/>
    </row>
    <row r="75" spans="2:31" ht="15.6" customHeight="1">
      <c r="B75" s="637" t="s">
        <v>346</v>
      </c>
      <c r="C75" s="602" t="str">
        <f t="shared" si="12"/>
        <v/>
      </c>
      <c r="D75" s="603" t="s">
        <v>359</v>
      </c>
      <c r="E75" s="603" t="str">
        <f t="shared" si="13"/>
        <v/>
      </c>
      <c r="F75" s="536"/>
      <c r="G75" s="537"/>
      <c r="H75" s="538"/>
      <c r="I75" s="539"/>
      <c r="J75" s="538"/>
      <c r="K75" s="539"/>
      <c r="L75" s="538"/>
      <c r="M75" s="540"/>
      <c r="N75" s="541"/>
      <c r="O75" s="541"/>
      <c r="P75" s="543"/>
      <c r="Q75" s="542"/>
      <c r="R75" s="541"/>
      <c r="S75" s="543"/>
      <c r="T75" s="611"/>
      <c r="U75" s="612"/>
      <c r="V75" s="544"/>
      <c r="W75" s="545"/>
      <c r="X75" s="546"/>
      <c r="Y75" s="547"/>
      <c r="Z75" s="548"/>
      <c r="AA75" s="548"/>
      <c r="AB75" s="549"/>
      <c r="AC75" s="548"/>
      <c r="AD75" s="553"/>
      <c r="AE75" s="552"/>
    </row>
    <row r="76" spans="2:31" ht="15.6" customHeight="1">
      <c r="B76" s="637" t="s">
        <v>346</v>
      </c>
      <c r="C76" s="602" t="str">
        <f t="shared" si="12"/>
        <v/>
      </c>
      <c r="D76" s="603" t="s">
        <v>359</v>
      </c>
      <c r="E76" s="603" t="str">
        <f t="shared" si="13"/>
        <v/>
      </c>
      <c r="F76" s="536"/>
      <c r="G76" s="537"/>
      <c r="H76" s="538"/>
      <c r="I76" s="539"/>
      <c r="J76" s="538"/>
      <c r="K76" s="539"/>
      <c r="L76" s="538"/>
      <c r="M76" s="540"/>
      <c r="N76" s="541"/>
      <c r="O76" s="541"/>
      <c r="P76" s="543"/>
      <c r="Q76" s="542"/>
      <c r="R76" s="541"/>
      <c r="S76" s="543"/>
      <c r="T76" s="611"/>
      <c r="U76" s="612"/>
      <c r="V76" s="544"/>
      <c r="W76" s="545"/>
      <c r="X76" s="546"/>
      <c r="Y76" s="547"/>
      <c r="Z76" s="548"/>
      <c r="AA76" s="548"/>
      <c r="AB76" s="549"/>
      <c r="AC76" s="550"/>
      <c r="AD76" s="551"/>
      <c r="AE76" s="552"/>
    </row>
    <row r="77" spans="2:31" ht="15.6" customHeight="1">
      <c r="B77" s="637" t="s">
        <v>346</v>
      </c>
      <c r="C77" s="602" t="str">
        <f t="shared" si="12"/>
        <v/>
      </c>
      <c r="D77" s="603" t="s">
        <v>359</v>
      </c>
      <c r="E77" s="603" t="str">
        <f t="shared" si="13"/>
        <v/>
      </c>
      <c r="F77" s="536"/>
      <c r="G77" s="537"/>
      <c r="H77" s="538"/>
      <c r="I77" s="539"/>
      <c r="J77" s="538"/>
      <c r="K77" s="539"/>
      <c r="L77" s="538"/>
      <c r="M77" s="540"/>
      <c r="N77" s="541"/>
      <c r="O77" s="541"/>
      <c r="P77" s="543"/>
      <c r="Q77" s="542"/>
      <c r="R77" s="541"/>
      <c r="S77" s="543"/>
      <c r="T77" s="611"/>
      <c r="U77" s="612"/>
      <c r="V77" s="544"/>
      <c r="W77" s="545"/>
      <c r="X77" s="546"/>
      <c r="Y77" s="547"/>
      <c r="Z77" s="548"/>
      <c r="AA77" s="548"/>
      <c r="AB77" s="549"/>
      <c r="AC77" s="548"/>
      <c r="AD77" s="553"/>
      <c r="AE77" s="552"/>
    </row>
    <row r="78" spans="2:31" ht="15.6" customHeight="1">
      <c r="B78" s="637" t="s">
        <v>346</v>
      </c>
      <c r="C78" s="602" t="str">
        <f t="shared" si="12"/>
        <v/>
      </c>
      <c r="D78" s="603" t="s">
        <v>359</v>
      </c>
      <c r="E78" s="603" t="str">
        <f t="shared" si="13"/>
        <v/>
      </c>
      <c r="F78" s="536"/>
      <c r="G78" s="537"/>
      <c r="H78" s="538"/>
      <c r="I78" s="539"/>
      <c r="J78" s="538"/>
      <c r="K78" s="539"/>
      <c r="L78" s="538"/>
      <c r="M78" s="540"/>
      <c r="N78" s="554"/>
      <c r="O78" s="556"/>
      <c r="P78" s="557"/>
      <c r="Q78" s="555"/>
      <c r="R78" s="556"/>
      <c r="S78" s="557"/>
      <c r="T78" s="611"/>
      <c r="U78" s="612"/>
      <c r="V78" s="544"/>
      <c r="W78" s="545"/>
      <c r="X78" s="546"/>
      <c r="Y78" s="547"/>
      <c r="Z78" s="548"/>
      <c r="AA78" s="548"/>
      <c r="AB78" s="549"/>
      <c r="AC78" s="550"/>
      <c r="AD78" s="551"/>
      <c r="AE78" s="552"/>
    </row>
    <row r="79" spans="2:31" ht="15.6" customHeight="1">
      <c r="B79" s="637" t="s">
        <v>346</v>
      </c>
      <c r="C79" s="602" t="str">
        <f t="shared" si="12"/>
        <v/>
      </c>
      <c r="D79" s="603" t="s">
        <v>359</v>
      </c>
      <c r="E79" s="603" t="str">
        <f t="shared" si="13"/>
        <v/>
      </c>
      <c r="F79" s="536"/>
      <c r="G79" s="537"/>
      <c r="H79" s="538"/>
      <c r="I79" s="539"/>
      <c r="J79" s="538"/>
      <c r="K79" s="539"/>
      <c r="L79" s="538"/>
      <c r="M79" s="540"/>
      <c r="N79" s="554"/>
      <c r="O79" s="556"/>
      <c r="P79" s="557"/>
      <c r="Q79" s="555"/>
      <c r="R79" s="556"/>
      <c r="S79" s="557"/>
      <c r="T79" s="611"/>
      <c r="U79" s="612"/>
      <c r="V79" s="544"/>
      <c r="W79" s="545"/>
      <c r="X79" s="546"/>
      <c r="Y79" s="547"/>
      <c r="Z79" s="548"/>
      <c r="AA79" s="548"/>
      <c r="AB79" s="549"/>
      <c r="AC79" s="550"/>
      <c r="AD79" s="551"/>
      <c r="AE79" s="552"/>
    </row>
    <row r="80" spans="2:31" ht="15.6" customHeight="1" thickBot="1">
      <c r="B80" s="637" t="s">
        <v>346</v>
      </c>
      <c r="C80" s="602" t="str">
        <f t="shared" si="12"/>
        <v/>
      </c>
      <c r="D80" s="603" t="s">
        <v>359</v>
      </c>
      <c r="E80" s="603" t="str">
        <f t="shared" si="13"/>
        <v/>
      </c>
      <c r="F80" s="536"/>
      <c r="G80" s="537"/>
      <c r="H80" s="538"/>
      <c r="I80" s="539"/>
      <c r="J80" s="538"/>
      <c r="K80" s="539"/>
      <c r="L80" s="538"/>
      <c r="M80" s="540"/>
      <c r="N80" s="541"/>
      <c r="O80" s="541"/>
      <c r="P80" s="543"/>
      <c r="Q80" s="542"/>
      <c r="R80" s="541"/>
      <c r="S80" s="543"/>
      <c r="T80" s="611"/>
      <c r="U80" s="612"/>
      <c r="V80" s="544"/>
      <c r="W80" s="545"/>
      <c r="X80" s="546"/>
      <c r="Y80" s="547"/>
      <c r="Z80" s="548"/>
      <c r="AA80" s="548"/>
      <c r="AB80" s="549"/>
      <c r="AC80" s="548"/>
      <c r="AD80" s="553"/>
      <c r="AE80" s="552"/>
    </row>
    <row r="81" spans="2:31" ht="15.6" customHeight="1" thickTop="1">
      <c r="B81" s="634" t="s">
        <v>347</v>
      </c>
      <c r="C81" s="596" t="str">
        <f t="shared" si="12"/>
        <v xml:space="preserve">RYF </v>
      </c>
      <c r="D81" s="597" t="s">
        <v>360</v>
      </c>
      <c r="E81" s="597" t="str">
        <f t="shared" si="13"/>
        <v xml:space="preserve">GI RYF </v>
      </c>
      <c r="F81" s="484" t="s">
        <v>418</v>
      </c>
      <c r="G81" s="485">
        <v>1000</v>
      </c>
      <c r="H81" s="486">
        <v>55000</v>
      </c>
      <c r="I81" s="487">
        <v>12</v>
      </c>
      <c r="J81" s="486">
        <v>120</v>
      </c>
      <c r="K81" s="487"/>
      <c r="L81" s="486"/>
      <c r="M81" s="488">
        <v>6.9500000000000006E-2</v>
      </c>
      <c r="N81" s="489">
        <v>6.9500000000000006E-2</v>
      </c>
      <c r="O81" s="489"/>
      <c r="P81" s="491"/>
      <c r="Q81" s="490"/>
      <c r="R81" s="489"/>
      <c r="S81" s="491"/>
      <c r="T81" s="605">
        <v>0</v>
      </c>
      <c r="U81" s="606">
        <v>500</v>
      </c>
      <c r="V81" s="492"/>
      <c r="W81" s="493">
        <v>5</v>
      </c>
      <c r="X81" s="494" t="s">
        <v>178</v>
      </c>
      <c r="Y81" s="495"/>
      <c r="Z81" s="496"/>
      <c r="AA81" s="496">
        <v>1</v>
      </c>
      <c r="AB81" s="497"/>
      <c r="AC81" s="496"/>
      <c r="AD81" s="498"/>
      <c r="AE81" s="499"/>
    </row>
    <row r="82" spans="2:31" ht="15.6" customHeight="1">
      <c r="B82" s="635" t="s">
        <v>347</v>
      </c>
      <c r="C82" s="598" t="str">
        <f t="shared" si="12"/>
        <v/>
      </c>
      <c r="D82" s="599" t="s">
        <v>360</v>
      </c>
      <c r="E82" s="599" t="str">
        <f t="shared" si="13"/>
        <v/>
      </c>
      <c r="F82" s="500"/>
      <c r="G82" s="501"/>
      <c r="H82" s="502"/>
      <c r="I82" s="503"/>
      <c r="J82" s="502"/>
      <c r="K82" s="503"/>
      <c r="L82" s="502"/>
      <c r="M82" s="504"/>
      <c r="N82" s="505"/>
      <c r="O82" s="505"/>
      <c r="P82" s="507"/>
      <c r="Q82" s="506"/>
      <c r="R82" s="505"/>
      <c r="S82" s="507"/>
      <c r="T82" s="607"/>
      <c r="U82" s="608"/>
      <c r="V82" s="508"/>
      <c r="W82" s="509"/>
      <c r="X82" s="510"/>
      <c r="Y82" s="511"/>
      <c r="Z82" s="512"/>
      <c r="AA82" s="512"/>
      <c r="AB82" s="513"/>
      <c r="AC82" s="512"/>
      <c r="AD82" s="514"/>
      <c r="AE82" s="515"/>
    </row>
    <row r="83" spans="2:31" ht="15.6" customHeight="1">
      <c r="B83" s="635" t="s">
        <v>347</v>
      </c>
      <c r="C83" s="598" t="str">
        <f t="shared" si="12"/>
        <v/>
      </c>
      <c r="D83" s="599" t="s">
        <v>360</v>
      </c>
      <c r="E83" s="599" t="str">
        <f t="shared" si="13"/>
        <v/>
      </c>
      <c r="F83" s="500"/>
      <c r="G83" s="501"/>
      <c r="H83" s="502"/>
      <c r="I83" s="503"/>
      <c r="J83" s="502"/>
      <c r="K83" s="503"/>
      <c r="L83" s="502"/>
      <c r="M83" s="504"/>
      <c r="N83" s="505"/>
      <c r="O83" s="505"/>
      <c r="P83" s="507"/>
      <c r="Q83" s="506"/>
      <c r="R83" s="505"/>
      <c r="S83" s="507"/>
      <c r="T83" s="607"/>
      <c r="U83" s="608"/>
      <c r="V83" s="508"/>
      <c r="W83" s="509"/>
      <c r="X83" s="510"/>
      <c r="Y83" s="511"/>
      <c r="Z83" s="512"/>
      <c r="AA83" s="512"/>
      <c r="AB83" s="513"/>
      <c r="AC83" s="512"/>
      <c r="AD83" s="514"/>
      <c r="AE83" s="515"/>
    </row>
    <row r="84" spans="2:31" ht="15.6" customHeight="1">
      <c r="B84" s="635" t="s">
        <v>347</v>
      </c>
      <c r="C84" s="598" t="str">
        <f t="shared" si="12"/>
        <v/>
      </c>
      <c r="D84" s="599" t="s">
        <v>360</v>
      </c>
      <c r="E84" s="599" t="str">
        <f t="shared" si="13"/>
        <v/>
      </c>
      <c r="F84" s="500"/>
      <c r="G84" s="501"/>
      <c r="H84" s="502"/>
      <c r="I84" s="503"/>
      <c r="J84" s="502"/>
      <c r="K84" s="503"/>
      <c r="L84" s="502"/>
      <c r="M84" s="516"/>
      <c r="N84" s="505"/>
      <c r="O84" s="505"/>
      <c r="P84" s="507"/>
      <c r="Q84" s="506"/>
      <c r="R84" s="505"/>
      <c r="S84" s="507"/>
      <c r="T84" s="607"/>
      <c r="U84" s="608"/>
      <c r="V84" s="508"/>
      <c r="W84" s="509"/>
      <c r="X84" s="510"/>
      <c r="Y84" s="511"/>
      <c r="Z84" s="512"/>
      <c r="AA84" s="512"/>
      <c r="AB84" s="513"/>
      <c r="AC84" s="512"/>
      <c r="AD84" s="514"/>
      <c r="AE84" s="515"/>
    </row>
    <row r="85" spans="2:31" ht="15.6" customHeight="1">
      <c r="B85" s="635" t="s">
        <v>347</v>
      </c>
      <c r="C85" s="598" t="str">
        <f t="shared" si="12"/>
        <v/>
      </c>
      <c r="D85" s="599" t="s">
        <v>360</v>
      </c>
      <c r="E85" s="599" t="str">
        <f t="shared" si="13"/>
        <v/>
      </c>
      <c r="F85" s="500"/>
      <c r="G85" s="501"/>
      <c r="H85" s="502"/>
      <c r="I85" s="503"/>
      <c r="J85" s="502"/>
      <c r="K85" s="503"/>
      <c r="L85" s="502"/>
      <c r="M85" s="504"/>
      <c r="N85" s="505"/>
      <c r="O85" s="505"/>
      <c r="P85" s="507"/>
      <c r="Q85" s="506"/>
      <c r="R85" s="505"/>
      <c r="S85" s="507"/>
      <c r="T85" s="607"/>
      <c r="U85" s="608"/>
      <c r="V85" s="508"/>
      <c r="W85" s="509"/>
      <c r="X85" s="510"/>
      <c r="Y85" s="511"/>
      <c r="Z85" s="512"/>
      <c r="AA85" s="512"/>
      <c r="AB85" s="513"/>
      <c r="AC85" s="517"/>
      <c r="AD85" s="518"/>
      <c r="AE85" s="515"/>
    </row>
    <row r="86" spans="2:31" ht="15.6" customHeight="1">
      <c r="B86" s="635" t="s">
        <v>347</v>
      </c>
      <c r="C86" s="598" t="str">
        <f t="shared" si="12"/>
        <v/>
      </c>
      <c r="D86" s="599" t="s">
        <v>360</v>
      </c>
      <c r="E86" s="599" t="str">
        <f t="shared" si="13"/>
        <v/>
      </c>
      <c r="F86" s="500"/>
      <c r="G86" s="501"/>
      <c r="H86" s="502"/>
      <c r="I86" s="503"/>
      <c r="J86" s="502"/>
      <c r="K86" s="503"/>
      <c r="L86" s="502"/>
      <c r="M86" s="504"/>
      <c r="N86" s="505"/>
      <c r="O86" s="505"/>
      <c r="P86" s="507"/>
      <c r="Q86" s="506"/>
      <c r="R86" s="505"/>
      <c r="S86" s="507"/>
      <c r="T86" s="607"/>
      <c r="U86" s="608"/>
      <c r="V86" s="508"/>
      <c r="W86" s="509"/>
      <c r="X86" s="510"/>
      <c r="Y86" s="511"/>
      <c r="Z86" s="512"/>
      <c r="AA86" s="512"/>
      <c r="AB86" s="513"/>
      <c r="AC86" s="512"/>
      <c r="AD86" s="514"/>
      <c r="AE86" s="515"/>
    </row>
    <row r="87" spans="2:31" ht="15.6" customHeight="1">
      <c r="B87" s="635" t="s">
        <v>347</v>
      </c>
      <c r="C87" s="598" t="str">
        <f t="shared" si="12"/>
        <v/>
      </c>
      <c r="D87" s="599" t="s">
        <v>360</v>
      </c>
      <c r="E87" s="599" t="str">
        <f t="shared" si="13"/>
        <v/>
      </c>
      <c r="F87" s="500"/>
      <c r="G87" s="501"/>
      <c r="H87" s="502"/>
      <c r="I87" s="503"/>
      <c r="J87" s="502"/>
      <c r="K87" s="503"/>
      <c r="L87" s="502"/>
      <c r="M87" s="516"/>
      <c r="N87" s="505"/>
      <c r="O87" s="505"/>
      <c r="P87" s="507"/>
      <c r="Q87" s="506"/>
      <c r="R87" s="505"/>
      <c r="S87" s="507"/>
      <c r="T87" s="607"/>
      <c r="U87" s="608"/>
      <c r="V87" s="508"/>
      <c r="W87" s="509"/>
      <c r="X87" s="510"/>
      <c r="Y87" s="511"/>
      <c r="Z87" s="512"/>
      <c r="AA87" s="512"/>
      <c r="AB87" s="513"/>
      <c r="AC87" s="512"/>
      <c r="AD87" s="514"/>
      <c r="AE87" s="515"/>
    </row>
    <row r="88" spans="2:31" ht="15.6" customHeight="1" thickBot="1">
      <c r="B88" s="635" t="s">
        <v>347</v>
      </c>
      <c r="C88" s="598" t="str">
        <f t="shared" si="12"/>
        <v/>
      </c>
      <c r="D88" s="599" t="s">
        <v>360</v>
      </c>
      <c r="E88" s="599" t="str">
        <f t="shared" si="13"/>
        <v/>
      </c>
      <c r="F88" s="500"/>
      <c r="G88" s="501"/>
      <c r="H88" s="502"/>
      <c r="I88" s="503"/>
      <c r="J88" s="502"/>
      <c r="K88" s="503"/>
      <c r="L88" s="502"/>
      <c r="M88" s="504"/>
      <c r="N88" s="505"/>
      <c r="O88" s="505"/>
      <c r="P88" s="507"/>
      <c r="Q88" s="506"/>
      <c r="R88" s="505"/>
      <c r="S88" s="507"/>
      <c r="T88" s="607"/>
      <c r="U88" s="608"/>
      <c r="V88" s="508"/>
      <c r="W88" s="509"/>
      <c r="X88" s="510"/>
      <c r="Y88" s="511"/>
      <c r="Z88" s="512"/>
      <c r="AA88" s="512"/>
      <c r="AB88" s="513"/>
      <c r="AC88" s="517"/>
      <c r="AD88" s="518"/>
      <c r="AE88" s="515"/>
    </row>
    <row r="89" spans="2:31" ht="15.6" customHeight="1" thickTop="1">
      <c r="B89" s="636" t="s">
        <v>349</v>
      </c>
      <c r="C89" s="600" t="str">
        <f t="shared" si="12"/>
        <v>ZAL</v>
      </c>
      <c r="D89" s="601" t="s">
        <v>361</v>
      </c>
      <c r="E89" s="601" t="str">
        <f t="shared" si="13"/>
        <v>FA ZAL</v>
      </c>
      <c r="F89" s="519" t="s">
        <v>419</v>
      </c>
      <c r="G89" s="520">
        <v>2000</v>
      </c>
      <c r="H89" s="521">
        <v>50000</v>
      </c>
      <c r="I89" s="522">
        <v>6</v>
      </c>
      <c r="J89" s="521">
        <v>60</v>
      </c>
      <c r="K89" s="522"/>
      <c r="L89" s="521"/>
      <c r="M89" s="523">
        <v>6.9500000000000006E-2</v>
      </c>
      <c r="N89" s="524">
        <v>6.9500000000000006E-2</v>
      </c>
      <c r="O89" s="524"/>
      <c r="P89" s="526"/>
      <c r="Q89" s="525"/>
      <c r="R89" s="524"/>
      <c r="S89" s="526"/>
      <c r="T89" s="609">
        <v>0</v>
      </c>
      <c r="U89" s="610">
        <v>500</v>
      </c>
      <c r="V89" s="527"/>
      <c r="W89" s="528">
        <v>5</v>
      </c>
      <c r="X89" s="529" t="s">
        <v>178</v>
      </c>
      <c r="Y89" s="530"/>
      <c r="Z89" s="531"/>
      <c r="AA89" s="531">
        <v>1</v>
      </c>
      <c r="AB89" s="532"/>
      <c r="AC89" s="533"/>
      <c r="AD89" s="534"/>
      <c r="AE89" s="535"/>
    </row>
    <row r="90" spans="2:31" ht="15.6" customHeight="1">
      <c r="B90" s="637" t="s">
        <v>349</v>
      </c>
      <c r="C90" s="602" t="str">
        <f t="shared" ref="C90:C153" si="14">IF(F90="","",F90)</f>
        <v/>
      </c>
      <c r="D90" s="603" t="s">
        <v>361</v>
      </c>
      <c r="E90" s="603" t="str">
        <f t="shared" ref="E90:E112" si="15">IF(C90="","",CONCATENATE(D90," ",C90))</f>
        <v/>
      </c>
      <c r="F90" s="536"/>
      <c r="G90" s="537"/>
      <c r="H90" s="538"/>
      <c r="I90" s="539"/>
      <c r="J90" s="538"/>
      <c r="K90" s="539"/>
      <c r="L90" s="538"/>
      <c r="M90" s="540"/>
      <c r="N90" s="541"/>
      <c r="O90" s="541"/>
      <c r="P90" s="543"/>
      <c r="Q90" s="542"/>
      <c r="R90" s="541"/>
      <c r="S90" s="543"/>
      <c r="T90" s="611"/>
      <c r="U90" s="612"/>
      <c r="V90" s="544"/>
      <c r="W90" s="545"/>
      <c r="X90" s="546"/>
      <c r="Y90" s="547"/>
      <c r="Z90" s="548"/>
      <c r="AA90" s="548"/>
      <c r="AB90" s="549"/>
      <c r="AC90" s="550"/>
      <c r="AD90" s="551"/>
      <c r="AE90" s="552"/>
    </row>
    <row r="91" spans="2:31" ht="15.6" customHeight="1">
      <c r="B91" s="637" t="s">
        <v>349</v>
      </c>
      <c r="C91" s="602" t="str">
        <f t="shared" si="14"/>
        <v/>
      </c>
      <c r="D91" s="603" t="s">
        <v>361</v>
      </c>
      <c r="E91" s="603" t="str">
        <f t="shared" si="15"/>
        <v/>
      </c>
      <c r="F91" s="536"/>
      <c r="G91" s="537"/>
      <c r="H91" s="538"/>
      <c r="I91" s="539"/>
      <c r="J91" s="538"/>
      <c r="K91" s="539"/>
      <c r="L91" s="538"/>
      <c r="M91" s="540"/>
      <c r="N91" s="541"/>
      <c r="O91" s="541"/>
      <c r="P91" s="543"/>
      <c r="Q91" s="542"/>
      <c r="R91" s="541"/>
      <c r="S91" s="543"/>
      <c r="T91" s="611"/>
      <c r="U91" s="612"/>
      <c r="V91" s="544"/>
      <c r="W91" s="545"/>
      <c r="X91" s="546"/>
      <c r="Y91" s="547"/>
      <c r="Z91" s="548"/>
      <c r="AA91" s="548"/>
      <c r="AB91" s="549"/>
      <c r="AC91" s="548"/>
      <c r="AD91" s="553"/>
      <c r="AE91" s="552"/>
    </row>
    <row r="92" spans="2:31" ht="15.6" customHeight="1">
      <c r="B92" s="637" t="s">
        <v>349</v>
      </c>
      <c r="C92" s="602" t="str">
        <f t="shared" si="14"/>
        <v/>
      </c>
      <c r="D92" s="603" t="s">
        <v>361</v>
      </c>
      <c r="E92" s="603" t="str">
        <f t="shared" si="15"/>
        <v/>
      </c>
      <c r="F92" s="536"/>
      <c r="G92" s="537"/>
      <c r="H92" s="538"/>
      <c r="I92" s="539"/>
      <c r="J92" s="538"/>
      <c r="K92" s="539"/>
      <c r="L92" s="538"/>
      <c r="M92" s="540"/>
      <c r="N92" s="541"/>
      <c r="O92" s="541"/>
      <c r="P92" s="543"/>
      <c r="Q92" s="542"/>
      <c r="R92" s="541"/>
      <c r="S92" s="543"/>
      <c r="T92" s="611"/>
      <c r="U92" s="612"/>
      <c r="V92" s="544"/>
      <c r="W92" s="545"/>
      <c r="X92" s="546"/>
      <c r="Y92" s="547"/>
      <c r="Z92" s="548"/>
      <c r="AA92" s="548"/>
      <c r="AB92" s="549"/>
      <c r="AC92" s="550"/>
      <c r="AD92" s="551"/>
      <c r="AE92" s="552"/>
    </row>
    <row r="93" spans="2:31" ht="15.6" customHeight="1">
      <c r="B93" s="637" t="s">
        <v>349</v>
      </c>
      <c r="C93" s="602" t="str">
        <f t="shared" si="14"/>
        <v/>
      </c>
      <c r="D93" s="603" t="s">
        <v>361</v>
      </c>
      <c r="E93" s="603" t="str">
        <f t="shared" si="15"/>
        <v/>
      </c>
      <c r="F93" s="536"/>
      <c r="G93" s="537"/>
      <c r="H93" s="538"/>
      <c r="I93" s="539"/>
      <c r="J93" s="538"/>
      <c r="K93" s="539"/>
      <c r="L93" s="538"/>
      <c r="M93" s="540"/>
      <c r="N93" s="541"/>
      <c r="O93" s="541"/>
      <c r="P93" s="543"/>
      <c r="Q93" s="542"/>
      <c r="R93" s="541"/>
      <c r="S93" s="543"/>
      <c r="T93" s="611"/>
      <c r="U93" s="612"/>
      <c r="V93" s="544"/>
      <c r="W93" s="545"/>
      <c r="X93" s="546"/>
      <c r="Y93" s="547"/>
      <c r="Z93" s="548"/>
      <c r="AA93" s="548"/>
      <c r="AB93" s="549"/>
      <c r="AC93" s="548"/>
      <c r="AD93" s="553"/>
      <c r="AE93" s="552"/>
    </row>
    <row r="94" spans="2:31" ht="15.6" customHeight="1">
      <c r="B94" s="637" t="s">
        <v>349</v>
      </c>
      <c r="C94" s="602" t="str">
        <f t="shared" si="14"/>
        <v/>
      </c>
      <c r="D94" s="603" t="s">
        <v>361</v>
      </c>
      <c r="E94" s="603" t="str">
        <f t="shared" si="15"/>
        <v/>
      </c>
      <c r="F94" s="536"/>
      <c r="G94" s="537"/>
      <c r="H94" s="538"/>
      <c r="I94" s="539"/>
      <c r="J94" s="538"/>
      <c r="K94" s="539"/>
      <c r="L94" s="538"/>
      <c r="M94" s="540"/>
      <c r="N94" s="554"/>
      <c r="O94" s="556"/>
      <c r="P94" s="557"/>
      <c r="Q94" s="555"/>
      <c r="R94" s="556"/>
      <c r="S94" s="557"/>
      <c r="T94" s="611"/>
      <c r="U94" s="612"/>
      <c r="V94" s="544"/>
      <c r="W94" s="545"/>
      <c r="X94" s="546"/>
      <c r="Y94" s="547"/>
      <c r="Z94" s="548"/>
      <c r="AA94" s="548"/>
      <c r="AB94" s="549"/>
      <c r="AC94" s="550"/>
      <c r="AD94" s="551"/>
      <c r="AE94" s="552"/>
    </row>
    <row r="95" spans="2:31" ht="15.6" customHeight="1">
      <c r="B95" s="637" t="s">
        <v>349</v>
      </c>
      <c r="C95" s="602" t="str">
        <f t="shared" si="14"/>
        <v/>
      </c>
      <c r="D95" s="603" t="s">
        <v>361</v>
      </c>
      <c r="E95" s="603" t="str">
        <f t="shared" si="15"/>
        <v/>
      </c>
      <c r="F95" s="536"/>
      <c r="G95" s="537"/>
      <c r="H95" s="538"/>
      <c r="I95" s="539"/>
      <c r="J95" s="538"/>
      <c r="K95" s="539"/>
      <c r="L95" s="538"/>
      <c r="M95" s="540"/>
      <c r="N95" s="554"/>
      <c r="O95" s="556"/>
      <c r="P95" s="557"/>
      <c r="Q95" s="555"/>
      <c r="R95" s="556"/>
      <c r="S95" s="557"/>
      <c r="T95" s="611"/>
      <c r="U95" s="612"/>
      <c r="V95" s="544"/>
      <c r="W95" s="545"/>
      <c r="X95" s="546"/>
      <c r="Y95" s="547"/>
      <c r="Z95" s="548"/>
      <c r="AA95" s="548"/>
      <c r="AB95" s="549"/>
      <c r="AC95" s="550"/>
      <c r="AD95" s="551"/>
      <c r="AE95" s="552"/>
    </row>
    <row r="96" spans="2:31" ht="15.6" customHeight="1" thickBot="1">
      <c r="B96" s="637" t="s">
        <v>349</v>
      </c>
      <c r="C96" s="602" t="str">
        <f t="shared" si="14"/>
        <v/>
      </c>
      <c r="D96" s="603" t="s">
        <v>361</v>
      </c>
      <c r="E96" s="603" t="str">
        <f t="shared" si="15"/>
        <v/>
      </c>
      <c r="F96" s="536"/>
      <c r="G96" s="537"/>
      <c r="H96" s="538"/>
      <c r="I96" s="539"/>
      <c r="J96" s="538"/>
      <c r="K96" s="539"/>
      <c r="L96" s="538"/>
      <c r="M96" s="540"/>
      <c r="N96" s="541"/>
      <c r="O96" s="541"/>
      <c r="P96" s="543"/>
      <c r="Q96" s="542"/>
      <c r="R96" s="541"/>
      <c r="S96" s="543"/>
      <c r="T96" s="611"/>
      <c r="U96" s="612"/>
      <c r="V96" s="544"/>
      <c r="W96" s="545"/>
      <c r="X96" s="546"/>
      <c r="Y96" s="547"/>
      <c r="Z96" s="548"/>
      <c r="AA96" s="548"/>
      <c r="AB96" s="549"/>
      <c r="AC96" s="548"/>
      <c r="AD96" s="553"/>
      <c r="AE96" s="552"/>
    </row>
    <row r="97" spans="2:31" ht="15.6" customHeight="1" thickTop="1">
      <c r="B97" s="634" t="s">
        <v>350</v>
      </c>
      <c r="C97" s="596" t="str">
        <f t="shared" si="14"/>
        <v/>
      </c>
      <c r="D97" s="597" t="s">
        <v>362</v>
      </c>
      <c r="E97" s="597" t="str">
        <f t="shared" si="15"/>
        <v/>
      </c>
      <c r="F97" s="484"/>
      <c r="G97" s="485"/>
      <c r="H97" s="486"/>
      <c r="I97" s="487"/>
      <c r="J97" s="486"/>
      <c r="K97" s="487"/>
      <c r="L97" s="486"/>
      <c r="M97" s="488"/>
      <c r="N97" s="489"/>
      <c r="O97" s="489"/>
      <c r="P97" s="491"/>
      <c r="Q97" s="490"/>
      <c r="R97" s="489"/>
      <c r="S97" s="491"/>
      <c r="T97" s="605"/>
      <c r="U97" s="606"/>
      <c r="V97" s="492"/>
      <c r="W97" s="493"/>
      <c r="X97" s="494"/>
      <c r="Y97" s="495"/>
      <c r="Z97" s="496"/>
      <c r="AA97" s="496"/>
      <c r="AB97" s="497"/>
      <c r="AC97" s="496"/>
      <c r="AD97" s="498"/>
      <c r="AE97" s="499"/>
    </row>
    <row r="98" spans="2:31" ht="15.6" customHeight="1">
      <c r="B98" s="635" t="s">
        <v>350</v>
      </c>
      <c r="C98" s="598" t="str">
        <f t="shared" si="14"/>
        <v/>
      </c>
      <c r="D98" s="599" t="s">
        <v>362</v>
      </c>
      <c r="E98" s="599" t="str">
        <f t="shared" si="15"/>
        <v/>
      </c>
      <c r="F98" s="500"/>
      <c r="G98" s="501"/>
      <c r="H98" s="502"/>
      <c r="I98" s="503"/>
      <c r="J98" s="502"/>
      <c r="K98" s="503"/>
      <c r="L98" s="502"/>
      <c r="M98" s="504"/>
      <c r="N98" s="505"/>
      <c r="O98" s="505"/>
      <c r="P98" s="507"/>
      <c r="Q98" s="506"/>
      <c r="R98" s="505"/>
      <c r="S98" s="507"/>
      <c r="T98" s="607"/>
      <c r="U98" s="608"/>
      <c r="V98" s="508"/>
      <c r="W98" s="509"/>
      <c r="X98" s="510"/>
      <c r="Y98" s="511"/>
      <c r="Z98" s="512"/>
      <c r="AA98" s="512"/>
      <c r="AB98" s="513"/>
      <c r="AC98" s="512"/>
      <c r="AD98" s="514"/>
      <c r="AE98" s="515"/>
    </row>
    <row r="99" spans="2:31" ht="15.6" customHeight="1">
      <c r="B99" s="635" t="s">
        <v>350</v>
      </c>
      <c r="C99" s="598" t="str">
        <f t="shared" si="14"/>
        <v/>
      </c>
      <c r="D99" s="599" t="s">
        <v>362</v>
      </c>
      <c r="E99" s="599" t="str">
        <f t="shared" si="15"/>
        <v/>
      </c>
      <c r="F99" s="500"/>
      <c r="G99" s="501"/>
      <c r="H99" s="502"/>
      <c r="I99" s="503"/>
      <c r="J99" s="502"/>
      <c r="K99" s="503"/>
      <c r="L99" s="502"/>
      <c r="M99" s="504"/>
      <c r="N99" s="505"/>
      <c r="O99" s="505"/>
      <c r="P99" s="507"/>
      <c r="Q99" s="506"/>
      <c r="R99" s="505"/>
      <c r="S99" s="507"/>
      <c r="T99" s="607"/>
      <c r="U99" s="608"/>
      <c r="V99" s="508"/>
      <c r="W99" s="509"/>
      <c r="X99" s="510"/>
      <c r="Y99" s="511"/>
      <c r="Z99" s="512"/>
      <c r="AA99" s="512"/>
      <c r="AB99" s="513"/>
      <c r="AC99" s="512"/>
      <c r="AD99" s="514"/>
      <c r="AE99" s="515"/>
    </row>
    <row r="100" spans="2:31" ht="15.6" customHeight="1">
      <c r="B100" s="635" t="s">
        <v>350</v>
      </c>
      <c r="C100" s="598" t="str">
        <f t="shared" si="14"/>
        <v/>
      </c>
      <c r="D100" s="599" t="s">
        <v>362</v>
      </c>
      <c r="E100" s="599" t="str">
        <f t="shared" si="15"/>
        <v/>
      </c>
      <c r="F100" s="500"/>
      <c r="G100" s="501"/>
      <c r="H100" s="502"/>
      <c r="I100" s="503"/>
      <c r="J100" s="502"/>
      <c r="K100" s="503"/>
      <c r="L100" s="502"/>
      <c r="M100" s="516"/>
      <c r="N100" s="505"/>
      <c r="O100" s="505"/>
      <c r="P100" s="507"/>
      <c r="Q100" s="506"/>
      <c r="R100" s="505"/>
      <c r="S100" s="507"/>
      <c r="T100" s="607"/>
      <c r="U100" s="608"/>
      <c r="V100" s="508"/>
      <c r="W100" s="509"/>
      <c r="X100" s="510"/>
      <c r="Y100" s="511"/>
      <c r="Z100" s="512"/>
      <c r="AA100" s="512"/>
      <c r="AB100" s="513"/>
      <c r="AC100" s="512"/>
      <c r="AD100" s="514"/>
      <c r="AE100" s="515"/>
    </row>
    <row r="101" spans="2:31" ht="15.6" customHeight="1">
      <c r="B101" s="635" t="s">
        <v>350</v>
      </c>
      <c r="C101" s="598" t="str">
        <f t="shared" si="14"/>
        <v/>
      </c>
      <c r="D101" s="599" t="s">
        <v>362</v>
      </c>
      <c r="E101" s="599" t="str">
        <f t="shared" si="15"/>
        <v/>
      </c>
      <c r="F101" s="500"/>
      <c r="G101" s="501"/>
      <c r="H101" s="502"/>
      <c r="I101" s="503"/>
      <c r="J101" s="502"/>
      <c r="K101" s="503"/>
      <c r="L101" s="502"/>
      <c r="M101" s="504"/>
      <c r="N101" s="505"/>
      <c r="O101" s="505"/>
      <c r="P101" s="507"/>
      <c r="Q101" s="506"/>
      <c r="R101" s="505"/>
      <c r="S101" s="507"/>
      <c r="T101" s="607"/>
      <c r="U101" s="608"/>
      <c r="V101" s="508"/>
      <c r="W101" s="509"/>
      <c r="X101" s="510"/>
      <c r="Y101" s="511"/>
      <c r="Z101" s="512"/>
      <c r="AA101" s="512"/>
      <c r="AB101" s="513"/>
      <c r="AC101" s="517"/>
      <c r="AD101" s="518"/>
      <c r="AE101" s="515"/>
    </row>
    <row r="102" spans="2:31" ht="15.6" customHeight="1">
      <c r="B102" s="635" t="s">
        <v>350</v>
      </c>
      <c r="C102" s="598" t="str">
        <f t="shared" si="14"/>
        <v/>
      </c>
      <c r="D102" s="599" t="s">
        <v>362</v>
      </c>
      <c r="E102" s="599" t="str">
        <f t="shared" si="15"/>
        <v/>
      </c>
      <c r="F102" s="500"/>
      <c r="G102" s="501"/>
      <c r="H102" s="502"/>
      <c r="I102" s="503"/>
      <c r="J102" s="502"/>
      <c r="K102" s="503"/>
      <c r="L102" s="502"/>
      <c r="M102" s="504"/>
      <c r="N102" s="505"/>
      <c r="O102" s="505"/>
      <c r="P102" s="507"/>
      <c r="Q102" s="506"/>
      <c r="R102" s="505"/>
      <c r="S102" s="507"/>
      <c r="T102" s="607"/>
      <c r="U102" s="608"/>
      <c r="V102" s="508"/>
      <c r="W102" s="509"/>
      <c r="X102" s="510"/>
      <c r="Y102" s="511"/>
      <c r="Z102" s="512"/>
      <c r="AA102" s="512"/>
      <c r="AB102" s="513"/>
      <c r="AC102" s="512"/>
      <c r="AD102" s="514"/>
      <c r="AE102" s="515"/>
    </row>
    <row r="103" spans="2:31" ht="15.6" customHeight="1">
      <c r="B103" s="635" t="s">
        <v>350</v>
      </c>
      <c r="C103" s="598" t="str">
        <f t="shared" si="14"/>
        <v/>
      </c>
      <c r="D103" s="599" t="s">
        <v>362</v>
      </c>
      <c r="E103" s="599" t="str">
        <f t="shared" si="15"/>
        <v/>
      </c>
      <c r="F103" s="500"/>
      <c r="G103" s="501"/>
      <c r="H103" s="502"/>
      <c r="I103" s="503"/>
      <c r="J103" s="502"/>
      <c r="K103" s="503"/>
      <c r="L103" s="502"/>
      <c r="M103" s="516"/>
      <c r="N103" s="505"/>
      <c r="O103" s="505"/>
      <c r="P103" s="507"/>
      <c r="Q103" s="506"/>
      <c r="R103" s="505"/>
      <c r="S103" s="507"/>
      <c r="T103" s="607"/>
      <c r="U103" s="608"/>
      <c r="V103" s="508"/>
      <c r="W103" s="509"/>
      <c r="X103" s="510"/>
      <c r="Y103" s="511"/>
      <c r="Z103" s="512"/>
      <c r="AA103" s="512"/>
      <c r="AB103" s="513"/>
      <c r="AC103" s="512"/>
      <c r="AD103" s="514"/>
      <c r="AE103" s="515"/>
    </row>
    <row r="104" spans="2:31" ht="15.6" customHeight="1" thickBot="1">
      <c r="B104" s="635" t="s">
        <v>350</v>
      </c>
      <c r="C104" s="598" t="str">
        <f t="shared" si="14"/>
        <v/>
      </c>
      <c r="D104" s="599" t="s">
        <v>362</v>
      </c>
      <c r="E104" s="599" t="str">
        <f t="shared" si="15"/>
        <v/>
      </c>
      <c r="F104" s="500"/>
      <c r="G104" s="501"/>
      <c r="H104" s="502"/>
      <c r="I104" s="503"/>
      <c r="J104" s="502"/>
      <c r="K104" s="503"/>
      <c r="L104" s="502"/>
      <c r="M104" s="504"/>
      <c r="N104" s="505"/>
      <c r="O104" s="505"/>
      <c r="P104" s="507"/>
      <c r="Q104" s="506"/>
      <c r="R104" s="505"/>
      <c r="S104" s="507"/>
      <c r="T104" s="607"/>
      <c r="U104" s="608"/>
      <c r="V104" s="508"/>
      <c r="W104" s="509"/>
      <c r="X104" s="510"/>
      <c r="Y104" s="511"/>
      <c r="Z104" s="512"/>
      <c r="AA104" s="512"/>
      <c r="AB104" s="513"/>
      <c r="AC104" s="517"/>
      <c r="AD104" s="518"/>
      <c r="AE104" s="515"/>
    </row>
    <row r="105" spans="2:31" ht="15.6" customHeight="1" thickTop="1">
      <c r="B105" s="636" t="s">
        <v>352</v>
      </c>
      <c r="C105" s="600" t="str">
        <f t="shared" si="14"/>
        <v/>
      </c>
      <c r="D105" s="601" t="s">
        <v>363</v>
      </c>
      <c r="E105" s="601" t="str">
        <f t="shared" si="15"/>
        <v/>
      </c>
      <c r="F105" s="519"/>
      <c r="G105" s="520"/>
      <c r="H105" s="521"/>
      <c r="I105" s="522"/>
      <c r="J105" s="521"/>
      <c r="K105" s="522"/>
      <c r="L105" s="521"/>
      <c r="M105" s="523"/>
      <c r="N105" s="524"/>
      <c r="O105" s="524"/>
      <c r="P105" s="526"/>
      <c r="Q105" s="525"/>
      <c r="R105" s="524"/>
      <c r="S105" s="526"/>
      <c r="T105" s="609"/>
      <c r="U105" s="610"/>
      <c r="V105" s="527"/>
      <c r="W105" s="528"/>
      <c r="X105" s="529"/>
      <c r="Y105" s="530"/>
      <c r="Z105" s="531"/>
      <c r="AA105" s="531"/>
      <c r="AB105" s="532"/>
      <c r="AC105" s="533"/>
      <c r="AD105" s="534"/>
      <c r="AE105" s="535"/>
    </row>
    <row r="106" spans="2:31" ht="15.6" customHeight="1">
      <c r="B106" s="637" t="s">
        <v>352</v>
      </c>
      <c r="C106" s="602" t="str">
        <f t="shared" si="14"/>
        <v/>
      </c>
      <c r="D106" s="603" t="s">
        <v>363</v>
      </c>
      <c r="E106" s="603" t="str">
        <f t="shared" si="15"/>
        <v/>
      </c>
      <c r="F106" s="536"/>
      <c r="G106" s="537"/>
      <c r="H106" s="538"/>
      <c r="I106" s="539"/>
      <c r="J106" s="538"/>
      <c r="K106" s="539"/>
      <c r="L106" s="538"/>
      <c r="M106" s="540"/>
      <c r="N106" s="541"/>
      <c r="O106" s="541"/>
      <c r="P106" s="543"/>
      <c r="Q106" s="542"/>
      <c r="R106" s="541"/>
      <c r="S106" s="543"/>
      <c r="T106" s="611"/>
      <c r="U106" s="612"/>
      <c r="V106" s="544"/>
      <c r="W106" s="545"/>
      <c r="X106" s="546"/>
      <c r="Y106" s="547"/>
      <c r="Z106" s="548"/>
      <c r="AA106" s="548"/>
      <c r="AB106" s="549"/>
      <c r="AC106" s="550"/>
      <c r="AD106" s="551"/>
      <c r="AE106" s="552"/>
    </row>
    <row r="107" spans="2:31" ht="15.6" customHeight="1">
      <c r="B107" s="637" t="s">
        <v>352</v>
      </c>
      <c r="C107" s="602" t="str">
        <f t="shared" si="14"/>
        <v/>
      </c>
      <c r="D107" s="603" t="s">
        <v>363</v>
      </c>
      <c r="E107" s="603" t="str">
        <f t="shared" si="15"/>
        <v/>
      </c>
      <c r="F107" s="536"/>
      <c r="G107" s="537"/>
      <c r="H107" s="538"/>
      <c r="I107" s="539"/>
      <c r="J107" s="538"/>
      <c r="K107" s="539"/>
      <c r="L107" s="538"/>
      <c r="M107" s="540"/>
      <c r="N107" s="541"/>
      <c r="O107" s="541"/>
      <c r="P107" s="543"/>
      <c r="Q107" s="542"/>
      <c r="R107" s="541"/>
      <c r="S107" s="543"/>
      <c r="T107" s="611"/>
      <c r="U107" s="612"/>
      <c r="V107" s="544"/>
      <c r="W107" s="545"/>
      <c r="X107" s="546"/>
      <c r="Y107" s="547"/>
      <c r="Z107" s="548"/>
      <c r="AA107" s="548"/>
      <c r="AB107" s="549"/>
      <c r="AC107" s="548"/>
      <c r="AD107" s="553"/>
      <c r="AE107" s="552"/>
    </row>
    <row r="108" spans="2:31" ht="15.6" customHeight="1">
      <c r="B108" s="637" t="s">
        <v>352</v>
      </c>
      <c r="C108" s="602" t="str">
        <f t="shared" si="14"/>
        <v/>
      </c>
      <c r="D108" s="603" t="s">
        <v>363</v>
      </c>
      <c r="E108" s="603" t="str">
        <f t="shared" si="15"/>
        <v/>
      </c>
      <c r="F108" s="536"/>
      <c r="G108" s="537"/>
      <c r="H108" s="538"/>
      <c r="I108" s="539"/>
      <c r="J108" s="538"/>
      <c r="K108" s="539"/>
      <c r="L108" s="538"/>
      <c r="M108" s="540"/>
      <c r="N108" s="541"/>
      <c r="O108" s="541"/>
      <c r="P108" s="543"/>
      <c r="Q108" s="542"/>
      <c r="R108" s="541"/>
      <c r="S108" s="543"/>
      <c r="T108" s="611"/>
      <c r="U108" s="612"/>
      <c r="V108" s="544"/>
      <c r="W108" s="545"/>
      <c r="X108" s="546"/>
      <c r="Y108" s="547"/>
      <c r="Z108" s="548"/>
      <c r="AA108" s="548"/>
      <c r="AB108" s="549"/>
      <c r="AC108" s="550"/>
      <c r="AD108" s="551"/>
      <c r="AE108" s="552"/>
    </row>
    <row r="109" spans="2:31" ht="15.6" customHeight="1">
      <c r="B109" s="637" t="s">
        <v>352</v>
      </c>
      <c r="C109" s="602" t="str">
        <f t="shared" si="14"/>
        <v/>
      </c>
      <c r="D109" s="603" t="s">
        <v>363</v>
      </c>
      <c r="E109" s="603" t="str">
        <f t="shared" si="15"/>
        <v/>
      </c>
      <c r="F109" s="536"/>
      <c r="G109" s="537"/>
      <c r="H109" s="538"/>
      <c r="I109" s="539"/>
      <c r="J109" s="538"/>
      <c r="K109" s="539"/>
      <c r="L109" s="538"/>
      <c r="M109" s="540"/>
      <c r="N109" s="541"/>
      <c r="O109" s="541"/>
      <c r="P109" s="543"/>
      <c r="Q109" s="542"/>
      <c r="R109" s="541"/>
      <c r="S109" s="543"/>
      <c r="T109" s="611"/>
      <c r="U109" s="612"/>
      <c r="V109" s="544"/>
      <c r="W109" s="545"/>
      <c r="X109" s="546"/>
      <c r="Y109" s="547"/>
      <c r="Z109" s="548"/>
      <c r="AA109" s="548"/>
      <c r="AB109" s="549"/>
      <c r="AC109" s="548"/>
      <c r="AD109" s="553"/>
      <c r="AE109" s="552"/>
    </row>
    <row r="110" spans="2:31" ht="15.6" customHeight="1">
      <c r="B110" s="637" t="s">
        <v>352</v>
      </c>
      <c r="C110" s="602" t="str">
        <f t="shared" si="14"/>
        <v/>
      </c>
      <c r="D110" s="603" t="s">
        <v>363</v>
      </c>
      <c r="E110" s="603" t="str">
        <f t="shared" si="15"/>
        <v/>
      </c>
      <c r="F110" s="536"/>
      <c r="G110" s="537"/>
      <c r="H110" s="538"/>
      <c r="I110" s="539"/>
      <c r="J110" s="538"/>
      <c r="K110" s="539"/>
      <c r="L110" s="538"/>
      <c r="M110" s="540"/>
      <c r="N110" s="554"/>
      <c r="O110" s="556"/>
      <c r="P110" s="557"/>
      <c r="Q110" s="555"/>
      <c r="R110" s="556"/>
      <c r="S110" s="557"/>
      <c r="T110" s="611"/>
      <c r="U110" s="612"/>
      <c r="V110" s="544"/>
      <c r="W110" s="545"/>
      <c r="X110" s="546"/>
      <c r="Y110" s="547"/>
      <c r="Z110" s="548"/>
      <c r="AA110" s="548"/>
      <c r="AB110" s="549"/>
      <c r="AC110" s="550"/>
      <c r="AD110" s="551"/>
      <c r="AE110" s="552"/>
    </row>
    <row r="111" spans="2:31" ht="15.6" customHeight="1">
      <c r="B111" s="637" t="s">
        <v>352</v>
      </c>
      <c r="C111" s="602" t="str">
        <f t="shared" si="14"/>
        <v/>
      </c>
      <c r="D111" s="603" t="s">
        <v>363</v>
      </c>
      <c r="E111" s="603" t="str">
        <f t="shared" si="15"/>
        <v/>
      </c>
      <c r="F111" s="536"/>
      <c r="G111" s="537"/>
      <c r="H111" s="538"/>
      <c r="I111" s="539"/>
      <c r="J111" s="538"/>
      <c r="K111" s="539"/>
      <c r="L111" s="538"/>
      <c r="M111" s="540"/>
      <c r="N111" s="554"/>
      <c r="O111" s="556"/>
      <c r="P111" s="557"/>
      <c r="Q111" s="555"/>
      <c r="R111" s="556"/>
      <c r="S111" s="557"/>
      <c r="T111" s="611"/>
      <c r="U111" s="612"/>
      <c r="V111" s="544"/>
      <c r="W111" s="545"/>
      <c r="X111" s="546"/>
      <c r="Y111" s="547"/>
      <c r="Z111" s="548"/>
      <c r="AA111" s="548"/>
      <c r="AB111" s="549"/>
      <c r="AC111" s="550"/>
      <c r="AD111" s="551"/>
      <c r="AE111" s="552"/>
    </row>
    <row r="112" spans="2:31" ht="15.6" customHeight="1" thickBot="1">
      <c r="B112" s="637" t="s">
        <v>352</v>
      </c>
      <c r="C112" s="602" t="str">
        <f t="shared" si="14"/>
        <v/>
      </c>
      <c r="D112" s="603" t="s">
        <v>363</v>
      </c>
      <c r="E112" s="603" t="str">
        <f t="shared" si="15"/>
        <v/>
      </c>
      <c r="F112" s="536"/>
      <c r="G112" s="537"/>
      <c r="H112" s="538"/>
      <c r="I112" s="539"/>
      <c r="J112" s="538"/>
      <c r="K112" s="539"/>
      <c r="L112" s="538"/>
      <c r="M112" s="540"/>
      <c r="N112" s="541"/>
      <c r="O112" s="541"/>
      <c r="P112" s="543"/>
      <c r="Q112" s="542"/>
      <c r="R112" s="541"/>
      <c r="S112" s="543"/>
      <c r="T112" s="611"/>
      <c r="U112" s="612"/>
      <c r="V112" s="544"/>
      <c r="W112" s="545"/>
      <c r="X112" s="546"/>
      <c r="Y112" s="547"/>
      <c r="Z112" s="548"/>
      <c r="AA112" s="548"/>
      <c r="AB112" s="549"/>
      <c r="AC112" s="548"/>
      <c r="AD112" s="553"/>
      <c r="AE112" s="552"/>
    </row>
    <row r="113" spans="2:31" ht="15.6" customHeight="1" thickTop="1">
      <c r="B113" s="634" t="s">
        <v>353</v>
      </c>
      <c r="C113" s="596" t="str">
        <f t="shared" si="14"/>
        <v/>
      </c>
      <c r="D113" s="597" t="s">
        <v>72</v>
      </c>
      <c r="E113" s="597" t="str">
        <f>IF(C113="","",CONCATENATE(D113," ",C113))</f>
        <v/>
      </c>
      <c r="F113" s="484"/>
      <c r="G113" s="485"/>
      <c r="H113" s="486"/>
      <c r="I113" s="487"/>
      <c r="J113" s="486"/>
      <c r="K113" s="487"/>
      <c r="L113" s="486"/>
      <c r="M113" s="488"/>
      <c r="N113" s="489"/>
      <c r="O113" s="489"/>
      <c r="P113" s="491"/>
      <c r="Q113" s="490"/>
      <c r="R113" s="489"/>
      <c r="S113" s="491"/>
      <c r="T113" s="605"/>
      <c r="U113" s="606"/>
      <c r="V113" s="492"/>
      <c r="W113" s="493"/>
      <c r="X113" s="494"/>
      <c r="Y113" s="495"/>
      <c r="Z113" s="496"/>
      <c r="AA113" s="496"/>
      <c r="AB113" s="497"/>
      <c r="AC113" s="496"/>
      <c r="AD113" s="498"/>
      <c r="AE113" s="499"/>
    </row>
    <row r="114" spans="2:31" ht="15.6" customHeight="1">
      <c r="B114" s="635" t="s">
        <v>353</v>
      </c>
      <c r="C114" s="598" t="str">
        <f t="shared" si="14"/>
        <v/>
      </c>
      <c r="D114" s="599" t="s">
        <v>72</v>
      </c>
      <c r="E114" s="599" t="str">
        <f t="shared" ref="E114:E152" si="16">IF(C114="","",CONCATENATE(D114," ",C114))</f>
        <v/>
      </c>
      <c r="F114" s="500"/>
      <c r="G114" s="501"/>
      <c r="H114" s="502"/>
      <c r="I114" s="503"/>
      <c r="J114" s="502"/>
      <c r="K114" s="503"/>
      <c r="L114" s="502"/>
      <c r="M114" s="504"/>
      <c r="N114" s="505"/>
      <c r="O114" s="505"/>
      <c r="P114" s="507"/>
      <c r="Q114" s="506"/>
      <c r="R114" s="505"/>
      <c r="S114" s="507"/>
      <c r="T114" s="607"/>
      <c r="U114" s="608"/>
      <c r="V114" s="508"/>
      <c r="W114" s="509"/>
      <c r="X114" s="510"/>
      <c r="Y114" s="511"/>
      <c r="Z114" s="512"/>
      <c r="AA114" s="512"/>
      <c r="AB114" s="513"/>
      <c r="AC114" s="512"/>
      <c r="AD114" s="514"/>
      <c r="AE114" s="515"/>
    </row>
    <row r="115" spans="2:31" ht="15.6" customHeight="1">
      <c r="B115" s="635" t="s">
        <v>353</v>
      </c>
      <c r="C115" s="598" t="str">
        <f t="shared" si="14"/>
        <v/>
      </c>
      <c r="D115" s="599" t="s">
        <v>72</v>
      </c>
      <c r="E115" s="599" t="str">
        <f t="shared" si="16"/>
        <v/>
      </c>
      <c r="F115" s="500"/>
      <c r="G115" s="501"/>
      <c r="H115" s="502"/>
      <c r="I115" s="503"/>
      <c r="J115" s="502"/>
      <c r="K115" s="503"/>
      <c r="L115" s="502"/>
      <c r="M115" s="504"/>
      <c r="N115" s="505"/>
      <c r="O115" s="505"/>
      <c r="P115" s="507"/>
      <c r="Q115" s="506"/>
      <c r="R115" s="505"/>
      <c r="S115" s="507"/>
      <c r="T115" s="607"/>
      <c r="U115" s="608"/>
      <c r="V115" s="508"/>
      <c r="W115" s="509"/>
      <c r="X115" s="510"/>
      <c r="Y115" s="511"/>
      <c r="Z115" s="512"/>
      <c r="AA115" s="512"/>
      <c r="AB115" s="513"/>
      <c r="AC115" s="512"/>
      <c r="AD115" s="514"/>
      <c r="AE115" s="515"/>
    </row>
    <row r="116" spans="2:31" ht="15.6" customHeight="1">
      <c r="B116" s="635" t="s">
        <v>353</v>
      </c>
      <c r="C116" s="598" t="str">
        <f t="shared" si="14"/>
        <v/>
      </c>
      <c r="D116" s="599" t="s">
        <v>72</v>
      </c>
      <c r="E116" s="599" t="str">
        <f t="shared" si="16"/>
        <v/>
      </c>
      <c r="F116" s="500"/>
      <c r="G116" s="501"/>
      <c r="H116" s="502"/>
      <c r="I116" s="503"/>
      <c r="J116" s="502"/>
      <c r="K116" s="503"/>
      <c r="L116" s="502"/>
      <c r="M116" s="516"/>
      <c r="N116" s="505"/>
      <c r="O116" s="505"/>
      <c r="P116" s="507"/>
      <c r="Q116" s="506"/>
      <c r="R116" s="505"/>
      <c r="S116" s="507"/>
      <c r="T116" s="607"/>
      <c r="U116" s="608"/>
      <c r="V116" s="508"/>
      <c r="W116" s="509"/>
      <c r="X116" s="510"/>
      <c r="Y116" s="511"/>
      <c r="Z116" s="512"/>
      <c r="AA116" s="512"/>
      <c r="AB116" s="513"/>
      <c r="AC116" s="512"/>
      <c r="AD116" s="514"/>
      <c r="AE116" s="515"/>
    </row>
    <row r="117" spans="2:31" ht="15.6" customHeight="1">
      <c r="B117" s="635" t="s">
        <v>353</v>
      </c>
      <c r="C117" s="598" t="str">
        <f t="shared" si="14"/>
        <v/>
      </c>
      <c r="D117" s="599" t="s">
        <v>72</v>
      </c>
      <c r="E117" s="599" t="str">
        <f t="shared" si="16"/>
        <v/>
      </c>
      <c r="F117" s="500"/>
      <c r="G117" s="501"/>
      <c r="H117" s="502"/>
      <c r="I117" s="503"/>
      <c r="J117" s="502"/>
      <c r="K117" s="503"/>
      <c r="L117" s="502"/>
      <c r="M117" s="504"/>
      <c r="N117" s="505"/>
      <c r="O117" s="505"/>
      <c r="P117" s="507"/>
      <c r="Q117" s="506"/>
      <c r="R117" s="505"/>
      <c r="S117" s="507"/>
      <c r="T117" s="607"/>
      <c r="U117" s="608"/>
      <c r="V117" s="508"/>
      <c r="W117" s="509"/>
      <c r="X117" s="510"/>
      <c r="Y117" s="511"/>
      <c r="Z117" s="512"/>
      <c r="AA117" s="512"/>
      <c r="AB117" s="513"/>
      <c r="AC117" s="517"/>
      <c r="AD117" s="518"/>
      <c r="AE117" s="515"/>
    </row>
    <row r="118" spans="2:31" ht="15.6" customHeight="1">
      <c r="B118" s="635" t="s">
        <v>353</v>
      </c>
      <c r="C118" s="598" t="str">
        <f t="shared" si="14"/>
        <v/>
      </c>
      <c r="D118" s="599" t="s">
        <v>72</v>
      </c>
      <c r="E118" s="599" t="str">
        <f t="shared" si="16"/>
        <v/>
      </c>
      <c r="F118" s="500"/>
      <c r="G118" s="501"/>
      <c r="H118" s="502"/>
      <c r="I118" s="503"/>
      <c r="J118" s="502"/>
      <c r="K118" s="503"/>
      <c r="L118" s="502"/>
      <c r="M118" s="504"/>
      <c r="N118" s="505"/>
      <c r="O118" s="505"/>
      <c r="P118" s="507"/>
      <c r="Q118" s="506"/>
      <c r="R118" s="505"/>
      <c r="S118" s="507"/>
      <c r="T118" s="607"/>
      <c r="U118" s="608"/>
      <c r="V118" s="508"/>
      <c r="W118" s="509"/>
      <c r="X118" s="510"/>
      <c r="Y118" s="511"/>
      <c r="Z118" s="512"/>
      <c r="AA118" s="512"/>
      <c r="AB118" s="513"/>
      <c r="AC118" s="512"/>
      <c r="AD118" s="514"/>
      <c r="AE118" s="515"/>
    </row>
    <row r="119" spans="2:31" ht="15.6" customHeight="1">
      <c r="B119" s="635" t="s">
        <v>353</v>
      </c>
      <c r="C119" s="598" t="str">
        <f t="shared" si="14"/>
        <v/>
      </c>
      <c r="D119" s="599" t="s">
        <v>72</v>
      </c>
      <c r="E119" s="599" t="str">
        <f t="shared" si="16"/>
        <v/>
      </c>
      <c r="F119" s="500"/>
      <c r="G119" s="501"/>
      <c r="H119" s="502"/>
      <c r="I119" s="503"/>
      <c r="J119" s="502"/>
      <c r="K119" s="503"/>
      <c r="L119" s="502"/>
      <c r="M119" s="516"/>
      <c r="N119" s="505"/>
      <c r="O119" s="505"/>
      <c r="P119" s="507"/>
      <c r="Q119" s="506"/>
      <c r="R119" s="505"/>
      <c r="S119" s="507"/>
      <c r="T119" s="607"/>
      <c r="U119" s="608"/>
      <c r="V119" s="508"/>
      <c r="W119" s="509"/>
      <c r="X119" s="510"/>
      <c r="Y119" s="511"/>
      <c r="Z119" s="512"/>
      <c r="AA119" s="512"/>
      <c r="AB119" s="513"/>
      <c r="AC119" s="512"/>
      <c r="AD119" s="514"/>
      <c r="AE119" s="515"/>
    </row>
    <row r="120" spans="2:31" ht="15.6" customHeight="1" thickBot="1">
      <c r="B120" s="635" t="s">
        <v>353</v>
      </c>
      <c r="C120" s="598" t="str">
        <f t="shared" si="14"/>
        <v/>
      </c>
      <c r="D120" s="599" t="s">
        <v>72</v>
      </c>
      <c r="E120" s="599" t="str">
        <f t="shared" si="16"/>
        <v/>
      </c>
      <c r="F120" s="500"/>
      <c r="G120" s="501"/>
      <c r="H120" s="502"/>
      <c r="I120" s="503"/>
      <c r="J120" s="502"/>
      <c r="K120" s="503"/>
      <c r="L120" s="502"/>
      <c r="M120" s="504"/>
      <c r="N120" s="505"/>
      <c r="O120" s="505"/>
      <c r="P120" s="507"/>
      <c r="Q120" s="506"/>
      <c r="R120" s="505"/>
      <c r="S120" s="507"/>
      <c r="T120" s="607"/>
      <c r="U120" s="608"/>
      <c r="V120" s="508"/>
      <c r="W120" s="509"/>
      <c r="X120" s="510"/>
      <c r="Y120" s="511"/>
      <c r="Z120" s="512"/>
      <c r="AA120" s="512"/>
      <c r="AB120" s="513"/>
      <c r="AC120" s="517"/>
      <c r="AD120" s="518"/>
      <c r="AE120" s="515"/>
    </row>
    <row r="121" spans="2:31" ht="15.6" customHeight="1" thickTop="1">
      <c r="B121" s="636" t="s">
        <v>394</v>
      </c>
      <c r="C121" s="600" t="str">
        <f t="shared" si="14"/>
        <v/>
      </c>
      <c r="D121" s="601" t="s">
        <v>391</v>
      </c>
      <c r="E121" s="601" t="str">
        <f t="shared" si="16"/>
        <v/>
      </c>
      <c r="F121" s="519"/>
      <c r="G121" s="520"/>
      <c r="H121" s="521"/>
      <c r="I121" s="522"/>
      <c r="J121" s="521"/>
      <c r="K121" s="522"/>
      <c r="L121" s="521"/>
      <c r="M121" s="523"/>
      <c r="N121" s="524"/>
      <c r="O121" s="524"/>
      <c r="P121" s="526"/>
      <c r="Q121" s="525"/>
      <c r="R121" s="524"/>
      <c r="S121" s="526"/>
      <c r="T121" s="609"/>
      <c r="U121" s="610"/>
      <c r="V121" s="527"/>
      <c r="W121" s="528"/>
      <c r="X121" s="529"/>
      <c r="Y121" s="530"/>
      <c r="Z121" s="531"/>
      <c r="AA121" s="531"/>
      <c r="AB121" s="532"/>
      <c r="AC121" s="533"/>
      <c r="AD121" s="534"/>
      <c r="AE121" s="535"/>
    </row>
    <row r="122" spans="2:31" ht="15.6" customHeight="1">
      <c r="B122" s="637" t="s">
        <v>394</v>
      </c>
      <c r="C122" s="602" t="str">
        <f t="shared" si="14"/>
        <v/>
      </c>
      <c r="D122" s="603" t="s">
        <v>391</v>
      </c>
      <c r="E122" s="603" t="str">
        <f t="shared" si="16"/>
        <v/>
      </c>
      <c r="F122" s="536"/>
      <c r="G122" s="537"/>
      <c r="H122" s="538"/>
      <c r="I122" s="539"/>
      <c r="J122" s="538"/>
      <c r="K122" s="539"/>
      <c r="L122" s="538"/>
      <c r="M122" s="540"/>
      <c r="N122" s="541"/>
      <c r="O122" s="541"/>
      <c r="P122" s="543"/>
      <c r="Q122" s="542"/>
      <c r="R122" s="541"/>
      <c r="S122" s="543"/>
      <c r="T122" s="611"/>
      <c r="U122" s="612"/>
      <c r="V122" s="544"/>
      <c r="W122" s="545"/>
      <c r="X122" s="546"/>
      <c r="Y122" s="547"/>
      <c r="Z122" s="548"/>
      <c r="AA122" s="548"/>
      <c r="AB122" s="549"/>
      <c r="AC122" s="550"/>
      <c r="AD122" s="551"/>
      <c r="AE122" s="552"/>
    </row>
    <row r="123" spans="2:31" ht="15.6" customHeight="1">
      <c r="B123" s="637" t="s">
        <v>394</v>
      </c>
      <c r="C123" s="602" t="str">
        <f t="shared" si="14"/>
        <v/>
      </c>
      <c r="D123" s="603" t="s">
        <v>391</v>
      </c>
      <c r="E123" s="603" t="str">
        <f t="shared" si="16"/>
        <v/>
      </c>
      <c r="F123" s="536"/>
      <c r="G123" s="537"/>
      <c r="H123" s="538"/>
      <c r="I123" s="539"/>
      <c r="J123" s="538"/>
      <c r="K123" s="539"/>
      <c r="L123" s="538"/>
      <c r="M123" s="540"/>
      <c r="N123" s="541"/>
      <c r="O123" s="541"/>
      <c r="P123" s="543"/>
      <c r="Q123" s="542"/>
      <c r="R123" s="541"/>
      <c r="S123" s="543"/>
      <c r="T123" s="611"/>
      <c r="U123" s="612"/>
      <c r="V123" s="544"/>
      <c r="W123" s="545"/>
      <c r="X123" s="546"/>
      <c r="Y123" s="547"/>
      <c r="Z123" s="548"/>
      <c r="AA123" s="548"/>
      <c r="AB123" s="549"/>
      <c r="AC123" s="548"/>
      <c r="AD123" s="553"/>
      <c r="AE123" s="552"/>
    </row>
    <row r="124" spans="2:31" ht="15.6" customHeight="1">
      <c r="B124" s="637" t="s">
        <v>394</v>
      </c>
      <c r="C124" s="602" t="str">
        <f t="shared" si="14"/>
        <v/>
      </c>
      <c r="D124" s="603" t="s">
        <v>391</v>
      </c>
      <c r="E124" s="603" t="str">
        <f t="shared" si="16"/>
        <v/>
      </c>
      <c r="F124" s="536"/>
      <c r="G124" s="537"/>
      <c r="H124" s="538"/>
      <c r="I124" s="539"/>
      <c r="J124" s="538"/>
      <c r="K124" s="539"/>
      <c r="L124" s="538"/>
      <c r="M124" s="540"/>
      <c r="N124" s="541"/>
      <c r="O124" s="541"/>
      <c r="P124" s="543"/>
      <c r="Q124" s="542"/>
      <c r="R124" s="541"/>
      <c r="S124" s="543"/>
      <c r="T124" s="611"/>
      <c r="U124" s="612"/>
      <c r="V124" s="544"/>
      <c r="W124" s="545"/>
      <c r="X124" s="546"/>
      <c r="Y124" s="547"/>
      <c r="Z124" s="548"/>
      <c r="AA124" s="548"/>
      <c r="AB124" s="549"/>
      <c r="AC124" s="550"/>
      <c r="AD124" s="551"/>
      <c r="AE124" s="552"/>
    </row>
    <row r="125" spans="2:31" ht="15.6" customHeight="1">
      <c r="B125" s="637" t="s">
        <v>394</v>
      </c>
      <c r="C125" s="602" t="str">
        <f t="shared" si="14"/>
        <v/>
      </c>
      <c r="D125" s="603" t="s">
        <v>391</v>
      </c>
      <c r="E125" s="603" t="str">
        <f t="shared" si="16"/>
        <v/>
      </c>
      <c r="F125" s="536"/>
      <c r="G125" s="537"/>
      <c r="H125" s="538"/>
      <c r="I125" s="539"/>
      <c r="J125" s="538"/>
      <c r="K125" s="539"/>
      <c r="L125" s="538"/>
      <c r="M125" s="540"/>
      <c r="N125" s="541"/>
      <c r="O125" s="541"/>
      <c r="P125" s="543"/>
      <c r="Q125" s="542"/>
      <c r="R125" s="541"/>
      <c r="S125" s="543"/>
      <c r="T125" s="611"/>
      <c r="U125" s="612"/>
      <c r="V125" s="544"/>
      <c r="W125" s="545"/>
      <c r="X125" s="546"/>
      <c r="Y125" s="547"/>
      <c r="Z125" s="548"/>
      <c r="AA125" s="548"/>
      <c r="AB125" s="549"/>
      <c r="AC125" s="548"/>
      <c r="AD125" s="553"/>
      <c r="AE125" s="552"/>
    </row>
    <row r="126" spans="2:31" ht="15.6" customHeight="1">
      <c r="B126" s="637" t="s">
        <v>394</v>
      </c>
      <c r="C126" s="602" t="str">
        <f t="shared" si="14"/>
        <v/>
      </c>
      <c r="D126" s="603" t="s">
        <v>391</v>
      </c>
      <c r="E126" s="603" t="str">
        <f t="shared" si="16"/>
        <v/>
      </c>
      <c r="F126" s="536"/>
      <c r="G126" s="537"/>
      <c r="H126" s="538"/>
      <c r="I126" s="539"/>
      <c r="J126" s="538"/>
      <c r="K126" s="539"/>
      <c r="L126" s="538"/>
      <c r="M126" s="540"/>
      <c r="N126" s="554"/>
      <c r="O126" s="556"/>
      <c r="P126" s="557"/>
      <c r="Q126" s="555"/>
      <c r="R126" s="556"/>
      <c r="S126" s="557"/>
      <c r="T126" s="611"/>
      <c r="U126" s="612"/>
      <c r="V126" s="544"/>
      <c r="W126" s="545"/>
      <c r="X126" s="546"/>
      <c r="Y126" s="547"/>
      <c r="Z126" s="548"/>
      <c r="AA126" s="548"/>
      <c r="AB126" s="549"/>
      <c r="AC126" s="550"/>
      <c r="AD126" s="551"/>
      <c r="AE126" s="552"/>
    </row>
    <row r="127" spans="2:31" ht="15.6" customHeight="1">
      <c r="B127" s="637" t="s">
        <v>394</v>
      </c>
      <c r="C127" s="602" t="str">
        <f t="shared" si="14"/>
        <v/>
      </c>
      <c r="D127" s="603" t="s">
        <v>391</v>
      </c>
      <c r="E127" s="603" t="str">
        <f t="shared" si="16"/>
        <v/>
      </c>
      <c r="F127" s="536"/>
      <c r="G127" s="537"/>
      <c r="H127" s="538"/>
      <c r="I127" s="539"/>
      <c r="J127" s="538"/>
      <c r="K127" s="539"/>
      <c r="L127" s="538"/>
      <c r="M127" s="540"/>
      <c r="N127" s="554"/>
      <c r="O127" s="556"/>
      <c r="P127" s="557"/>
      <c r="Q127" s="555"/>
      <c r="R127" s="556"/>
      <c r="S127" s="557"/>
      <c r="T127" s="611"/>
      <c r="U127" s="612"/>
      <c r="V127" s="544"/>
      <c r="W127" s="545"/>
      <c r="X127" s="546"/>
      <c r="Y127" s="547"/>
      <c r="Z127" s="548"/>
      <c r="AA127" s="548"/>
      <c r="AB127" s="549"/>
      <c r="AC127" s="550"/>
      <c r="AD127" s="551"/>
      <c r="AE127" s="552"/>
    </row>
    <row r="128" spans="2:31" ht="15.6" customHeight="1" thickBot="1">
      <c r="B128" s="637" t="s">
        <v>394</v>
      </c>
      <c r="C128" s="602" t="str">
        <f t="shared" si="14"/>
        <v/>
      </c>
      <c r="D128" s="603" t="s">
        <v>391</v>
      </c>
      <c r="E128" s="603" t="str">
        <f t="shared" si="16"/>
        <v/>
      </c>
      <c r="F128" s="536"/>
      <c r="G128" s="537"/>
      <c r="H128" s="538"/>
      <c r="I128" s="539"/>
      <c r="J128" s="538"/>
      <c r="K128" s="539"/>
      <c r="L128" s="538"/>
      <c r="M128" s="540"/>
      <c r="N128" s="541"/>
      <c r="O128" s="541"/>
      <c r="P128" s="543"/>
      <c r="Q128" s="542"/>
      <c r="R128" s="541"/>
      <c r="S128" s="543"/>
      <c r="T128" s="611"/>
      <c r="U128" s="612"/>
      <c r="V128" s="544"/>
      <c r="W128" s="545"/>
      <c r="X128" s="546"/>
      <c r="Y128" s="547"/>
      <c r="Z128" s="548"/>
      <c r="AA128" s="548"/>
      <c r="AB128" s="549"/>
      <c r="AC128" s="548"/>
      <c r="AD128" s="553"/>
      <c r="AE128" s="552"/>
    </row>
    <row r="129" spans="2:31" ht="15.6" customHeight="1" thickTop="1">
      <c r="B129" s="634" t="s">
        <v>389</v>
      </c>
      <c r="C129" s="596" t="str">
        <f t="shared" si="14"/>
        <v/>
      </c>
      <c r="D129" s="597" t="s">
        <v>131</v>
      </c>
      <c r="E129" s="597" t="str">
        <f>IF(C129="","",CONCATENATE(D129," ",C129))</f>
        <v/>
      </c>
      <c r="F129" s="484"/>
      <c r="G129" s="485"/>
      <c r="H129" s="486"/>
      <c r="I129" s="487"/>
      <c r="J129" s="486"/>
      <c r="K129" s="487"/>
      <c r="L129" s="486"/>
      <c r="M129" s="488"/>
      <c r="N129" s="489"/>
      <c r="O129" s="489"/>
      <c r="P129" s="491"/>
      <c r="Q129" s="490"/>
      <c r="R129" s="489"/>
      <c r="S129" s="491"/>
      <c r="T129" s="605"/>
      <c r="U129" s="606"/>
      <c r="V129" s="492"/>
      <c r="W129" s="493"/>
      <c r="X129" s="494"/>
      <c r="Y129" s="495"/>
      <c r="Z129" s="496"/>
      <c r="AA129" s="496"/>
      <c r="AB129" s="497"/>
      <c r="AC129" s="496"/>
      <c r="AD129" s="498"/>
      <c r="AE129" s="499"/>
    </row>
    <row r="130" spans="2:31" ht="15.6" customHeight="1">
      <c r="B130" s="635" t="s">
        <v>389</v>
      </c>
      <c r="C130" s="598" t="str">
        <f t="shared" si="14"/>
        <v/>
      </c>
      <c r="D130" s="599" t="s">
        <v>131</v>
      </c>
      <c r="E130" s="599" t="str">
        <f t="shared" si="16"/>
        <v/>
      </c>
      <c r="F130" s="500"/>
      <c r="G130" s="501"/>
      <c r="H130" s="502"/>
      <c r="I130" s="503"/>
      <c r="J130" s="502"/>
      <c r="K130" s="503"/>
      <c r="L130" s="502"/>
      <c r="M130" s="504"/>
      <c r="N130" s="505"/>
      <c r="O130" s="505"/>
      <c r="P130" s="507"/>
      <c r="Q130" s="506"/>
      <c r="R130" s="505"/>
      <c r="S130" s="507"/>
      <c r="T130" s="607"/>
      <c r="U130" s="608"/>
      <c r="V130" s="508"/>
      <c r="W130" s="509"/>
      <c r="X130" s="510"/>
      <c r="Y130" s="511"/>
      <c r="Z130" s="512"/>
      <c r="AA130" s="512"/>
      <c r="AB130" s="513"/>
      <c r="AC130" s="512"/>
      <c r="AD130" s="514"/>
      <c r="AE130" s="515"/>
    </row>
    <row r="131" spans="2:31" ht="15.6" customHeight="1">
      <c r="B131" s="635" t="s">
        <v>389</v>
      </c>
      <c r="C131" s="598" t="str">
        <f t="shared" si="14"/>
        <v/>
      </c>
      <c r="D131" s="599" t="s">
        <v>131</v>
      </c>
      <c r="E131" s="599" t="str">
        <f t="shared" si="16"/>
        <v/>
      </c>
      <c r="F131" s="500"/>
      <c r="G131" s="501"/>
      <c r="H131" s="502"/>
      <c r="I131" s="503"/>
      <c r="J131" s="502"/>
      <c r="K131" s="503"/>
      <c r="L131" s="502"/>
      <c r="M131" s="504"/>
      <c r="N131" s="505"/>
      <c r="O131" s="505"/>
      <c r="P131" s="507"/>
      <c r="Q131" s="506"/>
      <c r="R131" s="505"/>
      <c r="S131" s="507"/>
      <c r="T131" s="607"/>
      <c r="U131" s="608"/>
      <c r="V131" s="508"/>
      <c r="W131" s="509"/>
      <c r="X131" s="510"/>
      <c r="Y131" s="511"/>
      <c r="Z131" s="512"/>
      <c r="AA131" s="512"/>
      <c r="AB131" s="513"/>
      <c r="AC131" s="512"/>
      <c r="AD131" s="514"/>
      <c r="AE131" s="515"/>
    </row>
    <row r="132" spans="2:31" ht="15.6" customHeight="1">
      <c r="B132" s="635" t="s">
        <v>389</v>
      </c>
      <c r="C132" s="598" t="str">
        <f t="shared" si="14"/>
        <v/>
      </c>
      <c r="D132" s="599" t="s">
        <v>131</v>
      </c>
      <c r="E132" s="599" t="str">
        <f t="shared" si="16"/>
        <v/>
      </c>
      <c r="F132" s="500"/>
      <c r="G132" s="501"/>
      <c r="H132" s="502"/>
      <c r="I132" s="503"/>
      <c r="J132" s="502"/>
      <c r="K132" s="503"/>
      <c r="L132" s="502"/>
      <c r="M132" s="516"/>
      <c r="N132" s="505"/>
      <c r="O132" s="505"/>
      <c r="P132" s="507"/>
      <c r="Q132" s="506"/>
      <c r="R132" s="505"/>
      <c r="S132" s="507"/>
      <c r="T132" s="607"/>
      <c r="U132" s="608"/>
      <c r="V132" s="508"/>
      <c r="W132" s="509"/>
      <c r="X132" s="510"/>
      <c r="Y132" s="511"/>
      <c r="Z132" s="512"/>
      <c r="AA132" s="512"/>
      <c r="AB132" s="513"/>
      <c r="AC132" s="512"/>
      <c r="AD132" s="514"/>
      <c r="AE132" s="515"/>
    </row>
    <row r="133" spans="2:31" ht="15.6" customHeight="1">
      <c r="B133" s="635" t="s">
        <v>389</v>
      </c>
      <c r="C133" s="598" t="str">
        <f t="shared" si="14"/>
        <v/>
      </c>
      <c r="D133" s="599" t="s">
        <v>131</v>
      </c>
      <c r="E133" s="599" t="str">
        <f t="shared" si="16"/>
        <v/>
      </c>
      <c r="F133" s="500"/>
      <c r="G133" s="501"/>
      <c r="H133" s="502"/>
      <c r="I133" s="503"/>
      <c r="J133" s="502"/>
      <c r="K133" s="503"/>
      <c r="L133" s="502"/>
      <c r="M133" s="504"/>
      <c r="N133" s="505"/>
      <c r="O133" s="505"/>
      <c r="P133" s="507"/>
      <c r="Q133" s="506"/>
      <c r="R133" s="505"/>
      <c r="S133" s="507"/>
      <c r="T133" s="607"/>
      <c r="U133" s="608"/>
      <c r="V133" s="508"/>
      <c r="W133" s="509"/>
      <c r="X133" s="510"/>
      <c r="Y133" s="511"/>
      <c r="Z133" s="512"/>
      <c r="AA133" s="512"/>
      <c r="AB133" s="513"/>
      <c r="AC133" s="517"/>
      <c r="AD133" s="518"/>
      <c r="AE133" s="515"/>
    </row>
    <row r="134" spans="2:31" ht="15.6" customHeight="1">
      <c r="B134" s="635" t="s">
        <v>389</v>
      </c>
      <c r="C134" s="598" t="str">
        <f t="shared" si="14"/>
        <v/>
      </c>
      <c r="D134" s="599" t="s">
        <v>131</v>
      </c>
      <c r="E134" s="599" t="str">
        <f t="shared" si="16"/>
        <v/>
      </c>
      <c r="F134" s="500"/>
      <c r="G134" s="501"/>
      <c r="H134" s="502"/>
      <c r="I134" s="503"/>
      <c r="J134" s="502"/>
      <c r="K134" s="503"/>
      <c r="L134" s="502"/>
      <c r="M134" s="504"/>
      <c r="N134" s="505"/>
      <c r="O134" s="505"/>
      <c r="P134" s="507"/>
      <c r="Q134" s="506"/>
      <c r="R134" s="505"/>
      <c r="S134" s="507"/>
      <c r="T134" s="607"/>
      <c r="U134" s="608"/>
      <c r="V134" s="508"/>
      <c r="W134" s="509"/>
      <c r="X134" s="510"/>
      <c r="Y134" s="511"/>
      <c r="Z134" s="512"/>
      <c r="AA134" s="512"/>
      <c r="AB134" s="513"/>
      <c r="AC134" s="512"/>
      <c r="AD134" s="514"/>
      <c r="AE134" s="515"/>
    </row>
    <row r="135" spans="2:31" ht="15.6" customHeight="1">
      <c r="B135" s="635" t="s">
        <v>389</v>
      </c>
      <c r="C135" s="598" t="str">
        <f t="shared" si="14"/>
        <v/>
      </c>
      <c r="D135" s="599" t="s">
        <v>131</v>
      </c>
      <c r="E135" s="599" t="str">
        <f t="shared" si="16"/>
        <v/>
      </c>
      <c r="F135" s="500"/>
      <c r="G135" s="501"/>
      <c r="H135" s="502"/>
      <c r="I135" s="503"/>
      <c r="J135" s="502"/>
      <c r="K135" s="503"/>
      <c r="L135" s="502"/>
      <c r="M135" s="516"/>
      <c r="N135" s="505"/>
      <c r="O135" s="505"/>
      <c r="P135" s="507"/>
      <c r="Q135" s="506"/>
      <c r="R135" s="505"/>
      <c r="S135" s="507"/>
      <c r="T135" s="607"/>
      <c r="U135" s="608"/>
      <c r="V135" s="508"/>
      <c r="W135" s="509"/>
      <c r="X135" s="510"/>
      <c r="Y135" s="511"/>
      <c r="Z135" s="512"/>
      <c r="AA135" s="512"/>
      <c r="AB135" s="513"/>
      <c r="AC135" s="512"/>
      <c r="AD135" s="514"/>
      <c r="AE135" s="515"/>
    </row>
    <row r="136" spans="2:31" ht="15.6" customHeight="1" thickBot="1">
      <c r="B136" s="635" t="s">
        <v>389</v>
      </c>
      <c r="C136" s="598" t="str">
        <f t="shared" si="14"/>
        <v/>
      </c>
      <c r="D136" s="599" t="s">
        <v>131</v>
      </c>
      <c r="E136" s="599" t="str">
        <f t="shared" si="16"/>
        <v/>
      </c>
      <c r="F136" s="500"/>
      <c r="G136" s="501"/>
      <c r="H136" s="502"/>
      <c r="I136" s="503"/>
      <c r="J136" s="502"/>
      <c r="K136" s="503"/>
      <c r="L136" s="502"/>
      <c r="M136" s="504"/>
      <c r="N136" s="505"/>
      <c r="O136" s="505"/>
      <c r="P136" s="507"/>
      <c r="Q136" s="506"/>
      <c r="R136" s="505"/>
      <c r="S136" s="507"/>
      <c r="T136" s="607"/>
      <c r="U136" s="608"/>
      <c r="V136" s="508"/>
      <c r="W136" s="509"/>
      <c r="X136" s="510"/>
      <c r="Y136" s="511"/>
      <c r="Z136" s="512"/>
      <c r="AA136" s="512"/>
      <c r="AB136" s="513"/>
      <c r="AC136" s="517"/>
      <c r="AD136" s="518"/>
      <c r="AE136" s="515"/>
    </row>
    <row r="137" spans="2:31" ht="15.6" customHeight="1" thickTop="1">
      <c r="B137" s="636" t="s">
        <v>395</v>
      </c>
      <c r="C137" s="600" t="str">
        <f t="shared" si="14"/>
        <v/>
      </c>
      <c r="D137" s="601" t="s">
        <v>64</v>
      </c>
      <c r="E137" s="601" t="str">
        <f>IF(C137="","",CONCATENATE(D137," ",C137))</f>
        <v/>
      </c>
      <c r="F137" s="519"/>
      <c r="G137" s="520"/>
      <c r="H137" s="521"/>
      <c r="I137" s="522"/>
      <c r="J137" s="521"/>
      <c r="K137" s="522"/>
      <c r="L137" s="521"/>
      <c r="M137" s="523"/>
      <c r="N137" s="524"/>
      <c r="O137" s="524"/>
      <c r="P137" s="526"/>
      <c r="Q137" s="525"/>
      <c r="R137" s="524"/>
      <c r="S137" s="526"/>
      <c r="T137" s="609"/>
      <c r="U137" s="610"/>
      <c r="V137" s="527"/>
      <c r="W137" s="528"/>
      <c r="X137" s="529"/>
      <c r="Y137" s="530"/>
      <c r="Z137" s="531"/>
      <c r="AA137" s="531"/>
      <c r="AB137" s="532"/>
      <c r="AC137" s="533"/>
      <c r="AD137" s="534"/>
      <c r="AE137" s="535"/>
    </row>
    <row r="138" spans="2:31" ht="15.6" customHeight="1">
      <c r="B138" s="637" t="s">
        <v>395</v>
      </c>
      <c r="C138" s="602" t="str">
        <f t="shared" si="14"/>
        <v/>
      </c>
      <c r="D138" s="603" t="s">
        <v>64</v>
      </c>
      <c r="E138" s="603" t="str">
        <f t="shared" si="16"/>
        <v/>
      </c>
      <c r="F138" s="536"/>
      <c r="G138" s="537"/>
      <c r="H138" s="538"/>
      <c r="I138" s="539"/>
      <c r="J138" s="538"/>
      <c r="K138" s="539"/>
      <c r="L138" s="538"/>
      <c r="M138" s="540"/>
      <c r="N138" s="541"/>
      <c r="O138" s="541"/>
      <c r="P138" s="543"/>
      <c r="Q138" s="542"/>
      <c r="R138" s="541"/>
      <c r="S138" s="543"/>
      <c r="T138" s="611"/>
      <c r="U138" s="612"/>
      <c r="V138" s="544"/>
      <c r="W138" s="545"/>
      <c r="X138" s="546"/>
      <c r="Y138" s="547"/>
      <c r="Z138" s="548"/>
      <c r="AA138" s="548"/>
      <c r="AB138" s="549"/>
      <c r="AC138" s="550"/>
      <c r="AD138" s="551"/>
      <c r="AE138" s="552"/>
    </row>
    <row r="139" spans="2:31" ht="15.6" customHeight="1">
      <c r="B139" s="637" t="s">
        <v>395</v>
      </c>
      <c r="C139" s="602" t="str">
        <f t="shared" si="14"/>
        <v/>
      </c>
      <c r="D139" s="603" t="s">
        <v>64</v>
      </c>
      <c r="E139" s="603" t="str">
        <f t="shared" si="16"/>
        <v/>
      </c>
      <c r="F139" s="536"/>
      <c r="G139" s="537"/>
      <c r="H139" s="538"/>
      <c r="I139" s="539"/>
      <c r="J139" s="538"/>
      <c r="K139" s="539"/>
      <c r="L139" s="538"/>
      <c r="M139" s="540"/>
      <c r="N139" s="541"/>
      <c r="O139" s="541"/>
      <c r="P139" s="543"/>
      <c r="Q139" s="542"/>
      <c r="R139" s="541"/>
      <c r="S139" s="543"/>
      <c r="T139" s="611"/>
      <c r="U139" s="612"/>
      <c r="V139" s="544"/>
      <c r="W139" s="545"/>
      <c r="X139" s="546"/>
      <c r="Y139" s="547"/>
      <c r="Z139" s="548"/>
      <c r="AA139" s="548"/>
      <c r="AB139" s="549"/>
      <c r="AC139" s="548"/>
      <c r="AD139" s="553"/>
      <c r="AE139" s="552"/>
    </row>
    <row r="140" spans="2:31" ht="15.6" customHeight="1">
      <c r="B140" s="637" t="s">
        <v>395</v>
      </c>
      <c r="C140" s="602" t="str">
        <f t="shared" si="14"/>
        <v/>
      </c>
      <c r="D140" s="603" t="s">
        <v>64</v>
      </c>
      <c r="E140" s="603" t="str">
        <f t="shared" si="16"/>
        <v/>
      </c>
      <c r="F140" s="536"/>
      <c r="G140" s="537"/>
      <c r="H140" s="538"/>
      <c r="I140" s="539"/>
      <c r="J140" s="538"/>
      <c r="K140" s="539"/>
      <c r="L140" s="538"/>
      <c r="M140" s="540"/>
      <c r="N140" s="541"/>
      <c r="O140" s="541"/>
      <c r="P140" s="543"/>
      <c r="Q140" s="542"/>
      <c r="R140" s="541"/>
      <c r="S140" s="543"/>
      <c r="T140" s="611"/>
      <c r="U140" s="612"/>
      <c r="V140" s="544"/>
      <c r="W140" s="545"/>
      <c r="X140" s="546"/>
      <c r="Y140" s="547"/>
      <c r="Z140" s="548"/>
      <c r="AA140" s="548"/>
      <c r="AB140" s="549"/>
      <c r="AC140" s="550"/>
      <c r="AD140" s="551"/>
      <c r="AE140" s="552"/>
    </row>
    <row r="141" spans="2:31" ht="15.6" customHeight="1">
      <c r="B141" s="637" t="s">
        <v>395</v>
      </c>
      <c r="C141" s="602" t="str">
        <f t="shared" si="14"/>
        <v/>
      </c>
      <c r="D141" s="603" t="s">
        <v>64</v>
      </c>
      <c r="E141" s="603" t="str">
        <f t="shared" si="16"/>
        <v/>
      </c>
      <c r="F141" s="536"/>
      <c r="G141" s="537"/>
      <c r="H141" s="538"/>
      <c r="I141" s="539"/>
      <c r="J141" s="538"/>
      <c r="K141" s="539"/>
      <c r="L141" s="538"/>
      <c r="M141" s="540"/>
      <c r="N141" s="541"/>
      <c r="O141" s="541"/>
      <c r="P141" s="543"/>
      <c r="Q141" s="542"/>
      <c r="R141" s="541"/>
      <c r="S141" s="543"/>
      <c r="T141" s="611"/>
      <c r="U141" s="612"/>
      <c r="V141" s="544"/>
      <c r="W141" s="545"/>
      <c r="X141" s="546"/>
      <c r="Y141" s="547"/>
      <c r="Z141" s="548"/>
      <c r="AA141" s="548"/>
      <c r="AB141" s="549"/>
      <c r="AC141" s="548"/>
      <c r="AD141" s="553"/>
      <c r="AE141" s="552"/>
    </row>
    <row r="142" spans="2:31" ht="15.6" customHeight="1">
      <c r="B142" s="637" t="s">
        <v>395</v>
      </c>
      <c r="C142" s="602" t="str">
        <f t="shared" si="14"/>
        <v/>
      </c>
      <c r="D142" s="603" t="s">
        <v>64</v>
      </c>
      <c r="E142" s="603" t="str">
        <f t="shared" si="16"/>
        <v/>
      </c>
      <c r="F142" s="536"/>
      <c r="G142" s="537"/>
      <c r="H142" s="538"/>
      <c r="I142" s="539"/>
      <c r="J142" s="538"/>
      <c r="K142" s="539"/>
      <c r="L142" s="538"/>
      <c r="M142" s="540"/>
      <c r="N142" s="554"/>
      <c r="O142" s="556"/>
      <c r="P142" s="557"/>
      <c r="Q142" s="555"/>
      <c r="R142" s="556"/>
      <c r="S142" s="557"/>
      <c r="T142" s="611"/>
      <c r="U142" s="612"/>
      <c r="V142" s="544"/>
      <c r="W142" s="545"/>
      <c r="X142" s="546"/>
      <c r="Y142" s="547"/>
      <c r="Z142" s="548"/>
      <c r="AA142" s="548"/>
      <c r="AB142" s="549"/>
      <c r="AC142" s="550"/>
      <c r="AD142" s="551"/>
      <c r="AE142" s="552"/>
    </row>
    <row r="143" spans="2:31" ht="15.6" customHeight="1">
      <c r="B143" s="637" t="s">
        <v>395</v>
      </c>
      <c r="C143" s="602" t="str">
        <f t="shared" si="14"/>
        <v/>
      </c>
      <c r="D143" s="603" t="s">
        <v>64</v>
      </c>
      <c r="E143" s="603" t="str">
        <f t="shared" si="16"/>
        <v/>
      </c>
      <c r="F143" s="536"/>
      <c r="G143" s="537"/>
      <c r="H143" s="538"/>
      <c r="I143" s="539"/>
      <c r="J143" s="538"/>
      <c r="K143" s="539"/>
      <c r="L143" s="538"/>
      <c r="M143" s="540"/>
      <c r="N143" s="554"/>
      <c r="O143" s="556"/>
      <c r="P143" s="557"/>
      <c r="Q143" s="555"/>
      <c r="R143" s="556"/>
      <c r="S143" s="557"/>
      <c r="T143" s="611"/>
      <c r="U143" s="612"/>
      <c r="V143" s="544"/>
      <c r="W143" s="545"/>
      <c r="X143" s="546"/>
      <c r="Y143" s="547"/>
      <c r="Z143" s="548"/>
      <c r="AA143" s="548"/>
      <c r="AB143" s="549"/>
      <c r="AC143" s="550"/>
      <c r="AD143" s="551"/>
      <c r="AE143" s="552"/>
    </row>
    <row r="144" spans="2:31" ht="15.6" customHeight="1" thickBot="1">
      <c r="B144" s="637" t="s">
        <v>395</v>
      </c>
      <c r="C144" s="602" t="str">
        <f t="shared" si="14"/>
        <v/>
      </c>
      <c r="D144" s="603" t="s">
        <v>64</v>
      </c>
      <c r="E144" s="603" t="str">
        <f t="shared" si="16"/>
        <v/>
      </c>
      <c r="F144" s="536"/>
      <c r="G144" s="537"/>
      <c r="H144" s="538"/>
      <c r="I144" s="539"/>
      <c r="J144" s="538"/>
      <c r="K144" s="539"/>
      <c r="L144" s="538"/>
      <c r="M144" s="540"/>
      <c r="N144" s="541"/>
      <c r="O144" s="541"/>
      <c r="P144" s="543"/>
      <c r="Q144" s="542"/>
      <c r="R144" s="541"/>
      <c r="S144" s="543"/>
      <c r="T144" s="611"/>
      <c r="U144" s="612"/>
      <c r="V144" s="544"/>
      <c r="W144" s="545"/>
      <c r="X144" s="546"/>
      <c r="Y144" s="547"/>
      <c r="Z144" s="548"/>
      <c r="AA144" s="548"/>
      <c r="AB144" s="549"/>
      <c r="AC144" s="548"/>
      <c r="AD144" s="553"/>
      <c r="AE144" s="552"/>
    </row>
    <row r="145" spans="2:31" ht="15.6" customHeight="1" thickTop="1">
      <c r="B145" s="634" t="s">
        <v>354</v>
      </c>
      <c r="C145" s="596" t="str">
        <f t="shared" si="14"/>
        <v/>
      </c>
      <c r="D145" s="597" t="s">
        <v>364</v>
      </c>
      <c r="E145" s="597" t="str">
        <f t="shared" si="16"/>
        <v/>
      </c>
      <c r="F145" s="484"/>
      <c r="G145" s="485"/>
      <c r="H145" s="486"/>
      <c r="I145" s="487"/>
      <c r="J145" s="486"/>
      <c r="K145" s="487"/>
      <c r="L145" s="486"/>
      <c r="M145" s="488"/>
      <c r="N145" s="489"/>
      <c r="O145" s="489"/>
      <c r="P145" s="491"/>
      <c r="Q145" s="490"/>
      <c r="R145" s="489"/>
      <c r="S145" s="491"/>
      <c r="T145" s="605"/>
      <c r="U145" s="606"/>
      <c r="V145" s="492"/>
      <c r="W145" s="493"/>
      <c r="X145" s="494"/>
      <c r="Y145" s="495"/>
      <c r="Z145" s="496"/>
      <c r="AA145" s="496"/>
      <c r="AB145" s="497"/>
      <c r="AC145" s="496"/>
      <c r="AD145" s="498"/>
      <c r="AE145" s="499"/>
    </row>
    <row r="146" spans="2:31" ht="15.6" customHeight="1">
      <c r="B146" s="635" t="s">
        <v>354</v>
      </c>
      <c r="C146" s="598" t="str">
        <f t="shared" si="14"/>
        <v/>
      </c>
      <c r="D146" s="599" t="s">
        <v>364</v>
      </c>
      <c r="E146" s="599" t="str">
        <f t="shared" si="16"/>
        <v/>
      </c>
      <c r="F146" s="500"/>
      <c r="G146" s="501"/>
      <c r="H146" s="502"/>
      <c r="I146" s="503"/>
      <c r="J146" s="502"/>
      <c r="K146" s="503"/>
      <c r="L146" s="502"/>
      <c r="M146" s="504"/>
      <c r="N146" s="505"/>
      <c r="O146" s="505"/>
      <c r="P146" s="507"/>
      <c r="Q146" s="506"/>
      <c r="R146" s="505"/>
      <c r="S146" s="507"/>
      <c r="T146" s="607"/>
      <c r="U146" s="608"/>
      <c r="V146" s="508"/>
      <c r="W146" s="509"/>
      <c r="X146" s="510"/>
      <c r="Y146" s="511"/>
      <c r="Z146" s="512"/>
      <c r="AA146" s="512"/>
      <c r="AB146" s="513"/>
      <c r="AC146" s="512"/>
      <c r="AD146" s="514"/>
      <c r="AE146" s="515"/>
    </row>
    <row r="147" spans="2:31" ht="15.6" customHeight="1">
      <c r="B147" s="635" t="s">
        <v>354</v>
      </c>
      <c r="C147" s="598" t="str">
        <f t="shared" si="14"/>
        <v/>
      </c>
      <c r="D147" s="599" t="s">
        <v>364</v>
      </c>
      <c r="E147" s="599" t="str">
        <f t="shared" si="16"/>
        <v/>
      </c>
      <c r="F147" s="500"/>
      <c r="G147" s="501"/>
      <c r="H147" s="502"/>
      <c r="I147" s="503"/>
      <c r="J147" s="502"/>
      <c r="K147" s="503"/>
      <c r="L147" s="502"/>
      <c r="M147" s="504"/>
      <c r="N147" s="505"/>
      <c r="O147" s="505"/>
      <c r="P147" s="507"/>
      <c r="Q147" s="506"/>
      <c r="R147" s="505"/>
      <c r="S147" s="507"/>
      <c r="T147" s="607"/>
      <c r="U147" s="608"/>
      <c r="V147" s="508"/>
      <c r="W147" s="509"/>
      <c r="X147" s="510"/>
      <c r="Y147" s="511"/>
      <c r="Z147" s="512"/>
      <c r="AA147" s="512"/>
      <c r="AB147" s="513"/>
      <c r="AC147" s="512"/>
      <c r="AD147" s="514"/>
      <c r="AE147" s="515"/>
    </row>
    <row r="148" spans="2:31" ht="15.6" customHeight="1">
      <c r="B148" s="635" t="s">
        <v>354</v>
      </c>
      <c r="C148" s="598" t="str">
        <f t="shared" si="14"/>
        <v/>
      </c>
      <c r="D148" s="599" t="s">
        <v>364</v>
      </c>
      <c r="E148" s="599" t="str">
        <f t="shared" si="16"/>
        <v/>
      </c>
      <c r="F148" s="500"/>
      <c r="G148" s="501"/>
      <c r="H148" s="502"/>
      <c r="I148" s="503"/>
      <c r="J148" s="502"/>
      <c r="K148" s="503"/>
      <c r="L148" s="502"/>
      <c r="M148" s="516"/>
      <c r="N148" s="505"/>
      <c r="O148" s="505"/>
      <c r="P148" s="507"/>
      <c r="Q148" s="506"/>
      <c r="R148" s="505"/>
      <c r="S148" s="507"/>
      <c r="T148" s="607"/>
      <c r="U148" s="608"/>
      <c r="V148" s="508"/>
      <c r="W148" s="509"/>
      <c r="X148" s="510"/>
      <c r="Y148" s="511"/>
      <c r="Z148" s="512"/>
      <c r="AA148" s="512"/>
      <c r="AB148" s="513"/>
      <c r="AC148" s="512"/>
      <c r="AD148" s="514"/>
      <c r="AE148" s="515"/>
    </row>
    <row r="149" spans="2:31" ht="15.6" customHeight="1">
      <c r="B149" s="635" t="s">
        <v>354</v>
      </c>
      <c r="C149" s="598" t="str">
        <f t="shared" si="14"/>
        <v/>
      </c>
      <c r="D149" s="599" t="s">
        <v>364</v>
      </c>
      <c r="E149" s="599" t="str">
        <f t="shared" si="16"/>
        <v/>
      </c>
      <c r="F149" s="500"/>
      <c r="G149" s="501"/>
      <c r="H149" s="502"/>
      <c r="I149" s="503"/>
      <c r="J149" s="502"/>
      <c r="K149" s="503"/>
      <c r="L149" s="502"/>
      <c r="M149" s="504"/>
      <c r="N149" s="505"/>
      <c r="O149" s="505"/>
      <c r="P149" s="507"/>
      <c r="Q149" s="506"/>
      <c r="R149" s="505"/>
      <c r="S149" s="507"/>
      <c r="T149" s="607"/>
      <c r="U149" s="608"/>
      <c r="V149" s="508"/>
      <c r="W149" s="509"/>
      <c r="X149" s="510"/>
      <c r="Y149" s="511"/>
      <c r="Z149" s="512"/>
      <c r="AA149" s="512"/>
      <c r="AB149" s="513"/>
      <c r="AC149" s="517"/>
      <c r="AD149" s="518"/>
      <c r="AE149" s="515"/>
    </row>
    <row r="150" spans="2:31" ht="15.6" customHeight="1">
      <c r="B150" s="635" t="s">
        <v>354</v>
      </c>
      <c r="C150" s="598" t="str">
        <f t="shared" si="14"/>
        <v/>
      </c>
      <c r="D150" s="599" t="s">
        <v>364</v>
      </c>
      <c r="E150" s="599" t="str">
        <f t="shared" si="16"/>
        <v/>
      </c>
      <c r="F150" s="500"/>
      <c r="G150" s="501"/>
      <c r="H150" s="502"/>
      <c r="I150" s="503"/>
      <c r="J150" s="502"/>
      <c r="K150" s="503"/>
      <c r="L150" s="502"/>
      <c r="M150" s="504"/>
      <c r="N150" s="505"/>
      <c r="O150" s="505"/>
      <c r="P150" s="507"/>
      <c r="Q150" s="506"/>
      <c r="R150" s="505"/>
      <c r="S150" s="507"/>
      <c r="T150" s="607"/>
      <c r="U150" s="608"/>
      <c r="V150" s="508"/>
      <c r="W150" s="509"/>
      <c r="X150" s="510"/>
      <c r="Y150" s="511"/>
      <c r="Z150" s="512"/>
      <c r="AA150" s="512"/>
      <c r="AB150" s="513"/>
      <c r="AC150" s="512"/>
      <c r="AD150" s="514"/>
      <c r="AE150" s="515"/>
    </row>
    <row r="151" spans="2:31" ht="15.6" customHeight="1">
      <c r="B151" s="635" t="s">
        <v>354</v>
      </c>
      <c r="C151" s="598" t="str">
        <f t="shared" si="14"/>
        <v/>
      </c>
      <c r="D151" s="599" t="s">
        <v>364</v>
      </c>
      <c r="E151" s="599" t="str">
        <f t="shared" si="16"/>
        <v/>
      </c>
      <c r="F151" s="500"/>
      <c r="G151" s="501"/>
      <c r="H151" s="502"/>
      <c r="I151" s="503"/>
      <c r="J151" s="502"/>
      <c r="K151" s="503"/>
      <c r="L151" s="502"/>
      <c r="M151" s="516"/>
      <c r="N151" s="505"/>
      <c r="O151" s="505"/>
      <c r="P151" s="507"/>
      <c r="Q151" s="506"/>
      <c r="R151" s="505"/>
      <c r="S151" s="507"/>
      <c r="T151" s="607"/>
      <c r="U151" s="608"/>
      <c r="V151" s="508"/>
      <c r="W151" s="509"/>
      <c r="X151" s="510"/>
      <c r="Y151" s="511"/>
      <c r="Z151" s="512"/>
      <c r="AA151" s="512"/>
      <c r="AB151" s="513"/>
      <c r="AC151" s="512"/>
      <c r="AD151" s="514"/>
      <c r="AE151" s="515"/>
    </row>
    <row r="152" spans="2:31" ht="15.6" customHeight="1" thickBot="1">
      <c r="B152" s="635" t="s">
        <v>354</v>
      </c>
      <c r="C152" s="598" t="str">
        <f t="shared" si="14"/>
        <v/>
      </c>
      <c r="D152" s="599" t="s">
        <v>364</v>
      </c>
      <c r="E152" s="599" t="str">
        <f t="shared" si="16"/>
        <v/>
      </c>
      <c r="F152" s="500"/>
      <c r="G152" s="501"/>
      <c r="H152" s="502"/>
      <c r="I152" s="503"/>
      <c r="J152" s="502"/>
      <c r="K152" s="503"/>
      <c r="L152" s="502"/>
      <c r="M152" s="504"/>
      <c r="N152" s="505"/>
      <c r="O152" s="505"/>
      <c r="P152" s="507"/>
      <c r="Q152" s="506"/>
      <c r="R152" s="505"/>
      <c r="S152" s="507"/>
      <c r="T152" s="607"/>
      <c r="U152" s="608"/>
      <c r="V152" s="508"/>
      <c r="W152" s="509"/>
      <c r="X152" s="510"/>
      <c r="Y152" s="511"/>
      <c r="Z152" s="512"/>
      <c r="AA152" s="512"/>
      <c r="AB152" s="513"/>
      <c r="AC152" s="517"/>
      <c r="AD152" s="518"/>
      <c r="AE152" s="515"/>
    </row>
    <row r="153" spans="2:31" ht="15.6" customHeight="1" thickTop="1">
      <c r="B153" s="636" t="s">
        <v>396</v>
      </c>
      <c r="C153" s="600" t="str">
        <f t="shared" si="14"/>
        <v/>
      </c>
      <c r="D153" s="601" t="s">
        <v>401</v>
      </c>
      <c r="E153" s="601" t="str">
        <f t="shared" ref="E153:E160" si="17">IF(C153="","",CONCATENATE(D153," ",C153))</f>
        <v/>
      </c>
      <c r="F153" s="519"/>
      <c r="G153" s="520"/>
      <c r="H153" s="521"/>
      <c r="I153" s="522"/>
      <c r="J153" s="521"/>
      <c r="K153" s="522"/>
      <c r="L153" s="521"/>
      <c r="M153" s="523"/>
      <c r="N153" s="524"/>
      <c r="O153" s="524"/>
      <c r="P153" s="526"/>
      <c r="Q153" s="525"/>
      <c r="R153" s="524"/>
      <c r="S153" s="526"/>
      <c r="T153" s="609"/>
      <c r="U153" s="610"/>
      <c r="V153" s="527"/>
      <c r="W153" s="528"/>
      <c r="X153" s="529"/>
      <c r="Y153" s="530"/>
      <c r="Z153" s="531"/>
      <c r="AA153" s="531"/>
      <c r="AB153" s="532"/>
      <c r="AC153" s="533"/>
      <c r="AD153" s="534"/>
      <c r="AE153" s="535"/>
    </row>
    <row r="154" spans="2:31" ht="15.6" customHeight="1">
      <c r="B154" s="637" t="s">
        <v>396</v>
      </c>
      <c r="C154" s="602" t="str">
        <f t="shared" ref="C154:C192" si="18">IF(F154="","",F154)</f>
        <v/>
      </c>
      <c r="D154" s="603" t="s">
        <v>401</v>
      </c>
      <c r="E154" s="603" t="str">
        <f t="shared" si="17"/>
        <v/>
      </c>
      <c r="F154" s="536"/>
      <c r="G154" s="537"/>
      <c r="H154" s="538"/>
      <c r="I154" s="539"/>
      <c r="J154" s="538"/>
      <c r="K154" s="539"/>
      <c r="L154" s="538"/>
      <c r="M154" s="540"/>
      <c r="N154" s="541"/>
      <c r="O154" s="541"/>
      <c r="P154" s="543"/>
      <c r="Q154" s="542"/>
      <c r="R154" s="541"/>
      <c r="S154" s="543"/>
      <c r="T154" s="611"/>
      <c r="U154" s="612"/>
      <c r="V154" s="544"/>
      <c r="W154" s="545"/>
      <c r="X154" s="546"/>
      <c r="Y154" s="547"/>
      <c r="Z154" s="548"/>
      <c r="AA154" s="548"/>
      <c r="AB154" s="549"/>
      <c r="AC154" s="550"/>
      <c r="AD154" s="551"/>
      <c r="AE154" s="552"/>
    </row>
    <row r="155" spans="2:31" ht="15.6" customHeight="1">
      <c r="B155" s="637" t="s">
        <v>396</v>
      </c>
      <c r="C155" s="602" t="str">
        <f t="shared" si="18"/>
        <v/>
      </c>
      <c r="D155" s="603" t="s">
        <v>401</v>
      </c>
      <c r="E155" s="603" t="str">
        <f t="shared" si="17"/>
        <v/>
      </c>
      <c r="F155" s="536"/>
      <c r="G155" s="537"/>
      <c r="H155" s="538"/>
      <c r="I155" s="539"/>
      <c r="J155" s="538"/>
      <c r="K155" s="539"/>
      <c r="L155" s="538"/>
      <c r="M155" s="540"/>
      <c r="N155" s="541"/>
      <c r="O155" s="541"/>
      <c r="P155" s="543"/>
      <c r="Q155" s="542"/>
      <c r="R155" s="541"/>
      <c r="S155" s="543"/>
      <c r="T155" s="611"/>
      <c r="U155" s="612"/>
      <c r="V155" s="544"/>
      <c r="W155" s="545"/>
      <c r="X155" s="546"/>
      <c r="Y155" s="547"/>
      <c r="Z155" s="548"/>
      <c r="AA155" s="548"/>
      <c r="AB155" s="549"/>
      <c r="AC155" s="548"/>
      <c r="AD155" s="553"/>
      <c r="AE155" s="552"/>
    </row>
    <row r="156" spans="2:31" ht="15.6" customHeight="1">
      <c r="B156" s="637" t="s">
        <v>396</v>
      </c>
      <c r="C156" s="602" t="str">
        <f t="shared" si="18"/>
        <v/>
      </c>
      <c r="D156" s="603" t="s">
        <v>401</v>
      </c>
      <c r="E156" s="603" t="str">
        <f t="shared" si="17"/>
        <v/>
      </c>
      <c r="F156" s="536"/>
      <c r="G156" s="537"/>
      <c r="H156" s="538"/>
      <c r="I156" s="539"/>
      <c r="J156" s="538"/>
      <c r="K156" s="539"/>
      <c r="L156" s="538"/>
      <c r="M156" s="540"/>
      <c r="N156" s="541"/>
      <c r="O156" s="541"/>
      <c r="P156" s="543"/>
      <c r="Q156" s="542"/>
      <c r="R156" s="541"/>
      <c r="S156" s="543"/>
      <c r="T156" s="611"/>
      <c r="U156" s="612"/>
      <c r="V156" s="544"/>
      <c r="W156" s="545"/>
      <c r="X156" s="546"/>
      <c r="Y156" s="547"/>
      <c r="Z156" s="548"/>
      <c r="AA156" s="548"/>
      <c r="AB156" s="549"/>
      <c r="AC156" s="550"/>
      <c r="AD156" s="551"/>
      <c r="AE156" s="552"/>
    </row>
    <row r="157" spans="2:31" ht="15.6" customHeight="1">
      <c r="B157" s="637" t="s">
        <v>396</v>
      </c>
      <c r="C157" s="602" t="str">
        <f t="shared" si="18"/>
        <v/>
      </c>
      <c r="D157" s="603" t="s">
        <v>401</v>
      </c>
      <c r="E157" s="603" t="str">
        <f t="shared" si="17"/>
        <v/>
      </c>
      <c r="F157" s="536"/>
      <c r="G157" s="537"/>
      <c r="H157" s="538"/>
      <c r="I157" s="539"/>
      <c r="J157" s="538"/>
      <c r="K157" s="539"/>
      <c r="L157" s="538"/>
      <c r="M157" s="540"/>
      <c r="N157" s="541"/>
      <c r="O157" s="541"/>
      <c r="P157" s="543"/>
      <c r="Q157" s="542"/>
      <c r="R157" s="541"/>
      <c r="S157" s="543"/>
      <c r="T157" s="611"/>
      <c r="U157" s="612"/>
      <c r="V157" s="544"/>
      <c r="W157" s="545"/>
      <c r="X157" s="546"/>
      <c r="Y157" s="547"/>
      <c r="Z157" s="548"/>
      <c r="AA157" s="548"/>
      <c r="AB157" s="549"/>
      <c r="AC157" s="548"/>
      <c r="AD157" s="553"/>
      <c r="AE157" s="552"/>
    </row>
    <row r="158" spans="2:31" ht="15.6" customHeight="1">
      <c r="B158" s="637" t="s">
        <v>396</v>
      </c>
      <c r="C158" s="602" t="str">
        <f t="shared" si="18"/>
        <v/>
      </c>
      <c r="D158" s="603" t="s">
        <v>401</v>
      </c>
      <c r="E158" s="603" t="str">
        <f t="shared" si="17"/>
        <v/>
      </c>
      <c r="F158" s="536"/>
      <c r="G158" s="537"/>
      <c r="H158" s="538"/>
      <c r="I158" s="539"/>
      <c r="J158" s="538"/>
      <c r="K158" s="539"/>
      <c r="L158" s="538"/>
      <c r="M158" s="540"/>
      <c r="N158" s="554"/>
      <c r="O158" s="556"/>
      <c r="P158" s="557"/>
      <c r="Q158" s="555"/>
      <c r="R158" s="556"/>
      <c r="S158" s="557"/>
      <c r="T158" s="611"/>
      <c r="U158" s="612"/>
      <c r="V158" s="544"/>
      <c r="W158" s="545"/>
      <c r="X158" s="546"/>
      <c r="Y158" s="547"/>
      <c r="Z158" s="548"/>
      <c r="AA158" s="548"/>
      <c r="AB158" s="549"/>
      <c r="AC158" s="550"/>
      <c r="AD158" s="551"/>
      <c r="AE158" s="552"/>
    </row>
    <row r="159" spans="2:31" ht="15.6" customHeight="1">
      <c r="B159" s="637" t="s">
        <v>396</v>
      </c>
      <c r="C159" s="602" t="str">
        <f t="shared" si="18"/>
        <v/>
      </c>
      <c r="D159" s="603" t="s">
        <v>401</v>
      </c>
      <c r="E159" s="603" t="str">
        <f t="shared" si="17"/>
        <v/>
      </c>
      <c r="F159" s="536"/>
      <c r="G159" s="537"/>
      <c r="H159" s="538"/>
      <c r="I159" s="539"/>
      <c r="J159" s="538"/>
      <c r="K159" s="539"/>
      <c r="L159" s="538"/>
      <c r="M159" s="540"/>
      <c r="N159" s="554"/>
      <c r="O159" s="556"/>
      <c r="P159" s="557"/>
      <c r="Q159" s="555"/>
      <c r="R159" s="556"/>
      <c r="S159" s="557"/>
      <c r="T159" s="611"/>
      <c r="U159" s="612"/>
      <c r="V159" s="544"/>
      <c r="W159" s="545"/>
      <c r="X159" s="546"/>
      <c r="Y159" s="547"/>
      <c r="Z159" s="548"/>
      <c r="AA159" s="548"/>
      <c r="AB159" s="549"/>
      <c r="AC159" s="550"/>
      <c r="AD159" s="551"/>
      <c r="AE159" s="552"/>
    </row>
    <row r="160" spans="2:31" ht="15.6" customHeight="1" thickBot="1">
      <c r="B160" s="637" t="s">
        <v>396</v>
      </c>
      <c r="C160" s="602" t="str">
        <f t="shared" si="18"/>
        <v/>
      </c>
      <c r="D160" s="603" t="s">
        <v>401</v>
      </c>
      <c r="E160" s="603" t="str">
        <f t="shared" si="17"/>
        <v/>
      </c>
      <c r="F160" s="536"/>
      <c r="G160" s="537"/>
      <c r="H160" s="538"/>
      <c r="I160" s="539"/>
      <c r="J160" s="538"/>
      <c r="K160" s="539"/>
      <c r="L160" s="538"/>
      <c r="M160" s="540"/>
      <c r="N160" s="541"/>
      <c r="O160" s="541"/>
      <c r="P160" s="543"/>
      <c r="Q160" s="542"/>
      <c r="R160" s="541"/>
      <c r="S160" s="543"/>
      <c r="T160" s="611"/>
      <c r="U160" s="612"/>
      <c r="V160" s="544"/>
      <c r="W160" s="545"/>
      <c r="X160" s="546"/>
      <c r="Y160" s="547"/>
      <c r="Z160" s="548"/>
      <c r="AA160" s="548"/>
      <c r="AB160" s="549"/>
      <c r="AC160" s="548"/>
      <c r="AD160" s="553"/>
      <c r="AE160" s="552"/>
    </row>
    <row r="161" spans="2:31" ht="15.6" customHeight="1" thickTop="1">
      <c r="B161" s="634" t="s">
        <v>405</v>
      </c>
      <c r="C161" s="596" t="str">
        <f t="shared" si="18"/>
        <v/>
      </c>
      <c r="D161" s="597" t="s">
        <v>54</v>
      </c>
      <c r="E161" s="597" t="str">
        <f t="shared" ref="E161:E168" si="19">IF(C161="","",CONCATENATE(D161," ",C161))</f>
        <v/>
      </c>
      <c r="F161" s="484"/>
      <c r="G161" s="485"/>
      <c r="H161" s="486"/>
      <c r="I161" s="487"/>
      <c r="J161" s="486"/>
      <c r="K161" s="487"/>
      <c r="L161" s="486"/>
      <c r="M161" s="488"/>
      <c r="N161" s="489"/>
      <c r="O161" s="489"/>
      <c r="P161" s="491"/>
      <c r="Q161" s="490"/>
      <c r="R161" s="489"/>
      <c r="S161" s="491"/>
      <c r="T161" s="605"/>
      <c r="U161" s="606"/>
      <c r="V161" s="492"/>
      <c r="W161" s="493"/>
      <c r="X161" s="494"/>
      <c r="Y161" s="495"/>
      <c r="Z161" s="496"/>
      <c r="AA161" s="496"/>
      <c r="AB161" s="497"/>
      <c r="AC161" s="496"/>
      <c r="AD161" s="498"/>
      <c r="AE161" s="499"/>
    </row>
    <row r="162" spans="2:31" ht="15.6" customHeight="1">
      <c r="B162" s="635" t="s">
        <v>405</v>
      </c>
      <c r="C162" s="598" t="str">
        <f t="shared" si="18"/>
        <v/>
      </c>
      <c r="D162" s="599" t="s">
        <v>54</v>
      </c>
      <c r="E162" s="599" t="str">
        <f t="shared" si="19"/>
        <v/>
      </c>
      <c r="F162" s="500"/>
      <c r="G162" s="501"/>
      <c r="H162" s="502"/>
      <c r="I162" s="503"/>
      <c r="J162" s="502"/>
      <c r="K162" s="503"/>
      <c r="L162" s="502"/>
      <c r="M162" s="504"/>
      <c r="N162" s="505"/>
      <c r="O162" s="505"/>
      <c r="P162" s="507"/>
      <c r="Q162" s="506"/>
      <c r="R162" s="505"/>
      <c r="S162" s="507"/>
      <c r="T162" s="607"/>
      <c r="U162" s="608"/>
      <c r="V162" s="508"/>
      <c r="W162" s="509"/>
      <c r="X162" s="510"/>
      <c r="Y162" s="511"/>
      <c r="Z162" s="512"/>
      <c r="AA162" s="512"/>
      <c r="AB162" s="513"/>
      <c r="AC162" s="512"/>
      <c r="AD162" s="514"/>
      <c r="AE162" s="515"/>
    </row>
    <row r="163" spans="2:31" ht="15.6" customHeight="1">
      <c r="B163" s="635" t="s">
        <v>405</v>
      </c>
      <c r="C163" s="598" t="str">
        <f t="shared" si="18"/>
        <v/>
      </c>
      <c r="D163" s="599" t="s">
        <v>54</v>
      </c>
      <c r="E163" s="599" t="str">
        <f t="shared" si="19"/>
        <v/>
      </c>
      <c r="F163" s="500"/>
      <c r="G163" s="501"/>
      <c r="H163" s="502"/>
      <c r="I163" s="503"/>
      <c r="J163" s="502"/>
      <c r="K163" s="503"/>
      <c r="L163" s="502"/>
      <c r="M163" s="504"/>
      <c r="N163" s="505"/>
      <c r="O163" s="505"/>
      <c r="P163" s="507"/>
      <c r="Q163" s="506"/>
      <c r="R163" s="505"/>
      <c r="S163" s="507"/>
      <c r="T163" s="607"/>
      <c r="U163" s="608"/>
      <c r="V163" s="508"/>
      <c r="W163" s="509"/>
      <c r="X163" s="510"/>
      <c r="Y163" s="511"/>
      <c r="Z163" s="512"/>
      <c r="AA163" s="512"/>
      <c r="AB163" s="513"/>
      <c r="AC163" s="512"/>
      <c r="AD163" s="514"/>
      <c r="AE163" s="515"/>
    </row>
    <row r="164" spans="2:31" ht="15.6" customHeight="1">
      <c r="B164" s="635" t="s">
        <v>405</v>
      </c>
      <c r="C164" s="598" t="str">
        <f t="shared" si="18"/>
        <v/>
      </c>
      <c r="D164" s="599" t="s">
        <v>54</v>
      </c>
      <c r="E164" s="599" t="str">
        <f t="shared" si="19"/>
        <v/>
      </c>
      <c r="F164" s="500"/>
      <c r="G164" s="501"/>
      <c r="H164" s="502"/>
      <c r="I164" s="503"/>
      <c r="J164" s="502"/>
      <c r="K164" s="503"/>
      <c r="L164" s="502"/>
      <c r="M164" s="516"/>
      <c r="N164" s="505"/>
      <c r="O164" s="505"/>
      <c r="P164" s="507"/>
      <c r="Q164" s="506"/>
      <c r="R164" s="505"/>
      <c r="S164" s="507"/>
      <c r="T164" s="607"/>
      <c r="U164" s="608"/>
      <c r="V164" s="508"/>
      <c r="W164" s="509"/>
      <c r="X164" s="510"/>
      <c r="Y164" s="511"/>
      <c r="Z164" s="512"/>
      <c r="AA164" s="512"/>
      <c r="AB164" s="513"/>
      <c r="AC164" s="512"/>
      <c r="AD164" s="514"/>
      <c r="AE164" s="515"/>
    </row>
    <row r="165" spans="2:31" ht="15.6" customHeight="1">
      <c r="B165" s="635" t="s">
        <v>405</v>
      </c>
      <c r="C165" s="598" t="str">
        <f t="shared" si="18"/>
        <v/>
      </c>
      <c r="D165" s="599" t="s">
        <v>54</v>
      </c>
      <c r="E165" s="599" t="str">
        <f t="shared" si="19"/>
        <v/>
      </c>
      <c r="F165" s="500"/>
      <c r="G165" s="501"/>
      <c r="H165" s="502"/>
      <c r="I165" s="503"/>
      <c r="J165" s="502"/>
      <c r="K165" s="503"/>
      <c r="L165" s="502"/>
      <c r="M165" s="504"/>
      <c r="N165" s="505"/>
      <c r="O165" s="505"/>
      <c r="P165" s="507"/>
      <c r="Q165" s="506"/>
      <c r="R165" s="505"/>
      <c r="S165" s="507"/>
      <c r="T165" s="607"/>
      <c r="U165" s="608"/>
      <c r="V165" s="508"/>
      <c r="W165" s="509"/>
      <c r="X165" s="510"/>
      <c r="Y165" s="511"/>
      <c r="Z165" s="512"/>
      <c r="AA165" s="512"/>
      <c r="AB165" s="513"/>
      <c r="AC165" s="517"/>
      <c r="AD165" s="518"/>
      <c r="AE165" s="515"/>
    </row>
    <row r="166" spans="2:31" ht="15.6" customHeight="1">
      <c r="B166" s="635" t="s">
        <v>405</v>
      </c>
      <c r="C166" s="598" t="str">
        <f t="shared" si="18"/>
        <v/>
      </c>
      <c r="D166" s="599" t="s">
        <v>54</v>
      </c>
      <c r="E166" s="599" t="str">
        <f t="shared" si="19"/>
        <v/>
      </c>
      <c r="F166" s="500"/>
      <c r="G166" s="501"/>
      <c r="H166" s="502"/>
      <c r="I166" s="503"/>
      <c r="J166" s="502"/>
      <c r="K166" s="503"/>
      <c r="L166" s="502"/>
      <c r="M166" s="504"/>
      <c r="N166" s="505"/>
      <c r="O166" s="505"/>
      <c r="P166" s="507"/>
      <c r="Q166" s="506"/>
      <c r="R166" s="505"/>
      <c r="S166" s="507"/>
      <c r="T166" s="607"/>
      <c r="U166" s="608"/>
      <c r="V166" s="508"/>
      <c r="W166" s="509"/>
      <c r="X166" s="510"/>
      <c r="Y166" s="511"/>
      <c r="Z166" s="512"/>
      <c r="AA166" s="512"/>
      <c r="AB166" s="513"/>
      <c r="AC166" s="512"/>
      <c r="AD166" s="514"/>
      <c r="AE166" s="515"/>
    </row>
    <row r="167" spans="2:31" ht="15.6" customHeight="1">
      <c r="B167" s="635" t="s">
        <v>405</v>
      </c>
      <c r="C167" s="598" t="str">
        <f t="shared" si="18"/>
        <v/>
      </c>
      <c r="D167" s="599" t="s">
        <v>54</v>
      </c>
      <c r="E167" s="599" t="str">
        <f t="shared" si="19"/>
        <v/>
      </c>
      <c r="F167" s="500"/>
      <c r="G167" s="501"/>
      <c r="H167" s="502"/>
      <c r="I167" s="503"/>
      <c r="J167" s="502"/>
      <c r="K167" s="503"/>
      <c r="L167" s="502"/>
      <c r="M167" s="516"/>
      <c r="N167" s="505"/>
      <c r="O167" s="505"/>
      <c r="P167" s="507"/>
      <c r="Q167" s="506"/>
      <c r="R167" s="505"/>
      <c r="S167" s="507"/>
      <c r="T167" s="607"/>
      <c r="U167" s="608"/>
      <c r="V167" s="508"/>
      <c r="W167" s="509"/>
      <c r="X167" s="510"/>
      <c r="Y167" s="511"/>
      <c r="Z167" s="512"/>
      <c r="AA167" s="512"/>
      <c r="AB167" s="513"/>
      <c r="AC167" s="512"/>
      <c r="AD167" s="514"/>
      <c r="AE167" s="515"/>
    </row>
    <row r="168" spans="2:31" ht="15.6" customHeight="1" thickBot="1">
      <c r="B168" s="635" t="s">
        <v>405</v>
      </c>
      <c r="C168" s="598" t="str">
        <f t="shared" si="18"/>
        <v/>
      </c>
      <c r="D168" s="599" t="s">
        <v>54</v>
      </c>
      <c r="E168" s="599" t="str">
        <f t="shared" si="19"/>
        <v/>
      </c>
      <c r="F168" s="500"/>
      <c r="G168" s="501"/>
      <c r="H168" s="502"/>
      <c r="I168" s="503"/>
      <c r="J168" s="502"/>
      <c r="K168" s="503"/>
      <c r="L168" s="502"/>
      <c r="M168" s="504"/>
      <c r="N168" s="505"/>
      <c r="O168" s="505"/>
      <c r="P168" s="507"/>
      <c r="Q168" s="506"/>
      <c r="R168" s="505"/>
      <c r="S168" s="507"/>
      <c r="T168" s="607"/>
      <c r="U168" s="608"/>
      <c r="V168" s="508"/>
      <c r="W168" s="509"/>
      <c r="X168" s="510"/>
      <c r="Y168" s="511"/>
      <c r="Z168" s="512"/>
      <c r="AA168" s="512"/>
      <c r="AB168" s="513"/>
      <c r="AC168" s="517"/>
      <c r="AD168" s="518"/>
      <c r="AE168" s="515"/>
    </row>
    <row r="169" spans="2:31" ht="15.6" customHeight="1" thickTop="1">
      <c r="B169" s="636" t="s">
        <v>398</v>
      </c>
      <c r="C169" s="600" t="str">
        <f t="shared" si="18"/>
        <v/>
      </c>
      <c r="D169" s="601" t="s">
        <v>144</v>
      </c>
      <c r="E169" s="601" t="str">
        <f t="shared" ref="E169:E176" si="20">IF(C169="","",CONCATENATE(D169," ",C169))</f>
        <v/>
      </c>
      <c r="F169" s="519"/>
      <c r="G169" s="520"/>
      <c r="H169" s="521"/>
      <c r="I169" s="522"/>
      <c r="J169" s="521"/>
      <c r="K169" s="522"/>
      <c r="L169" s="521"/>
      <c r="M169" s="523"/>
      <c r="N169" s="524"/>
      <c r="O169" s="524"/>
      <c r="P169" s="526"/>
      <c r="Q169" s="525"/>
      <c r="R169" s="524"/>
      <c r="S169" s="526"/>
      <c r="T169" s="609"/>
      <c r="U169" s="610"/>
      <c r="V169" s="527"/>
      <c r="W169" s="528"/>
      <c r="X169" s="529"/>
      <c r="Y169" s="530"/>
      <c r="Z169" s="531"/>
      <c r="AA169" s="531"/>
      <c r="AB169" s="532"/>
      <c r="AC169" s="533"/>
      <c r="AD169" s="534"/>
      <c r="AE169" s="535"/>
    </row>
    <row r="170" spans="2:31" ht="15.6" customHeight="1">
      <c r="B170" s="637" t="s">
        <v>398</v>
      </c>
      <c r="C170" s="602" t="str">
        <f t="shared" si="18"/>
        <v/>
      </c>
      <c r="D170" s="603" t="s">
        <v>144</v>
      </c>
      <c r="E170" s="603" t="str">
        <f t="shared" si="20"/>
        <v/>
      </c>
      <c r="F170" s="536"/>
      <c r="G170" s="537"/>
      <c r="H170" s="538"/>
      <c r="I170" s="539"/>
      <c r="J170" s="538"/>
      <c r="K170" s="539"/>
      <c r="L170" s="538"/>
      <c r="M170" s="540"/>
      <c r="N170" s="541"/>
      <c r="O170" s="541"/>
      <c r="P170" s="543"/>
      <c r="Q170" s="542"/>
      <c r="R170" s="541"/>
      <c r="S170" s="543"/>
      <c r="T170" s="611"/>
      <c r="U170" s="612"/>
      <c r="V170" s="544"/>
      <c r="W170" s="545"/>
      <c r="X170" s="546"/>
      <c r="Y170" s="547"/>
      <c r="Z170" s="548"/>
      <c r="AA170" s="548"/>
      <c r="AB170" s="549"/>
      <c r="AC170" s="550"/>
      <c r="AD170" s="551"/>
      <c r="AE170" s="552"/>
    </row>
    <row r="171" spans="2:31" ht="15.6" customHeight="1">
      <c r="B171" s="637" t="s">
        <v>398</v>
      </c>
      <c r="C171" s="602" t="str">
        <f t="shared" si="18"/>
        <v/>
      </c>
      <c r="D171" s="603" t="s">
        <v>144</v>
      </c>
      <c r="E171" s="603" t="str">
        <f t="shared" si="20"/>
        <v/>
      </c>
      <c r="F171" s="536"/>
      <c r="G171" s="537"/>
      <c r="H171" s="538"/>
      <c r="I171" s="539"/>
      <c r="J171" s="538"/>
      <c r="K171" s="539"/>
      <c r="L171" s="538"/>
      <c r="M171" s="540"/>
      <c r="N171" s="541"/>
      <c r="O171" s="541"/>
      <c r="P171" s="543"/>
      <c r="Q171" s="542"/>
      <c r="R171" s="541"/>
      <c r="S171" s="543"/>
      <c r="T171" s="611"/>
      <c r="U171" s="612"/>
      <c r="V171" s="544"/>
      <c r="W171" s="545"/>
      <c r="X171" s="546"/>
      <c r="Y171" s="547"/>
      <c r="Z171" s="548"/>
      <c r="AA171" s="548"/>
      <c r="AB171" s="549"/>
      <c r="AC171" s="548"/>
      <c r="AD171" s="553"/>
      <c r="AE171" s="552"/>
    </row>
    <row r="172" spans="2:31" ht="15.6" customHeight="1">
      <c r="B172" s="637" t="s">
        <v>398</v>
      </c>
      <c r="C172" s="602" t="str">
        <f t="shared" si="18"/>
        <v/>
      </c>
      <c r="D172" s="603" t="s">
        <v>144</v>
      </c>
      <c r="E172" s="603" t="str">
        <f t="shared" si="20"/>
        <v/>
      </c>
      <c r="F172" s="536"/>
      <c r="G172" s="537"/>
      <c r="H172" s="538"/>
      <c r="I172" s="539"/>
      <c r="J172" s="538"/>
      <c r="K172" s="539"/>
      <c r="L172" s="538"/>
      <c r="M172" s="540"/>
      <c r="N172" s="541"/>
      <c r="O172" s="541"/>
      <c r="P172" s="543"/>
      <c r="Q172" s="542"/>
      <c r="R172" s="541"/>
      <c r="S172" s="543"/>
      <c r="T172" s="611"/>
      <c r="U172" s="612"/>
      <c r="V172" s="544"/>
      <c r="W172" s="545"/>
      <c r="X172" s="546"/>
      <c r="Y172" s="547"/>
      <c r="Z172" s="548"/>
      <c r="AA172" s="548"/>
      <c r="AB172" s="549"/>
      <c r="AC172" s="550"/>
      <c r="AD172" s="551"/>
      <c r="AE172" s="552"/>
    </row>
    <row r="173" spans="2:31" ht="15.6" customHeight="1">
      <c r="B173" s="637" t="s">
        <v>398</v>
      </c>
      <c r="C173" s="602" t="str">
        <f t="shared" si="18"/>
        <v/>
      </c>
      <c r="D173" s="603" t="s">
        <v>144</v>
      </c>
      <c r="E173" s="603" t="str">
        <f t="shared" si="20"/>
        <v/>
      </c>
      <c r="F173" s="536"/>
      <c r="G173" s="537"/>
      <c r="H173" s="538"/>
      <c r="I173" s="539"/>
      <c r="J173" s="538"/>
      <c r="K173" s="539"/>
      <c r="L173" s="538"/>
      <c r="M173" s="540"/>
      <c r="N173" s="541"/>
      <c r="O173" s="541"/>
      <c r="P173" s="543"/>
      <c r="Q173" s="542"/>
      <c r="R173" s="541"/>
      <c r="S173" s="543"/>
      <c r="T173" s="611"/>
      <c r="U173" s="612"/>
      <c r="V173" s="544"/>
      <c r="W173" s="545"/>
      <c r="X173" s="546"/>
      <c r="Y173" s="547"/>
      <c r="Z173" s="548"/>
      <c r="AA173" s="548"/>
      <c r="AB173" s="549"/>
      <c r="AC173" s="548"/>
      <c r="AD173" s="553"/>
      <c r="AE173" s="552"/>
    </row>
    <row r="174" spans="2:31" ht="15.6" customHeight="1">
      <c r="B174" s="637" t="s">
        <v>398</v>
      </c>
      <c r="C174" s="602" t="str">
        <f t="shared" si="18"/>
        <v/>
      </c>
      <c r="D174" s="603" t="s">
        <v>144</v>
      </c>
      <c r="E174" s="603" t="str">
        <f t="shared" si="20"/>
        <v/>
      </c>
      <c r="F174" s="536"/>
      <c r="G174" s="537"/>
      <c r="H174" s="538"/>
      <c r="I174" s="539"/>
      <c r="J174" s="538"/>
      <c r="K174" s="539"/>
      <c r="L174" s="538"/>
      <c r="M174" s="540"/>
      <c r="N174" s="554"/>
      <c r="O174" s="556"/>
      <c r="P174" s="557"/>
      <c r="Q174" s="555"/>
      <c r="R174" s="556"/>
      <c r="S174" s="557"/>
      <c r="T174" s="611"/>
      <c r="U174" s="612"/>
      <c r="V174" s="544"/>
      <c r="W174" s="545"/>
      <c r="X174" s="546"/>
      <c r="Y174" s="547"/>
      <c r="Z174" s="548"/>
      <c r="AA174" s="548"/>
      <c r="AB174" s="549"/>
      <c r="AC174" s="550"/>
      <c r="AD174" s="551"/>
      <c r="AE174" s="552"/>
    </row>
    <row r="175" spans="2:31" ht="15.6" customHeight="1">
      <c r="B175" s="637" t="s">
        <v>398</v>
      </c>
      <c r="C175" s="602" t="str">
        <f t="shared" si="18"/>
        <v/>
      </c>
      <c r="D175" s="603" t="s">
        <v>144</v>
      </c>
      <c r="E175" s="603" t="str">
        <f t="shared" si="20"/>
        <v/>
      </c>
      <c r="F175" s="536"/>
      <c r="G175" s="537"/>
      <c r="H175" s="538"/>
      <c r="I175" s="539"/>
      <c r="J175" s="538"/>
      <c r="K175" s="539"/>
      <c r="L175" s="538"/>
      <c r="M175" s="540"/>
      <c r="N175" s="554"/>
      <c r="O175" s="556"/>
      <c r="P175" s="557"/>
      <c r="Q175" s="555"/>
      <c r="R175" s="556"/>
      <c r="S175" s="557"/>
      <c r="T175" s="611"/>
      <c r="U175" s="612"/>
      <c r="V175" s="544"/>
      <c r="W175" s="545"/>
      <c r="X175" s="546"/>
      <c r="Y175" s="547"/>
      <c r="Z175" s="548"/>
      <c r="AA175" s="548"/>
      <c r="AB175" s="549"/>
      <c r="AC175" s="550"/>
      <c r="AD175" s="551"/>
      <c r="AE175" s="552"/>
    </row>
    <row r="176" spans="2:31" ht="15.6" customHeight="1" thickBot="1">
      <c r="B176" s="637" t="s">
        <v>398</v>
      </c>
      <c r="C176" s="602" t="str">
        <f t="shared" si="18"/>
        <v/>
      </c>
      <c r="D176" s="603" t="s">
        <v>144</v>
      </c>
      <c r="E176" s="603" t="str">
        <f t="shared" si="20"/>
        <v/>
      </c>
      <c r="F176" s="536"/>
      <c r="G176" s="537"/>
      <c r="H176" s="538"/>
      <c r="I176" s="539"/>
      <c r="J176" s="538"/>
      <c r="K176" s="539"/>
      <c r="L176" s="538"/>
      <c r="M176" s="540"/>
      <c r="N176" s="541"/>
      <c r="O176" s="541"/>
      <c r="P176" s="543"/>
      <c r="Q176" s="542"/>
      <c r="R176" s="541"/>
      <c r="S176" s="543"/>
      <c r="T176" s="611"/>
      <c r="U176" s="612"/>
      <c r="V176" s="544"/>
      <c r="W176" s="545"/>
      <c r="X176" s="546"/>
      <c r="Y176" s="547"/>
      <c r="Z176" s="548"/>
      <c r="AA176" s="548"/>
      <c r="AB176" s="549"/>
      <c r="AC176" s="548"/>
      <c r="AD176" s="553"/>
      <c r="AE176" s="552"/>
    </row>
    <row r="177" spans="2:31" ht="15.6" customHeight="1" thickTop="1">
      <c r="B177" s="634" t="s">
        <v>400</v>
      </c>
      <c r="C177" s="596" t="str">
        <f t="shared" si="18"/>
        <v/>
      </c>
      <c r="D177" s="597" t="s">
        <v>90</v>
      </c>
      <c r="E177" s="597" t="str">
        <f t="shared" ref="E177:E184" si="21">IF(C177="","",CONCATENATE(D177," ",C177))</f>
        <v/>
      </c>
      <c r="F177" s="484"/>
      <c r="G177" s="485"/>
      <c r="H177" s="486"/>
      <c r="I177" s="487"/>
      <c r="J177" s="486"/>
      <c r="K177" s="487"/>
      <c r="L177" s="486"/>
      <c r="M177" s="488"/>
      <c r="N177" s="489"/>
      <c r="O177" s="489"/>
      <c r="P177" s="491"/>
      <c r="Q177" s="490"/>
      <c r="R177" s="489"/>
      <c r="S177" s="491"/>
      <c r="T177" s="605"/>
      <c r="U177" s="606"/>
      <c r="V177" s="492"/>
      <c r="W177" s="493"/>
      <c r="X177" s="494"/>
      <c r="Y177" s="495"/>
      <c r="Z177" s="496"/>
      <c r="AA177" s="496"/>
      <c r="AB177" s="497"/>
      <c r="AC177" s="496"/>
      <c r="AD177" s="498"/>
      <c r="AE177" s="499"/>
    </row>
    <row r="178" spans="2:31" ht="15.6" customHeight="1">
      <c r="B178" s="635" t="s">
        <v>400</v>
      </c>
      <c r="C178" s="598" t="str">
        <f t="shared" si="18"/>
        <v/>
      </c>
      <c r="D178" s="599" t="s">
        <v>90</v>
      </c>
      <c r="E178" s="599" t="str">
        <f t="shared" si="21"/>
        <v/>
      </c>
      <c r="F178" s="500"/>
      <c r="G178" s="501"/>
      <c r="H178" s="502"/>
      <c r="I178" s="503"/>
      <c r="J178" s="502"/>
      <c r="K178" s="503"/>
      <c r="L178" s="502"/>
      <c r="M178" s="504"/>
      <c r="N178" s="505"/>
      <c r="O178" s="505"/>
      <c r="P178" s="507"/>
      <c r="Q178" s="506"/>
      <c r="R178" s="505"/>
      <c r="S178" s="507"/>
      <c r="T178" s="607"/>
      <c r="U178" s="608"/>
      <c r="V178" s="508"/>
      <c r="W178" s="509"/>
      <c r="X178" s="510"/>
      <c r="Y178" s="511"/>
      <c r="Z178" s="512"/>
      <c r="AA178" s="512"/>
      <c r="AB178" s="513"/>
      <c r="AC178" s="512"/>
      <c r="AD178" s="514"/>
      <c r="AE178" s="515"/>
    </row>
    <row r="179" spans="2:31" ht="15.6" customHeight="1">
      <c r="B179" s="635" t="s">
        <v>400</v>
      </c>
      <c r="C179" s="598" t="str">
        <f t="shared" si="18"/>
        <v/>
      </c>
      <c r="D179" s="599" t="s">
        <v>90</v>
      </c>
      <c r="E179" s="599" t="str">
        <f t="shared" si="21"/>
        <v/>
      </c>
      <c r="F179" s="500"/>
      <c r="G179" s="501"/>
      <c r="H179" s="502"/>
      <c r="I179" s="503"/>
      <c r="J179" s="502"/>
      <c r="K179" s="503"/>
      <c r="L179" s="502"/>
      <c r="M179" s="504"/>
      <c r="N179" s="505"/>
      <c r="O179" s="505"/>
      <c r="P179" s="507"/>
      <c r="Q179" s="506"/>
      <c r="R179" s="505"/>
      <c r="S179" s="507"/>
      <c r="T179" s="607"/>
      <c r="U179" s="608"/>
      <c r="V179" s="508"/>
      <c r="W179" s="509"/>
      <c r="X179" s="510"/>
      <c r="Y179" s="511"/>
      <c r="Z179" s="512"/>
      <c r="AA179" s="512"/>
      <c r="AB179" s="513"/>
      <c r="AC179" s="512"/>
      <c r="AD179" s="514"/>
      <c r="AE179" s="515"/>
    </row>
    <row r="180" spans="2:31" ht="15.6" customHeight="1">
      <c r="B180" s="635" t="s">
        <v>400</v>
      </c>
      <c r="C180" s="598" t="str">
        <f t="shared" si="18"/>
        <v/>
      </c>
      <c r="D180" s="599" t="s">
        <v>90</v>
      </c>
      <c r="E180" s="599" t="str">
        <f t="shared" si="21"/>
        <v/>
      </c>
      <c r="F180" s="500"/>
      <c r="G180" s="501"/>
      <c r="H180" s="502"/>
      <c r="I180" s="503"/>
      <c r="J180" s="502"/>
      <c r="K180" s="503"/>
      <c r="L180" s="502"/>
      <c r="M180" s="516"/>
      <c r="N180" s="505"/>
      <c r="O180" s="505"/>
      <c r="P180" s="507"/>
      <c r="Q180" s="506"/>
      <c r="R180" s="505"/>
      <c r="S180" s="507"/>
      <c r="T180" s="607"/>
      <c r="U180" s="608"/>
      <c r="V180" s="508"/>
      <c r="W180" s="509"/>
      <c r="X180" s="510"/>
      <c r="Y180" s="511"/>
      <c r="Z180" s="512"/>
      <c r="AA180" s="512"/>
      <c r="AB180" s="513"/>
      <c r="AC180" s="512"/>
      <c r="AD180" s="514"/>
      <c r="AE180" s="515"/>
    </row>
    <row r="181" spans="2:31" ht="15.6" customHeight="1">
      <c r="B181" s="635" t="s">
        <v>400</v>
      </c>
      <c r="C181" s="598" t="str">
        <f t="shared" si="18"/>
        <v/>
      </c>
      <c r="D181" s="599" t="s">
        <v>90</v>
      </c>
      <c r="E181" s="599" t="str">
        <f t="shared" si="21"/>
        <v/>
      </c>
      <c r="F181" s="500"/>
      <c r="G181" s="501"/>
      <c r="H181" s="502"/>
      <c r="I181" s="503"/>
      <c r="J181" s="502"/>
      <c r="K181" s="503"/>
      <c r="L181" s="502"/>
      <c r="M181" s="504"/>
      <c r="N181" s="505"/>
      <c r="O181" s="505"/>
      <c r="P181" s="507"/>
      <c r="Q181" s="506"/>
      <c r="R181" s="505"/>
      <c r="S181" s="507"/>
      <c r="T181" s="607"/>
      <c r="U181" s="608"/>
      <c r="V181" s="508"/>
      <c r="W181" s="509"/>
      <c r="X181" s="510"/>
      <c r="Y181" s="511"/>
      <c r="Z181" s="512"/>
      <c r="AA181" s="512"/>
      <c r="AB181" s="513"/>
      <c r="AC181" s="517"/>
      <c r="AD181" s="518"/>
      <c r="AE181" s="515"/>
    </row>
    <row r="182" spans="2:31" ht="15.6" customHeight="1">
      <c r="B182" s="635" t="s">
        <v>400</v>
      </c>
      <c r="C182" s="598" t="str">
        <f t="shared" si="18"/>
        <v/>
      </c>
      <c r="D182" s="599" t="s">
        <v>90</v>
      </c>
      <c r="E182" s="599" t="str">
        <f t="shared" si="21"/>
        <v/>
      </c>
      <c r="F182" s="500"/>
      <c r="G182" s="501"/>
      <c r="H182" s="502"/>
      <c r="I182" s="503"/>
      <c r="J182" s="502"/>
      <c r="K182" s="503"/>
      <c r="L182" s="502"/>
      <c r="M182" s="504"/>
      <c r="N182" s="505"/>
      <c r="O182" s="505"/>
      <c r="P182" s="507"/>
      <c r="Q182" s="506"/>
      <c r="R182" s="505"/>
      <c r="S182" s="507"/>
      <c r="T182" s="607"/>
      <c r="U182" s="608"/>
      <c r="V182" s="508"/>
      <c r="W182" s="509"/>
      <c r="X182" s="510"/>
      <c r="Y182" s="511"/>
      <c r="Z182" s="512"/>
      <c r="AA182" s="512"/>
      <c r="AB182" s="513"/>
      <c r="AC182" s="512"/>
      <c r="AD182" s="514"/>
      <c r="AE182" s="515"/>
    </row>
    <row r="183" spans="2:31" ht="15.6" customHeight="1">
      <c r="B183" s="635" t="s">
        <v>400</v>
      </c>
      <c r="C183" s="598" t="str">
        <f t="shared" si="18"/>
        <v/>
      </c>
      <c r="D183" s="599" t="s">
        <v>90</v>
      </c>
      <c r="E183" s="599" t="str">
        <f t="shared" si="21"/>
        <v/>
      </c>
      <c r="F183" s="500"/>
      <c r="G183" s="501"/>
      <c r="H183" s="502"/>
      <c r="I183" s="503"/>
      <c r="J183" s="502"/>
      <c r="K183" s="503"/>
      <c r="L183" s="502"/>
      <c r="M183" s="516"/>
      <c r="N183" s="505"/>
      <c r="O183" s="505"/>
      <c r="P183" s="507"/>
      <c r="Q183" s="506"/>
      <c r="R183" s="505"/>
      <c r="S183" s="507"/>
      <c r="T183" s="607"/>
      <c r="U183" s="608"/>
      <c r="V183" s="508"/>
      <c r="W183" s="509"/>
      <c r="X183" s="510"/>
      <c r="Y183" s="511"/>
      <c r="Z183" s="512"/>
      <c r="AA183" s="512"/>
      <c r="AB183" s="513"/>
      <c r="AC183" s="512"/>
      <c r="AD183" s="514"/>
      <c r="AE183" s="515"/>
    </row>
    <row r="184" spans="2:31" ht="15.6" customHeight="1" thickBot="1">
      <c r="B184" s="635" t="s">
        <v>400</v>
      </c>
      <c r="C184" s="598" t="str">
        <f t="shared" si="18"/>
        <v/>
      </c>
      <c r="D184" s="599" t="s">
        <v>90</v>
      </c>
      <c r="E184" s="599" t="str">
        <f t="shared" si="21"/>
        <v/>
      </c>
      <c r="F184" s="500"/>
      <c r="G184" s="501"/>
      <c r="H184" s="502"/>
      <c r="I184" s="503"/>
      <c r="J184" s="502"/>
      <c r="K184" s="503"/>
      <c r="L184" s="502"/>
      <c r="M184" s="504"/>
      <c r="N184" s="505"/>
      <c r="O184" s="505"/>
      <c r="P184" s="507"/>
      <c r="Q184" s="506"/>
      <c r="R184" s="505"/>
      <c r="S184" s="507"/>
      <c r="T184" s="607"/>
      <c r="U184" s="608"/>
      <c r="V184" s="508"/>
      <c r="W184" s="509"/>
      <c r="X184" s="510"/>
      <c r="Y184" s="511"/>
      <c r="Z184" s="512"/>
      <c r="AA184" s="512"/>
      <c r="AB184" s="513"/>
      <c r="AC184" s="517"/>
      <c r="AD184" s="518"/>
      <c r="AE184" s="515"/>
    </row>
    <row r="185" spans="2:31" ht="15.6" customHeight="1" thickTop="1">
      <c r="B185" s="636" t="s">
        <v>399</v>
      </c>
      <c r="C185" s="600" t="str">
        <f t="shared" si="18"/>
        <v/>
      </c>
      <c r="D185" s="601" t="s">
        <v>402</v>
      </c>
      <c r="E185" s="601" t="str">
        <f t="shared" ref="E185:E192" si="22">IF(C185="","",CONCATENATE(D185," ",C185))</f>
        <v/>
      </c>
      <c r="F185" s="519"/>
      <c r="G185" s="520"/>
      <c r="H185" s="521"/>
      <c r="I185" s="522"/>
      <c r="J185" s="521"/>
      <c r="K185" s="522"/>
      <c r="L185" s="521"/>
      <c r="M185" s="523"/>
      <c r="N185" s="524"/>
      <c r="O185" s="524"/>
      <c r="P185" s="526"/>
      <c r="Q185" s="525"/>
      <c r="R185" s="524"/>
      <c r="S185" s="526"/>
      <c r="T185" s="609"/>
      <c r="U185" s="610"/>
      <c r="V185" s="527"/>
      <c r="W185" s="528"/>
      <c r="X185" s="529"/>
      <c r="Y185" s="530"/>
      <c r="Z185" s="531"/>
      <c r="AA185" s="531"/>
      <c r="AB185" s="532"/>
      <c r="AC185" s="533"/>
      <c r="AD185" s="534"/>
      <c r="AE185" s="535"/>
    </row>
    <row r="186" spans="2:31" ht="15.6" customHeight="1">
      <c r="B186" s="637" t="s">
        <v>399</v>
      </c>
      <c r="C186" s="602" t="str">
        <f t="shared" si="18"/>
        <v/>
      </c>
      <c r="D186" s="603" t="s">
        <v>402</v>
      </c>
      <c r="E186" s="603" t="str">
        <f t="shared" si="22"/>
        <v/>
      </c>
      <c r="F186" s="536"/>
      <c r="G186" s="537"/>
      <c r="H186" s="538"/>
      <c r="I186" s="539"/>
      <c r="J186" s="538"/>
      <c r="K186" s="539"/>
      <c r="L186" s="538"/>
      <c r="M186" s="540"/>
      <c r="N186" s="541"/>
      <c r="O186" s="541"/>
      <c r="P186" s="543"/>
      <c r="Q186" s="542"/>
      <c r="R186" s="541"/>
      <c r="S186" s="543"/>
      <c r="T186" s="611"/>
      <c r="U186" s="612"/>
      <c r="V186" s="544"/>
      <c r="W186" s="545"/>
      <c r="X186" s="546"/>
      <c r="Y186" s="547"/>
      <c r="Z186" s="548"/>
      <c r="AA186" s="548"/>
      <c r="AB186" s="549"/>
      <c r="AC186" s="550"/>
      <c r="AD186" s="551"/>
      <c r="AE186" s="552"/>
    </row>
    <row r="187" spans="2:31" ht="15.6" customHeight="1">
      <c r="B187" s="637" t="s">
        <v>399</v>
      </c>
      <c r="C187" s="602" t="str">
        <f t="shared" si="18"/>
        <v/>
      </c>
      <c r="D187" s="603" t="s">
        <v>402</v>
      </c>
      <c r="E187" s="603" t="str">
        <f t="shared" si="22"/>
        <v/>
      </c>
      <c r="F187" s="536"/>
      <c r="G187" s="537"/>
      <c r="H187" s="538"/>
      <c r="I187" s="539"/>
      <c r="J187" s="538"/>
      <c r="K187" s="539"/>
      <c r="L187" s="538"/>
      <c r="M187" s="540"/>
      <c r="N187" s="541"/>
      <c r="O187" s="541"/>
      <c r="P187" s="543"/>
      <c r="Q187" s="542"/>
      <c r="R187" s="541"/>
      <c r="S187" s="543"/>
      <c r="T187" s="611"/>
      <c r="U187" s="612"/>
      <c r="V187" s="544"/>
      <c r="W187" s="545"/>
      <c r="X187" s="546"/>
      <c r="Y187" s="547"/>
      <c r="Z187" s="548"/>
      <c r="AA187" s="548"/>
      <c r="AB187" s="549"/>
      <c r="AC187" s="548"/>
      <c r="AD187" s="553"/>
      <c r="AE187" s="552"/>
    </row>
    <row r="188" spans="2:31" ht="15.6" customHeight="1">
      <c r="B188" s="637" t="s">
        <v>399</v>
      </c>
      <c r="C188" s="602" t="str">
        <f t="shared" si="18"/>
        <v/>
      </c>
      <c r="D188" s="603" t="s">
        <v>402</v>
      </c>
      <c r="E188" s="603" t="str">
        <f t="shared" si="22"/>
        <v/>
      </c>
      <c r="F188" s="536"/>
      <c r="G188" s="537"/>
      <c r="H188" s="538"/>
      <c r="I188" s="539"/>
      <c r="J188" s="538"/>
      <c r="K188" s="539"/>
      <c r="L188" s="538"/>
      <c r="M188" s="540"/>
      <c r="N188" s="541"/>
      <c r="O188" s="541"/>
      <c r="P188" s="543"/>
      <c r="Q188" s="542"/>
      <c r="R188" s="541"/>
      <c r="S188" s="543"/>
      <c r="T188" s="611"/>
      <c r="U188" s="612"/>
      <c r="V188" s="544"/>
      <c r="W188" s="545"/>
      <c r="X188" s="546"/>
      <c r="Y188" s="547"/>
      <c r="Z188" s="548"/>
      <c r="AA188" s="548"/>
      <c r="AB188" s="549"/>
      <c r="AC188" s="550"/>
      <c r="AD188" s="551"/>
      <c r="AE188" s="552"/>
    </row>
    <row r="189" spans="2:31" ht="15.6" customHeight="1">
      <c r="B189" s="637" t="s">
        <v>399</v>
      </c>
      <c r="C189" s="602" t="str">
        <f t="shared" si="18"/>
        <v/>
      </c>
      <c r="D189" s="603" t="s">
        <v>402</v>
      </c>
      <c r="E189" s="603" t="str">
        <f t="shared" si="22"/>
        <v/>
      </c>
      <c r="F189" s="536"/>
      <c r="G189" s="537"/>
      <c r="H189" s="538"/>
      <c r="I189" s="539"/>
      <c r="J189" s="538"/>
      <c r="K189" s="539"/>
      <c r="L189" s="538"/>
      <c r="M189" s="540"/>
      <c r="N189" s="541"/>
      <c r="O189" s="541"/>
      <c r="P189" s="543"/>
      <c r="Q189" s="542"/>
      <c r="R189" s="541"/>
      <c r="S189" s="543"/>
      <c r="T189" s="611"/>
      <c r="U189" s="612"/>
      <c r="V189" s="544"/>
      <c r="W189" s="545"/>
      <c r="X189" s="546"/>
      <c r="Y189" s="547"/>
      <c r="Z189" s="548"/>
      <c r="AA189" s="548"/>
      <c r="AB189" s="549"/>
      <c r="AC189" s="548"/>
      <c r="AD189" s="553"/>
      <c r="AE189" s="552"/>
    </row>
    <row r="190" spans="2:31" ht="15.6" customHeight="1">
      <c r="B190" s="637" t="s">
        <v>399</v>
      </c>
      <c r="C190" s="602" t="str">
        <f t="shared" si="18"/>
        <v/>
      </c>
      <c r="D190" s="603" t="s">
        <v>402</v>
      </c>
      <c r="E190" s="603" t="str">
        <f t="shared" si="22"/>
        <v/>
      </c>
      <c r="F190" s="536"/>
      <c r="G190" s="537"/>
      <c r="H190" s="538"/>
      <c r="I190" s="539"/>
      <c r="J190" s="538"/>
      <c r="K190" s="539"/>
      <c r="L190" s="538"/>
      <c r="M190" s="540"/>
      <c r="N190" s="554"/>
      <c r="O190" s="556"/>
      <c r="P190" s="557"/>
      <c r="Q190" s="555"/>
      <c r="R190" s="556"/>
      <c r="S190" s="557"/>
      <c r="T190" s="611"/>
      <c r="U190" s="612"/>
      <c r="V190" s="544"/>
      <c r="W190" s="545"/>
      <c r="X190" s="546"/>
      <c r="Y190" s="547"/>
      <c r="Z190" s="548"/>
      <c r="AA190" s="548"/>
      <c r="AB190" s="549"/>
      <c r="AC190" s="550"/>
      <c r="AD190" s="551"/>
      <c r="AE190" s="552"/>
    </row>
    <row r="191" spans="2:31" ht="15.6" customHeight="1">
      <c r="B191" s="637" t="s">
        <v>399</v>
      </c>
      <c r="C191" s="602" t="str">
        <f t="shared" si="18"/>
        <v/>
      </c>
      <c r="D191" s="603" t="s">
        <v>402</v>
      </c>
      <c r="E191" s="603" t="str">
        <f t="shared" si="22"/>
        <v/>
      </c>
      <c r="F191" s="536"/>
      <c r="G191" s="537"/>
      <c r="H191" s="538"/>
      <c r="I191" s="539"/>
      <c r="J191" s="538"/>
      <c r="K191" s="539"/>
      <c r="L191" s="538"/>
      <c r="M191" s="540"/>
      <c r="N191" s="554"/>
      <c r="O191" s="556"/>
      <c r="P191" s="557"/>
      <c r="Q191" s="555"/>
      <c r="R191" s="556"/>
      <c r="S191" s="557"/>
      <c r="T191" s="611"/>
      <c r="U191" s="612"/>
      <c r="V191" s="544"/>
      <c r="W191" s="545"/>
      <c r="X191" s="546"/>
      <c r="Y191" s="547"/>
      <c r="Z191" s="548"/>
      <c r="AA191" s="548"/>
      <c r="AB191" s="549"/>
      <c r="AC191" s="550"/>
      <c r="AD191" s="551"/>
      <c r="AE191" s="552"/>
    </row>
    <row r="192" spans="2:31" ht="15.6" customHeight="1" thickBot="1">
      <c r="B192" s="637" t="s">
        <v>399</v>
      </c>
      <c r="C192" s="602" t="str">
        <f t="shared" si="18"/>
        <v/>
      </c>
      <c r="D192" s="603" t="s">
        <v>402</v>
      </c>
      <c r="E192" s="603" t="str">
        <f t="shared" si="22"/>
        <v/>
      </c>
      <c r="F192" s="536"/>
      <c r="G192" s="537"/>
      <c r="H192" s="538"/>
      <c r="I192" s="539"/>
      <c r="J192" s="538"/>
      <c r="K192" s="539"/>
      <c r="L192" s="538"/>
      <c r="M192" s="540"/>
      <c r="N192" s="541"/>
      <c r="O192" s="541"/>
      <c r="P192" s="543"/>
      <c r="Q192" s="542"/>
      <c r="R192" s="541"/>
      <c r="S192" s="543"/>
      <c r="T192" s="611"/>
      <c r="U192" s="612"/>
      <c r="V192" s="544"/>
      <c r="W192" s="545"/>
      <c r="X192" s="546"/>
      <c r="Y192" s="547"/>
      <c r="Z192" s="548"/>
      <c r="AA192" s="548"/>
      <c r="AB192" s="549"/>
      <c r="AC192" s="548"/>
      <c r="AD192" s="553"/>
      <c r="AE192" s="552"/>
    </row>
    <row r="193" spans="2:31" ht="15.6" customHeight="1" thickTop="1">
      <c r="B193" s="634" t="s">
        <v>374</v>
      </c>
      <c r="C193" s="596" t="str">
        <f>IF(F193="","",F193)</f>
        <v/>
      </c>
      <c r="D193" s="597" t="s">
        <v>376</v>
      </c>
      <c r="E193" s="597" t="str">
        <f>IF(C193="","",CONCATENATE(D193," ",C193))</f>
        <v/>
      </c>
      <c r="F193" s="484"/>
      <c r="G193" s="485"/>
      <c r="H193" s="486"/>
      <c r="I193" s="487"/>
      <c r="J193" s="486"/>
      <c r="K193" s="487"/>
      <c r="L193" s="486"/>
      <c r="M193" s="488"/>
      <c r="N193" s="489"/>
      <c r="O193" s="489"/>
      <c r="P193" s="491"/>
      <c r="Q193" s="490"/>
      <c r="R193" s="489"/>
      <c r="S193" s="491"/>
      <c r="T193" s="605"/>
      <c r="U193" s="606"/>
      <c r="V193" s="492"/>
      <c r="W193" s="493"/>
      <c r="X193" s="494"/>
      <c r="Y193" s="495"/>
      <c r="Z193" s="496"/>
      <c r="AA193" s="496"/>
      <c r="AB193" s="497"/>
      <c r="AC193" s="496"/>
      <c r="AD193" s="498"/>
      <c r="AE193" s="499"/>
    </row>
    <row r="194" spans="2:31" ht="15.6" customHeight="1">
      <c r="B194" s="635" t="s">
        <v>374</v>
      </c>
      <c r="C194" s="598" t="str">
        <f t="shared" ref="C194:C200" si="23">IF(F194="","",F194)</f>
        <v/>
      </c>
      <c r="D194" s="599" t="s">
        <v>376</v>
      </c>
      <c r="E194" s="599" t="str">
        <f>IF(C194="","",CONCATENATE(D194," ",C194))</f>
        <v/>
      </c>
      <c r="F194" s="500"/>
      <c r="G194" s="501"/>
      <c r="H194" s="502"/>
      <c r="I194" s="503"/>
      <c r="J194" s="502"/>
      <c r="K194" s="503"/>
      <c r="L194" s="502"/>
      <c r="M194" s="504"/>
      <c r="N194" s="505"/>
      <c r="O194" s="505"/>
      <c r="P194" s="507"/>
      <c r="Q194" s="506"/>
      <c r="R194" s="505"/>
      <c r="S194" s="507"/>
      <c r="T194" s="607"/>
      <c r="U194" s="608"/>
      <c r="V194" s="508"/>
      <c r="W194" s="509"/>
      <c r="X194" s="510"/>
      <c r="Y194" s="511"/>
      <c r="Z194" s="512"/>
      <c r="AA194" s="512"/>
      <c r="AB194" s="513"/>
      <c r="AC194" s="512"/>
      <c r="AD194" s="514"/>
      <c r="AE194" s="515"/>
    </row>
    <row r="195" spans="2:31" ht="15.6" customHeight="1">
      <c r="B195" s="635" t="s">
        <v>374</v>
      </c>
      <c r="C195" s="598" t="str">
        <f t="shared" si="23"/>
        <v/>
      </c>
      <c r="D195" s="599" t="s">
        <v>376</v>
      </c>
      <c r="E195" s="599" t="str">
        <f t="shared" ref="E195:E200" si="24">IF(C195="","",CONCATENATE(D195," ",C195))</f>
        <v/>
      </c>
      <c r="F195" s="500"/>
      <c r="G195" s="501"/>
      <c r="H195" s="502"/>
      <c r="I195" s="503"/>
      <c r="J195" s="502"/>
      <c r="K195" s="503"/>
      <c r="L195" s="502"/>
      <c r="M195" s="504"/>
      <c r="N195" s="505"/>
      <c r="O195" s="505"/>
      <c r="P195" s="507"/>
      <c r="Q195" s="506"/>
      <c r="R195" s="505"/>
      <c r="S195" s="507"/>
      <c r="T195" s="607"/>
      <c r="U195" s="608"/>
      <c r="V195" s="508"/>
      <c r="W195" s="509"/>
      <c r="X195" s="510"/>
      <c r="Y195" s="511"/>
      <c r="Z195" s="512"/>
      <c r="AA195" s="512"/>
      <c r="AB195" s="513"/>
      <c r="AC195" s="512"/>
      <c r="AD195" s="514"/>
      <c r="AE195" s="515"/>
    </row>
    <row r="196" spans="2:31" ht="15.6" customHeight="1">
      <c r="B196" s="635" t="s">
        <v>374</v>
      </c>
      <c r="C196" s="598" t="str">
        <f t="shared" si="23"/>
        <v/>
      </c>
      <c r="D196" s="599" t="s">
        <v>376</v>
      </c>
      <c r="E196" s="599" t="str">
        <f t="shared" si="24"/>
        <v/>
      </c>
      <c r="F196" s="500"/>
      <c r="G196" s="501"/>
      <c r="H196" s="502"/>
      <c r="I196" s="503"/>
      <c r="J196" s="502"/>
      <c r="K196" s="503"/>
      <c r="L196" s="502"/>
      <c r="M196" s="516"/>
      <c r="N196" s="505"/>
      <c r="O196" s="505"/>
      <c r="P196" s="507"/>
      <c r="Q196" s="506"/>
      <c r="R196" s="505"/>
      <c r="S196" s="507"/>
      <c r="T196" s="607"/>
      <c r="U196" s="608"/>
      <c r="V196" s="508"/>
      <c r="W196" s="509"/>
      <c r="X196" s="510"/>
      <c r="Y196" s="511"/>
      <c r="Z196" s="512"/>
      <c r="AA196" s="512"/>
      <c r="AB196" s="513"/>
      <c r="AC196" s="512"/>
      <c r="AD196" s="514"/>
      <c r="AE196" s="515"/>
    </row>
    <row r="197" spans="2:31" ht="15.6" customHeight="1">
      <c r="B197" s="635" t="s">
        <v>374</v>
      </c>
      <c r="C197" s="598" t="str">
        <f t="shared" si="23"/>
        <v/>
      </c>
      <c r="D197" s="599" t="s">
        <v>376</v>
      </c>
      <c r="E197" s="599" t="str">
        <f t="shared" si="24"/>
        <v/>
      </c>
      <c r="F197" s="500"/>
      <c r="G197" s="501"/>
      <c r="H197" s="502"/>
      <c r="I197" s="503"/>
      <c r="J197" s="502"/>
      <c r="K197" s="503"/>
      <c r="L197" s="502"/>
      <c r="M197" s="504"/>
      <c r="N197" s="505"/>
      <c r="O197" s="505"/>
      <c r="P197" s="507"/>
      <c r="Q197" s="506"/>
      <c r="R197" s="505"/>
      <c r="S197" s="507"/>
      <c r="T197" s="607"/>
      <c r="U197" s="608"/>
      <c r="V197" s="508"/>
      <c r="W197" s="509"/>
      <c r="X197" s="510"/>
      <c r="Y197" s="511"/>
      <c r="Z197" s="512"/>
      <c r="AA197" s="512"/>
      <c r="AB197" s="513"/>
      <c r="AC197" s="517"/>
      <c r="AD197" s="518"/>
      <c r="AE197" s="515"/>
    </row>
    <row r="198" spans="2:31" ht="15.6" customHeight="1">
      <c r="B198" s="635" t="s">
        <v>374</v>
      </c>
      <c r="C198" s="598" t="str">
        <f t="shared" si="23"/>
        <v/>
      </c>
      <c r="D198" s="599" t="s">
        <v>376</v>
      </c>
      <c r="E198" s="599" t="str">
        <f t="shared" si="24"/>
        <v/>
      </c>
      <c r="F198" s="500"/>
      <c r="G198" s="501"/>
      <c r="H198" s="502"/>
      <c r="I198" s="503"/>
      <c r="J198" s="502"/>
      <c r="K198" s="503"/>
      <c r="L198" s="502"/>
      <c r="M198" s="504"/>
      <c r="N198" s="505"/>
      <c r="O198" s="505"/>
      <c r="P198" s="507"/>
      <c r="Q198" s="506"/>
      <c r="R198" s="505"/>
      <c r="S198" s="507"/>
      <c r="T198" s="607"/>
      <c r="U198" s="608"/>
      <c r="V198" s="508"/>
      <c r="W198" s="509"/>
      <c r="X198" s="510"/>
      <c r="Y198" s="511"/>
      <c r="Z198" s="512"/>
      <c r="AA198" s="512"/>
      <c r="AB198" s="513"/>
      <c r="AC198" s="512"/>
      <c r="AD198" s="514"/>
      <c r="AE198" s="515"/>
    </row>
    <row r="199" spans="2:31" ht="15.6" customHeight="1">
      <c r="B199" s="635" t="s">
        <v>374</v>
      </c>
      <c r="C199" s="598" t="str">
        <f t="shared" si="23"/>
        <v/>
      </c>
      <c r="D199" s="599" t="s">
        <v>376</v>
      </c>
      <c r="E199" s="599" t="str">
        <f t="shared" si="24"/>
        <v/>
      </c>
      <c r="F199" s="500"/>
      <c r="G199" s="501"/>
      <c r="H199" s="502"/>
      <c r="I199" s="503"/>
      <c r="J199" s="502"/>
      <c r="K199" s="503"/>
      <c r="L199" s="502"/>
      <c r="M199" s="516"/>
      <c r="N199" s="505"/>
      <c r="O199" s="505"/>
      <c r="P199" s="507"/>
      <c r="Q199" s="506"/>
      <c r="R199" s="505"/>
      <c r="S199" s="507"/>
      <c r="T199" s="607"/>
      <c r="U199" s="608"/>
      <c r="V199" s="508"/>
      <c r="W199" s="509"/>
      <c r="X199" s="510"/>
      <c r="Y199" s="511"/>
      <c r="Z199" s="512"/>
      <c r="AA199" s="512"/>
      <c r="AB199" s="513"/>
      <c r="AC199" s="512"/>
      <c r="AD199" s="514"/>
      <c r="AE199" s="515"/>
    </row>
    <row r="200" spans="2:31" ht="15.6" customHeight="1" thickBot="1">
      <c r="B200" s="635" t="s">
        <v>374</v>
      </c>
      <c r="C200" s="598" t="str">
        <f t="shared" si="23"/>
        <v/>
      </c>
      <c r="D200" s="599" t="s">
        <v>376</v>
      </c>
      <c r="E200" s="599" t="str">
        <f t="shared" si="24"/>
        <v/>
      </c>
      <c r="F200" s="500"/>
      <c r="G200" s="501"/>
      <c r="H200" s="502"/>
      <c r="I200" s="503"/>
      <c r="J200" s="502"/>
      <c r="K200" s="503"/>
      <c r="L200" s="502"/>
      <c r="M200" s="504"/>
      <c r="N200" s="505"/>
      <c r="O200" s="505"/>
      <c r="P200" s="507"/>
      <c r="Q200" s="506"/>
      <c r="R200" s="505"/>
      <c r="S200" s="507"/>
      <c r="T200" s="607"/>
      <c r="U200" s="608"/>
      <c r="V200" s="508"/>
      <c r="W200" s="509"/>
      <c r="X200" s="510"/>
      <c r="Y200" s="511"/>
      <c r="Z200" s="512"/>
      <c r="AA200" s="512"/>
      <c r="AB200" s="513"/>
      <c r="AC200" s="517"/>
      <c r="AD200" s="518"/>
      <c r="AE200" s="515"/>
    </row>
    <row r="201" spans="2:31" ht="15.6" customHeight="1" thickTop="1">
      <c r="B201" s="636" t="s">
        <v>375</v>
      </c>
      <c r="C201" s="600" t="str">
        <f t="shared" ref="C201:C208" si="25">IF(F201="","",F201)</f>
        <v/>
      </c>
      <c r="D201" s="601" t="s">
        <v>71</v>
      </c>
      <c r="E201" s="601" t="str">
        <f t="shared" ref="E201:E208" si="26">IF(C201="","",CONCATENATE(D201," ",C201))</f>
        <v/>
      </c>
      <c r="F201" s="519"/>
      <c r="G201" s="520"/>
      <c r="H201" s="521"/>
      <c r="I201" s="522"/>
      <c r="J201" s="521"/>
      <c r="K201" s="522"/>
      <c r="L201" s="521"/>
      <c r="M201" s="523"/>
      <c r="N201" s="524"/>
      <c r="O201" s="524"/>
      <c r="P201" s="526"/>
      <c r="Q201" s="525"/>
      <c r="R201" s="524"/>
      <c r="S201" s="526"/>
      <c r="T201" s="609"/>
      <c r="U201" s="610"/>
      <c r="V201" s="527"/>
      <c r="W201" s="528"/>
      <c r="X201" s="529"/>
      <c r="Y201" s="530"/>
      <c r="Z201" s="531"/>
      <c r="AA201" s="531"/>
      <c r="AB201" s="532"/>
      <c r="AC201" s="533"/>
      <c r="AD201" s="534"/>
      <c r="AE201" s="535"/>
    </row>
    <row r="202" spans="2:31" ht="15.6" customHeight="1">
      <c r="B202" s="637" t="s">
        <v>375</v>
      </c>
      <c r="C202" s="602" t="str">
        <f t="shared" si="25"/>
        <v/>
      </c>
      <c r="D202" s="603" t="s">
        <v>71</v>
      </c>
      <c r="E202" s="603" t="str">
        <f t="shared" si="26"/>
        <v/>
      </c>
      <c r="F202" s="536"/>
      <c r="G202" s="537"/>
      <c r="H202" s="538"/>
      <c r="I202" s="539"/>
      <c r="J202" s="538"/>
      <c r="K202" s="539"/>
      <c r="L202" s="538"/>
      <c r="M202" s="540"/>
      <c r="N202" s="541"/>
      <c r="O202" s="541"/>
      <c r="P202" s="543"/>
      <c r="Q202" s="542"/>
      <c r="R202" s="541"/>
      <c r="S202" s="543"/>
      <c r="T202" s="611"/>
      <c r="U202" s="612"/>
      <c r="V202" s="544"/>
      <c r="W202" s="545"/>
      <c r="X202" s="546"/>
      <c r="Y202" s="547"/>
      <c r="Z202" s="548"/>
      <c r="AA202" s="548"/>
      <c r="AB202" s="549"/>
      <c r="AC202" s="550"/>
      <c r="AD202" s="551"/>
      <c r="AE202" s="552"/>
    </row>
    <row r="203" spans="2:31" ht="15.6" customHeight="1">
      <c r="B203" s="637" t="s">
        <v>375</v>
      </c>
      <c r="C203" s="602" t="str">
        <f t="shared" si="25"/>
        <v/>
      </c>
      <c r="D203" s="603" t="s">
        <v>71</v>
      </c>
      <c r="E203" s="603" t="str">
        <f t="shared" si="26"/>
        <v/>
      </c>
      <c r="F203" s="536"/>
      <c r="G203" s="537"/>
      <c r="H203" s="538"/>
      <c r="I203" s="539"/>
      <c r="J203" s="538"/>
      <c r="K203" s="539"/>
      <c r="L203" s="538"/>
      <c r="M203" s="540"/>
      <c r="N203" s="541"/>
      <c r="O203" s="541"/>
      <c r="P203" s="543"/>
      <c r="Q203" s="542"/>
      <c r="R203" s="541"/>
      <c r="S203" s="543"/>
      <c r="T203" s="611"/>
      <c r="U203" s="612"/>
      <c r="V203" s="544"/>
      <c r="W203" s="545"/>
      <c r="X203" s="546"/>
      <c r="Y203" s="547"/>
      <c r="Z203" s="548"/>
      <c r="AA203" s="548"/>
      <c r="AB203" s="549"/>
      <c r="AC203" s="548"/>
      <c r="AD203" s="553"/>
      <c r="AE203" s="552"/>
    </row>
    <row r="204" spans="2:31" ht="15.6" customHeight="1">
      <c r="B204" s="637" t="s">
        <v>375</v>
      </c>
      <c r="C204" s="602" t="str">
        <f t="shared" si="25"/>
        <v/>
      </c>
      <c r="D204" s="603" t="s">
        <v>71</v>
      </c>
      <c r="E204" s="603" t="str">
        <f t="shared" si="26"/>
        <v/>
      </c>
      <c r="F204" s="536"/>
      <c r="G204" s="537"/>
      <c r="H204" s="538"/>
      <c r="I204" s="539"/>
      <c r="J204" s="538"/>
      <c r="K204" s="539"/>
      <c r="L204" s="538"/>
      <c r="M204" s="540"/>
      <c r="N204" s="541"/>
      <c r="O204" s="541"/>
      <c r="P204" s="543"/>
      <c r="Q204" s="542"/>
      <c r="R204" s="541"/>
      <c r="S204" s="543"/>
      <c r="T204" s="611"/>
      <c r="U204" s="612"/>
      <c r="V204" s="544"/>
      <c r="W204" s="545"/>
      <c r="X204" s="546"/>
      <c r="Y204" s="547"/>
      <c r="Z204" s="548"/>
      <c r="AA204" s="548"/>
      <c r="AB204" s="549"/>
      <c r="AC204" s="550"/>
      <c r="AD204" s="551"/>
      <c r="AE204" s="552"/>
    </row>
    <row r="205" spans="2:31" ht="15.6" customHeight="1">
      <c r="B205" s="637" t="s">
        <v>375</v>
      </c>
      <c r="C205" s="602" t="str">
        <f t="shared" si="25"/>
        <v/>
      </c>
      <c r="D205" s="603" t="s">
        <v>71</v>
      </c>
      <c r="E205" s="603" t="str">
        <f t="shared" si="26"/>
        <v/>
      </c>
      <c r="F205" s="536"/>
      <c r="G205" s="537"/>
      <c r="H205" s="538"/>
      <c r="I205" s="539"/>
      <c r="J205" s="538"/>
      <c r="K205" s="539"/>
      <c r="L205" s="538"/>
      <c r="M205" s="540"/>
      <c r="N205" s="541"/>
      <c r="O205" s="541"/>
      <c r="P205" s="543"/>
      <c r="Q205" s="542"/>
      <c r="R205" s="541"/>
      <c r="S205" s="543"/>
      <c r="T205" s="611"/>
      <c r="U205" s="612"/>
      <c r="V205" s="544"/>
      <c r="W205" s="545"/>
      <c r="X205" s="546"/>
      <c r="Y205" s="547"/>
      <c r="Z205" s="548"/>
      <c r="AA205" s="548"/>
      <c r="AB205" s="549"/>
      <c r="AC205" s="548"/>
      <c r="AD205" s="553"/>
      <c r="AE205" s="552"/>
    </row>
    <row r="206" spans="2:31" ht="15.6" customHeight="1">
      <c r="B206" s="637" t="s">
        <v>375</v>
      </c>
      <c r="C206" s="602" t="str">
        <f t="shared" si="25"/>
        <v/>
      </c>
      <c r="D206" s="603" t="s">
        <v>71</v>
      </c>
      <c r="E206" s="603" t="str">
        <f t="shared" si="26"/>
        <v/>
      </c>
      <c r="F206" s="536"/>
      <c r="G206" s="537"/>
      <c r="H206" s="538"/>
      <c r="I206" s="539"/>
      <c r="J206" s="538"/>
      <c r="K206" s="539"/>
      <c r="L206" s="538"/>
      <c r="M206" s="540"/>
      <c r="N206" s="554"/>
      <c r="O206" s="556"/>
      <c r="P206" s="557"/>
      <c r="Q206" s="555"/>
      <c r="R206" s="556"/>
      <c r="S206" s="557"/>
      <c r="T206" s="611"/>
      <c r="U206" s="612"/>
      <c r="V206" s="544"/>
      <c r="W206" s="545"/>
      <c r="X206" s="546"/>
      <c r="Y206" s="547"/>
      <c r="Z206" s="548"/>
      <c r="AA206" s="548"/>
      <c r="AB206" s="549"/>
      <c r="AC206" s="550"/>
      <c r="AD206" s="551"/>
      <c r="AE206" s="552"/>
    </row>
    <row r="207" spans="2:31" ht="15.6" customHeight="1">
      <c r="B207" s="637" t="s">
        <v>375</v>
      </c>
      <c r="C207" s="602" t="str">
        <f t="shared" si="25"/>
        <v/>
      </c>
      <c r="D207" s="603" t="s">
        <v>71</v>
      </c>
      <c r="E207" s="603" t="str">
        <f t="shared" si="26"/>
        <v/>
      </c>
      <c r="F207" s="536"/>
      <c r="G207" s="537"/>
      <c r="H207" s="538"/>
      <c r="I207" s="539"/>
      <c r="J207" s="538"/>
      <c r="K207" s="539"/>
      <c r="L207" s="538"/>
      <c r="M207" s="540"/>
      <c r="N207" s="554"/>
      <c r="O207" s="556"/>
      <c r="P207" s="557"/>
      <c r="Q207" s="555"/>
      <c r="R207" s="556"/>
      <c r="S207" s="557"/>
      <c r="T207" s="611"/>
      <c r="U207" s="612"/>
      <c r="V207" s="544"/>
      <c r="W207" s="545"/>
      <c r="X207" s="546"/>
      <c r="Y207" s="547"/>
      <c r="Z207" s="548"/>
      <c r="AA207" s="548"/>
      <c r="AB207" s="549"/>
      <c r="AC207" s="550"/>
      <c r="AD207" s="551"/>
      <c r="AE207" s="552"/>
    </row>
    <row r="208" spans="2:31" ht="15" customHeight="1" thickBot="1">
      <c r="B208" s="644" t="s">
        <v>375</v>
      </c>
      <c r="C208" s="645" t="str">
        <f t="shared" si="25"/>
        <v/>
      </c>
      <c r="D208" s="646" t="s">
        <v>71</v>
      </c>
      <c r="E208" s="646" t="str">
        <f t="shared" si="26"/>
        <v/>
      </c>
      <c r="F208" s="647"/>
      <c r="G208" s="648"/>
      <c r="H208" s="649"/>
      <c r="I208" s="650"/>
      <c r="J208" s="649"/>
      <c r="K208" s="650"/>
      <c r="L208" s="649"/>
      <c r="M208" s="651"/>
      <c r="N208" s="652"/>
      <c r="O208" s="652"/>
      <c r="P208" s="653"/>
      <c r="Q208" s="654"/>
      <c r="R208" s="652"/>
      <c r="S208" s="653"/>
      <c r="T208" s="655"/>
      <c r="U208" s="656"/>
      <c r="V208" s="657"/>
      <c r="W208" s="658"/>
      <c r="X208" s="659"/>
      <c r="Y208" s="660"/>
      <c r="Z208" s="661"/>
      <c r="AA208" s="661"/>
      <c r="AB208" s="662"/>
      <c r="AC208" s="661"/>
      <c r="AD208" s="663"/>
      <c r="AE208" s="664"/>
    </row>
    <row r="209" spans="2:31" ht="15.6" customHeight="1" thickTop="1">
      <c r="B209" s="634" t="s">
        <v>411</v>
      </c>
      <c r="C209" s="596" t="str">
        <f t="shared" ref="C209:C216" si="27">IF(F209="","",F209)</f>
        <v>tan zero</v>
      </c>
      <c r="D209" s="597" t="s">
        <v>52</v>
      </c>
      <c r="E209" s="597" t="str">
        <f t="shared" ref="E209:E216" si="28">IF(C209="","",CONCATENATE(D209," ",C209))</f>
        <v>AV tan zero</v>
      </c>
      <c r="F209" s="484" t="s">
        <v>415</v>
      </c>
      <c r="G209" s="485"/>
      <c r="H209" s="486"/>
      <c r="I209" s="487"/>
      <c r="J209" s="486"/>
      <c r="K209" s="487"/>
      <c r="L209" s="486"/>
      <c r="M209" s="488">
        <v>0</v>
      </c>
      <c r="N209" s="489">
        <v>0.09</v>
      </c>
      <c r="O209" s="489"/>
      <c r="P209" s="491"/>
      <c r="Q209" s="490"/>
      <c r="R209" s="489"/>
      <c r="S209" s="491"/>
      <c r="T209" s="605"/>
      <c r="U209" s="606"/>
      <c r="V209" s="492"/>
      <c r="W209" s="493"/>
      <c r="X209" s="494"/>
      <c r="Y209" s="495"/>
      <c r="Z209" s="496"/>
      <c r="AA209" s="496"/>
      <c r="AB209" s="497"/>
      <c r="AC209" s="496"/>
      <c r="AD209" s="498"/>
      <c r="AE209" s="499"/>
    </row>
    <row r="210" spans="2:31" ht="15.6" customHeight="1">
      <c r="B210" s="635" t="s">
        <v>411</v>
      </c>
      <c r="C210" s="598" t="str">
        <f t="shared" si="27"/>
        <v/>
      </c>
      <c r="D210" s="599" t="s">
        <v>52</v>
      </c>
      <c r="E210" s="599" t="str">
        <f t="shared" si="28"/>
        <v/>
      </c>
      <c r="F210" s="500"/>
      <c r="G210" s="501"/>
      <c r="H210" s="502"/>
      <c r="I210" s="503"/>
      <c r="J210" s="502"/>
      <c r="K210" s="503"/>
      <c r="L210" s="502"/>
      <c r="M210" s="504"/>
      <c r="N210" s="505"/>
      <c r="O210" s="505"/>
      <c r="P210" s="507"/>
      <c r="Q210" s="506"/>
      <c r="R210" s="505"/>
      <c r="S210" s="507"/>
      <c r="T210" s="607"/>
      <c r="U210" s="608"/>
      <c r="V210" s="508"/>
      <c r="W210" s="509"/>
      <c r="X210" s="510"/>
      <c r="Y210" s="511"/>
      <c r="Z210" s="512"/>
      <c r="AA210" s="512"/>
      <c r="AB210" s="513"/>
      <c r="AC210" s="512"/>
      <c r="AD210" s="514"/>
      <c r="AE210" s="515"/>
    </row>
    <row r="211" spans="2:31" ht="15.6" customHeight="1">
      <c r="B211" s="635" t="s">
        <v>411</v>
      </c>
      <c r="C211" s="598" t="str">
        <f t="shared" si="27"/>
        <v/>
      </c>
      <c r="D211" s="599" t="s">
        <v>52</v>
      </c>
      <c r="E211" s="599" t="str">
        <f t="shared" si="28"/>
        <v/>
      </c>
      <c r="F211" s="500"/>
      <c r="G211" s="501"/>
      <c r="H211" s="502"/>
      <c r="I211" s="503"/>
      <c r="J211" s="502"/>
      <c r="K211" s="503"/>
      <c r="L211" s="502"/>
      <c r="M211" s="504"/>
      <c r="N211" s="505"/>
      <c r="O211" s="505"/>
      <c r="P211" s="507"/>
      <c r="Q211" s="506"/>
      <c r="R211" s="505"/>
      <c r="S211" s="507"/>
      <c r="T211" s="607"/>
      <c r="U211" s="608"/>
      <c r="V211" s="508"/>
      <c r="W211" s="509"/>
      <c r="X211" s="510"/>
      <c r="Y211" s="511"/>
      <c r="Z211" s="512"/>
      <c r="AA211" s="512"/>
      <c r="AB211" s="513"/>
      <c r="AC211" s="512"/>
      <c r="AD211" s="514"/>
      <c r="AE211" s="515"/>
    </row>
    <row r="212" spans="2:31" ht="15.6" customHeight="1">
      <c r="B212" s="635" t="s">
        <v>411</v>
      </c>
      <c r="C212" s="598" t="str">
        <f t="shared" si="27"/>
        <v/>
      </c>
      <c r="D212" s="599" t="s">
        <v>52</v>
      </c>
      <c r="E212" s="599" t="str">
        <f t="shared" si="28"/>
        <v/>
      </c>
      <c r="F212" s="500"/>
      <c r="G212" s="501"/>
      <c r="H212" s="502"/>
      <c r="I212" s="503"/>
      <c r="J212" s="502"/>
      <c r="K212" s="503"/>
      <c r="L212" s="502"/>
      <c r="M212" s="516"/>
      <c r="N212" s="505"/>
      <c r="O212" s="505"/>
      <c r="P212" s="507"/>
      <c r="Q212" s="506"/>
      <c r="R212" s="505"/>
      <c r="S212" s="507"/>
      <c r="T212" s="607"/>
      <c r="U212" s="608"/>
      <c r="V212" s="508"/>
      <c r="W212" s="509"/>
      <c r="X212" s="510"/>
      <c r="Y212" s="511"/>
      <c r="Z212" s="512"/>
      <c r="AA212" s="512"/>
      <c r="AB212" s="513"/>
      <c r="AC212" s="512"/>
      <c r="AD212" s="514"/>
      <c r="AE212" s="515"/>
    </row>
    <row r="213" spans="2:31" ht="15.6" customHeight="1">
      <c r="B213" s="635" t="s">
        <v>411</v>
      </c>
      <c r="C213" s="598" t="str">
        <f t="shared" si="27"/>
        <v/>
      </c>
      <c r="D213" s="599" t="s">
        <v>52</v>
      </c>
      <c r="E213" s="599" t="str">
        <f t="shared" si="28"/>
        <v/>
      </c>
      <c r="F213" s="500"/>
      <c r="G213" s="501"/>
      <c r="H213" s="502"/>
      <c r="I213" s="503"/>
      <c r="J213" s="502"/>
      <c r="K213" s="503"/>
      <c r="L213" s="502"/>
      <c r="M213" s="504"/>
      <c r="N213" s="505"/>
      <c r="O213" s="505"/>
      <c r="P213" s="507"/>
      <c r="Q213" s="506"/>
      <c r="R213" s="505"/>
      <c r="S213" s="507"/>
      <c r="T213" s="607"/>
      <c r="U213" s="608"/>
      <c r="V213" s="508"/>
      <c r="W213" s="509"/>
      <c r="X213" s="510"/>
      <c r="Y213" s="511"/>
      <c r="Z213" s="512"/>
      <c r="AA213" s="512"/>
      <c r="AB213" s="513"/>
      <c r="AC213" s="517"/>
      <c r="AD213" s="518"/>
      <c r="AE213" s="515"/>
    </row>
    <row r="214" spans="2:31" ht="15.6" customHeight="1">
      <c r="B214" s="635" t="s">
        <v>411</v>
      </c>
      <c r="C214" s="598" t="str">
        <f t="shared" si="27"/>
        <v/>
      </c>
      <c r="D214" s="599" t="s">
        <v>52</v>
      </c>
      <c r="E214" s="599" t="str">
        <f t="shared" si="28"/>
        <v/>
      </c>
      <c r="F214" s="500"/>
      <c r="G214" s="501"/>
      <c r="H214" s="502"/>
      <c r="I214" s="503"/>
      <c r="J214" s="502"/>
      <c r="K214" s="503"/>
      <c r="L214" s="502"/>
      <c r="M214" s="504"/>
      <c r="N214" s="505"/>
      <c r="O214" s="505"/>
      <c r="P214" s="507"/>
      <c r="Q214" s="506"/>
      <c r="R214" s="505"/>
      <c r="S214" s="507"/>
      <c r="T214" s="607"/>
      <c r="U214" s="608"/>
      <c r="V214" s="508"/>
      <c r="W214" s="509"/>
      <c r="X214" s="510"/>
      <c r="Y214" s="511"/>
      <c r="Z214" s="512"/>
      <c r="AA214" s="512"/>
      <c r="AB214" s="513"/>
      <c r="AC214" s="512"/>
      <c r="AD214" s="514"/>
      <c r="AE214" s="515"/>
    </row>
    <row r="215" spans="2:31" ht="15.6" customHeight="1">
      <c r="B215" s="635" t="s">
        <v>411</v>
      </c>
      <c r="C215" s="598" t="str">
        <f t="shared" si="27"/>
        <v/>
      </c>
      <c r="D215" s="599" t="s">
        <v>52</v>
      </c>
      <c r="E215" s="599" t="str">
        <f t="shared" si="28"/>
        <v/>
      </c>
      <c r="F215" s="500"/>
      <c r="G215" s="501"/>
      <c r="H215" s="502"/>
      <c r="I215" s="503"/>
      <c r="J215" s="502"/>
      <c r="K215" s="503"/>
      <c r="L215" s="502"/>
      <c r="M215" s="516"/>
      <c r="N215" s="505"/>
      <c r="O215" s="505"/>
      <c r="P215" s="507"/>
      <c r="Q215" s="506"/>
      <c r="R215" s="505"/>
      <c r="S215" s="507"/>
      <c r="T215" s="607"/>
      <c r="U215" s="608"/>
      <c r="V215" s="508"/>
      <c r="W215" s="509"/>
      <c r="X215" s="510"/>
      <c r="Y215" s="511"/>
      <c r="Z215" s="512"/>
      <c r="AA215" s="512"/>
      <c r="AB215" s="513"/>
      <c r="AC215" s="512"/>
      <c r="AD215" s="514"/>
      <c r="AE215" s="515"/>
    </row>
    <row r="216" spans="2:31" ht="15.6" customHeight="1" thickBot="1">
      <c r="B216" s="635" t="s">
        <v>411</v>
      </c>
      <c r="C216" s="598" t="str">
        <f t="shared" si="27"/>
        <v/>
      </c>
      <c r="D216" s="599" t="s">
        <v>52</v>
      </c>
      <c r="E216" s="599" t="str">
        <f t="shared" si="28"/>
        <v/>
      </c>
      <c r="F216" s="500"/>
      <c r="G216" s="501"/>
      <c r="H216" s="502"/>
      <c r="I216" s="503"/>
      <c r="J216" s="502"/>
      <c r="K216" s="503"/>
      <c r="L216" s="502"/>
      <c r="M216" s="504"/>
      <c r="N216" s="505"/>
      <c r="O216" s="505"/>
      <c r="P216" s="507"/>
      <c r="Q216" s="506"/>
      <c r="R216" s="505"/>
      <c r="S216" s="507"/>
      <c r="T216" s="607"/>
      <c r="U216" s="608"/>
      <c r="V216" s="508"/>
      <c r="W216" s="509"/>
      <c r="X216" s="510"/>
      <c r="Y216" s="511"/>
      <c r="Z216" s="512"/>
      <c r="AA216" s="512"/>
      <c r="AB216" s="513"/>
      <c r="AC216" s="517"/>
      <c r="AD216" s="518"/>
      <c r="AE216" s="515"/>
    </row>
    <row r="217" spans="2:31" ht="15.6" customHeight="1" thickTop="1">
      <c r="B217" s="636" t="s">
        <v>410</v>
      </c>
      <c r="C217" s="600" t="str">
        <f t="shared" ref="C217:C223" si="29">IF(F217="","",F217)</f>
        <v>tan rid</v>
      </c>
      <c r="D217" s="601" t="s">
        <v>414</v>
      </c>
      <c r="E217" s="601" t="str">
        <f t="shared" ref="E217:E224" si="30">IF(C217="","",CONCATENATE(D217," ",C217))</f>
        <v>GN tan rid</v>
      </c>
      <c r="F217" s="519" t="s">
        <v>416</v>
      </c>
      <c r="G217" s="520"/>
      <c r="H217" s="521"/>
      <c r="I217" s="522"/>
      <c r="J217" s="521"/>
      <c r="K217" s="522"/>
      <c r="L217" s="521"/>
      <c r="M217" s="523">
        <v>4.4999999999999998E-2</v>
      </c>
      <c r="N217" s="524">
        <v>0.09</v>
      </c>
      <c r="O217" s="524"/>
      <c r="P217" s="526"/>
      <c r="Q217" s="525"/>
      <c r="R217" s="524"/>
      <c r="S217" s="526"/>
      <c r="T217" s="609"/>
      <c r="U217" s="610"/>
      <c r="V217" s="527"/>
      <c r="W217" s="528"/>
      <c r="X217" s="529"/>
      <c r="Y217" s="530"/>
      <c r="Z217" s="531"/>
      <c r="AA217" s="531"/>
      <c r="AB217" s="532"/>
      <c r="AC217" s="533"/>
      <c r="AD217" s="534"/>
      <c r="AE217" s="535"/>
    </row>
    <row r="218" spans="2:31" ht="15.6" customHeight="1">
      <c r="B218" s="637" t="s">
        <v>410</v>
      </c>
      <c r="C218" s="602" t="str">
        <f t="shared" si="29"/>
        <v/>
      </c>
      <c r="D218" s="603" t="s">
        <v>414</v>
      </c>
      <c r="E218" s="603" t="str">
        <f t="shared" si="30"/>
        <v/>
      </c>
      <c r="F218" s="536"/>
      <c r="G218" s="537"/>
      <c r="H218" s="538"/>
      <c r="I218" s="539"/>
      <c r="J218" s="538"/>
      <c r="K218" s="539"/>
      <c r="L218" s="538"/>
      <c r="M218" s="540"/>
      <c r="N218" s="541"/>
      <c r="O218" s="541"/>
      <c r="P218" s="543"/>
      <c r="Q218" s="542"/>
      <c r="R218" s="541"/>
      <c r="S218" s="543"/>
      <c r="T218" s="611"/>
      <c r="U218" s="612"/>
      <c r="V218" s="544"/>
      <c r="W218" s="545"/>
      <c r="X218" s="546"/>
      <c r="Y218" s="547"/>
      <c r="Z218" s="548"/>
      <c r="AA218" s="548"/>
      <c r="AB218" s="549"/>
      <c r="AC218" s="550"/>
      <c r="AD218" s="551"/>
      <c r="AE218" s="552"/>
    </row>
    <row r="219" spans="2:31" ht="15.6" customHeight="1">
      <c r="B219" s="637" t="s">
        <v>410</v>
      </c>
      <c r="C219" s="602" t="str">
        <f t="shared" si="29"/>
        <v/>
      </c>
      <c r="D219" s="603" t="s">
        <v>414</v>
      </c>
      <c r="E219" s="603" t="str">
        <f t="shared" si="30"/>
        <v/>
      </c>
      <c r="F219" s="536"/>
      <c r="G219" s="537"/>
      <c r="H219" s="538"/>
      <c r="I219" s="539"/>
      <c r="J219" s="538"/>
      <c r="K219" s="539"/>
      <c r="L219" s="538"/>
      <c r="M219" s="540"/>
      <c r="N219" s="541"/>
      <c r="O219" s="541"/>
      <c r="P219" s="543"/>
      <c r="Q219" s="542"/>
      <c r="R219" s="541"/>
      <c r="S219" s="543"/>
      <c r="T219" s="611"/>
      <c r="U219" s="612"/>
      <c r="V219" s="544"/>
      <c r="W219" s="545"/>
      <c r="X219" s="546"/>
      <c r="Y219" s="547"/>
      <c r="Z219" s="548"/>
      <c r="AA219" s="548"/>
      <c r="AB219" s="549"/>
      <c r="AC219" s="548"/>
      <c r="AD219" s="553"/>
      <c r="AE219" s="552"/>
    </row>
    <row r="220" spans="2:31" ht="15.6" customHeight="1">
      <c r="B220" s="637" t="s">
        <v>410</v>
      </c>
      <c r="C220" s="602" t="str">
        <f t="shared" si="29"/>
        <v/>
      </c>
      <c r="D220" s="603" t="s">
        <v>414</v>
      </c>
      <c r="E220" s="603" t="str">
        <f t="shared" si="30"/>
        <v/>
      </c>
      <c r="F220" s="536"/>
      <c r="G220" s="537"/>
      <c r="H220" s="538"/>
      <c r="I220" s="539"/>
      <c r="J220" s="538"/>
      <c r="K220" s="539"/>
      <c r="L220" s="538"/>
      <c r="M220" s="540"/>
      <c r="N220" s="541"/>
      <c r="O220" s="541"/>
      <c r="P220" s="543"/>
      <c r="Q220" s="542"/>
      <c r="R220" s="541"/>
      <c r="S220" s="543"/>
      <c r="T220" s="611"/>
      <c r="U220" s="612"/>
      <c r="V220" s="544"/>
      <c r="W220" s="545"/>
      <c r="X220" s="546"/>
      <c r="Y220" s="547"/>
      <c r="Z220" s="548"/>
      <c r="AA220" s="548"/>
      <c r="AB220" s="549"/>
      <c r="AC220" s="550"/>
      <c r="AD220" s="551"/>
      <c r="AE220" s="552"/>
    </row>
    <row r="221" spans="2:31" ht="15.6" customHeight="1">
      <c r="B221" s="637" t="s">
        <v>410</v>
      </c>
      <c r="C221" s="602" t="str">
        <f t="shared" si="29"/>
        <v/>
      </c>
      <c r="D221" s="603" t="s">
        <v>414</v>
      </c>
      <c r="E221" s="603" t="str">
        <f t="shared" si="30"/>
        <v/>
      </c>
      <c r="F221" s="536"/>
      <c r="G221" s="537"/>
      <c r="H221" s="538"/>
      <c r="I221" s="539"/>
      <c r="J221" s="538"/>
      <c r="K221" s="539"/>
      <c r="L221" s="538"/>
      <c r="M221" s="540"/>
      <c r="N221" s="541"/>
      <c r="O221" s="541"/>
      <c r="P221" s="543"/>
      <c r="Q221" s="542"/>
      <c r="R221" s="541"/>
      <c r="S221" s="543"/>
      <c r="T221" s="611"/>
      <c r="U221" s="612"/>
      <c r="V221" s="544"/>
      <c r="W221" s="545"/>
      <c r="X221" s="546"/>
      <c r="Y221" s="547"/>
      <c r="Z221" s="548"/>
      <c r="AA221" s="548"/>
      <c r="AB221" s="549"/>
      <c r="AC221" s="548"/>
      <c r="AD221" s="553"/>
      <c r="AE221" s="552"/>
    </row>
    <row r="222" spans="2:31" ht="15.6" customHeight="1">
      <c r="B222" s="637" t="s">
        <v>410</v>
      </c>
      <c r="C222" s="602" t="str">
        <f t="shared" si="29"/>
        <v/>
      </c>
      <c r="D222" s="603" t="s">
        <v>414</v>
      </c>
      <c r="E222" s="603" t="str">
        <f t="shared" si="30"/>
        <v/>
      </c>
      <c r="F222" s="536"/>
      <c r="G222" s="537"/>
      <c r="H222" s="538"/>
      <c r="I222" s="539"/>
      <c r="J222" s="538"/>
      <c r="K222" s="539"/>
      <c r="L222" s="538"/>
      <c r="M222" s="540"/>
      <c r="N222" s="554"/>
      <c r="O222" s="556"/>
      <c r="P222" s="557"/>
      <c r="Q222" s="555"/>
      <c r="R222" s="556"/>
      <c r="S222" s="557"/>
      <c r="T222" s="611"/>
      <c r="U222" s="612"/>
      <c r="V222" s="544"/>
      <c r="W222" s="545"/>
      <c r="X222" s="546"/>
      <c r="Y222" s="547"/>
      <c r="Z222" s="548"/>
      <c r="AA222" s="548"/>
      <c r="AB222" s="549"/>
      <c r="AC222" s="550"/>
      <c r="AD222" s="551"/>
      <c r="AE222" s="552"/>
    </row>
    <row r="223" spans="2:31" ht="15.6" customHeight="1">
      <c r="B223" s="637" t="s">
        <v>410</v>
      </c>
      <c r="C223" s="602" t="str">
        <f t="shared" si="29"/>
        <v/>
      </c>
      <c r="D223" s="603" t="s">
        <v>414</v>
      </c>
      <c r="E223" s="603" t="str">
        <f t="shared" si="30"/>
        <v/>
      </c>
      <c r="F223" s="536"/>
      <c r="G223" s="537"/>
      <c r="H223" s="538"/>
      <c r="I223" s="539"/>
      <c r="J223" s="538"/>
      <c r="K223" s="539"/>
      <c r="L223" s="538"/>
      <c r="M223" s="540"/>
      <c r="N223" s="554"/>
      <c r="O223" s="556"/>
      <c r="P223" s="557"/>
      <c r="Q223" s="555"/>
      <c r="R223" s="556"/>
      <c r="S223" s="557"/>
      <c r="T223" s="611"/>
      <c r="U223" s="612"/>
      <c r="V223" s="544"/>
      <c r="W223" s="545"/>
      <c r="X223" s="546"/>
      <c r="Y223" s="547"/>
      <c r="Z223" s="548"/>
      <c r="AA223" s="548"/>
      <c r="AB223" s="549"/>
      <c r="AC223" s="550"/>
      <c r="AD223" s="551"/>
      <c r="AE223" s="552"/>
    </row>
    <row r="224" spans="2:31" ht="15" customHeight="1" thickBot="1">
      <c r="B224" s="644" t="s">
        <v>410</v>
      </c>
      <c r="C224" s="645" t="str">
        <f t="shared" ref="C224:C229" si="31">IF(F224="","",F224)</f>
        <v/>
      </c>
      <c r="D224" s="646" t="s">
        <v>414</v>
      </c>
      <c r="E224" s="646" t="str">
        <f t="shared" si="30"/>
        <v/>
      </c>
      <c r="F224" s="647"/>
      <c r="G224" s="648"/>
      <c r="H224" s="649"/>
      <c r="I224" s="650"/>
      <c r="J224" s="649"/>
      <c r="K224" s="650"/>
      <c r="L224" s="649"/>
      <c r="M224" s="651"/>
      <c r="N224" s="652"/>
      <c r="O224" s="652"/>
      <c r="P224" s="653"/>
      <c r="Q224" s="654"/>
      <c r="R224" s="652"/>
      <c r="S224" s="653"/>
      <c r="T224" s="655"/>
      <c r="U224" s="656"/>
      <c r="V224" s="657"/>
      <c r="W224" s="658"/>
      <c r="X224" s="659"/>
      <c r="Y224" s="660"/>
      <c r="Z224" s="661"/>
      <c r="AA224" s="661"/>
      <c r="AB224" s="662"/>
      <c r="AC224" s="661"/>
      <c r="AD224" s="663"/>
      <c r="AE224" s="664"/>
    </row>
    <row r="225" spans="2:31" ht="15" customHeight="1" thickTop="1">
      <c r="B225" s="635" t="s">
        <v>412</v>
      </c>
      <c r="C225" s="672" t="str">
        <f t="shared" si="31"/>
        <v>tan 9</v>
      </c>
      <c r="D225" s="673" t="s">
        <v>413</v>
      </c>
      <c r="E225" s="673" t="str">
        <f t="shared" ref="E225:E229" si="32">IF(C225="","",CONCATENATE(D225," ",C225))</f>
        <v>MM tan 9</v>
      </c>
      <c r="F225" s="674" t="s">
        <v>417</v>
      </c>
      <c r="G225" s="675"/>
      <c r="H225" s="676"/>
      <c r="I225" s="677"/>
      <c r="J225" s="676"/>
      <c r="K225" s="677"/>
      <c r="L225" s="676"/>
      <c r="M225" s="678">
        <v>0.09</v>
      </c>
      <c r="N225" s="679">
        <v>0.09</v>
      </c>
      <c r="O225" s="680"/>
      <c r="P225" s="681"/>
      <c r="Q225" s="682"/>
      <c r="R225" s="679"/>
      <c r="S225" s="683"/>
      <c r="T225" s="684"/>
      <c r="U225" s="685"/>
      <c r="V225" s="686"/>
      <c r="W225" s="687"/>
      <c r="X225" s="688"/>
      <c r="Y225" s="689"/>
      <c r="Z225" s="690"/>
      <c r="AA225" s="690"/>
      <c r="AB225" s="691"/>
      <c r="AC225" s="690"/>
      <c r="AD225" s="692"/>
      <c r="AE225" s="693"/>
    </row>
    <row r="226" spans="2:31" ht="15" customHeight="1">
      <c r="B226" s="635" t="s">
        <v>412</v>
      </c>
      <c r="C226" s="694" t="str">
        <f t="shared" si="31"/>
        <v/>
      </c>
      <c r="D226" s="695" t="s">
        <v>413</v>
      </c>
      <c r="E226" s="695" t="str">
        <f t="shared" si="32"/>
        <v/>
      </c>
      <c r="F226" s="696"/>
      <c r="G226" s="697"/>
      <c r="H226" s="698"/>
      <c r="I226" s="699"/>
      <c r="J226" s="698"/>
      <c r="K226" s="699"/>
      <c r="L226" s="698"/>
      <c r="M226" s="700"/>
      <c r="N226" s="701"/>
      <c r="O226" s="702"/>
      <c r="P226" s="703"/>
      <c r="Q226" s="704"/>
      <c r="R226" s="701"/>
      <c r="S226" s="705"/>
      <c r="T226" s="706"/>
      <c r="U226" s="707"/>
      <c r="V226" s="708"/>
      <c r="W226" s="709"/>
      <c r="X226" s="710"/>
      <c r="Y226" s="711"/>
      <c r="Z226" s="712"/>
      <c r="AA226" s="712"/>
      <c r="AB226" s="713"/>
      <c r="AC226" s="712"/>
      <c r="AD226" s="714"/>
      <c r="AE226" s="715"/>
    </row>
    <row r="227" spans="2:31" ht="15" customHeight="1">
      <c r="B227" s="635" t="s">
        <v>412</v>
      </c>
      <c r="C227" s="694" t="str">
        <f t="shared" si="31"/>
        <v/>
      </c>
      <c r="D227" s="695" t="s">
        <v>413</v>
      </c>
      <c r="E227" s="695" t="str">
        <f t="shared" si="32"/>
        <v/>
      </c>
      <c r="F227" s="696"/>
      <c r="G227" s="697"/>
      <c r="H227" s="698"/>
      <c r="I227" s="699"/>
      <c r="J227" s="698"/>
      <c r="K227" s="699"/>
      <c r="L227" s="698"/>
      <c r="M227" s="700"/>
      <c r="N227" s="701"/>
      <c r="O227" s="702"/>
      <c r="P227" s="703"/>
      <c r="Q227" s="704"/>
      <c r="R227" s="701"/>
      <c r="S227" s="705"/>
      <c r="T227" s="706"/>
      <c r="U227" s="707"/>
      <c r="V227" s="708"/>
      <c r="W227" s="709"/>
      <c r="X227" s="710"/>
      <c r="Y227" s="711"/>
      <c r="Z227" s="712"/>
      <c r="AA227" s="712"/>
      <c r="AB227" s="713"/>
      <c r="AC227" s="712"/>
      <c r="AD227" s="714"/>
      <c r="AE227" s="715"/>
    </row>
    <row r="228" spans="2:31" ht="15" customHeight="1">
      <c r="B228" s="635" t="s">
        <v>412</v>
      </c>
      <c r="C228" s="694" t="str">
        <f t="shared" si="31"/>
        <v/>
      </c>
      <c r="D228" s="695" t="s">
        <v>413</v>
      </c>
      <c r="E228" s="695" t="str">
        <f t="shared" si="32"/>
        <v/>
      </c>
      <c r="F228" s="696"/>
      <c r="G228" s="697"/>
      <c r="H228" s="698"/>
      <c r="I228" s="699"/>
      <c r="J228" s="698"/>
      <c r="K228" s="699"/>
      <c r="L228" s="698"/>
      <c r="M228" s="700"/>
      <c r="N228" s="701"/>
      <c r="O228" s="702"/>
      <c r="P228" s="703"/>
      <c r="Q228" s="704"/>
      <c r="R228" s="701"/>
      <c r="S228" s="705"/>
      <c r="T228" s="706"/>
      <c r="U228" s="707"/>
      <c r="V228" s="708"/>
      <c r="W228" s="709"/>
      <c r="X228" s="710"/>
      <c r="Y228" s="711"/>
      <c r="Z228" s="712"/>
      <c r="AA228" s="712"/>
      <c r="AB228" s="713"/>
      <c r="AC228" s="712"/>
      <c r="AD228" s="714"/>
      <c r="AE228" s="715"/>
    </row>
    <row r="229" spans="2:31" ht="15" customHeight="1">
      <c r="B229" s="635" t="s">
        <v>412</v>
      </c>
      <c r="C229" s="694" t="str">
        <f t="shared" si="31"/>
        <v/>
      </c>
      <c r="D229" s="695" t="s">
        <v>413</v>
      </c>
      <c r="E229" s="695" t="str">
        <f t="shared" si="32"/>
        <v/>
      </c>
      <c r="F229" s="696"/>
      <c r="G229" s="697"/>
      <c r="H229" s="698"/>
      <c r="I229" s="699"/>
      <c r="J229" s="698"/>
      <c r="K229" s="699"/>
      <c r="L229" s="698"/>
      <c r="M229" s="700"/>
      <c r="N229" s="701"/>
      <c r="O229" s="702"/>
      <c r="P229" s="703"/>
      <c r="Q229" s="704"/>
      <c r="R229" s="701"/>
      <c r="S229" s="705"/>
      <c r="T229" s="706"/>
      <c r="U229" s="707"/>
      <c r="V229" s="708"/>
      <c r="W229" s="709"/>
      <c r="X229" s="710"/>
      <c r="Y229" s="711"/>
      <c r="Z229" s="712"/>
      <c r="AA229" s="712"/>
      <c r="AB229" s="713"/>
      <c r="AC229" s="712"/>
      <c r="AD229" s="714"/>
      <c r="AE229" s="715"/>
    </row>
    <row r="230" spans="2:31" ht="15" customHeight="1">
      <c r="B230" s="635" t="s">
        <v>412</v>
      </c>
      <c r="C230" s="694" t="str">
        <f t="shared" ref="C230:C232" si="33">IF(F230="","",F230)</f>
        <v/>
      </c>
      <c r="D230" s="695" t="s">
        <v>413</v>
      </c>
      <c r="E230" s="695" t="str">
        <f t="shared" ref="E230:E232" si="34">IF(C230="","",CONCATENATE(D230," ",C230))</f>
        <v/>
      </c>
      <c r="F230" s="696"/>
      <c r="G230" s="697"/>
      <c r="H230" s="698"/>
      <c r="I230" s="699"/>
      <c r="J230" s="698"/>
      <c r="K230" s="699"/>
      <c r="L230" s="698"/>
      <c r="M230" s="700"/>
      <c r="N230" s="701"/>
      <c r="O230" s="702"/>
      <c r="P230" s="703"/>
      <c r="Q230" s="704"/>
      <c r="R230" s="701"/>
      <c r="S230" s="705"/>
      <c r="T230" s="706"/>
      <c r="U230" s="707"/>
      <c r="V230" s="708"/>
      <c r="W230" s="709"/>
      <c r="X230" s="710"/>
      <c r="Y230" s="711"/>
      <c r="Z230" s="712"/>
      <c r="AA230" s="712"/>
      <c r="AB230" s="713"/>
      <c r="AC230" s="712"/>
      <c r="AD230" s="714"/>
      <c r="AE230" s="715"/>
    </row>
    <row r="231" spans="2:31" ht="15" customHeight="1">
      <c r="B231" s="635" t="s">
        <v>412</v>
      </c>
      <c r="C231" s="694" t="str">
        <f t="shared" si="33"/>
        <v/>
      </c>
      <c r="D231" s="695" t="s">
        <v>413</v>
      </c>
      <c r="E231" s="695" t="str">
        <f t="shared" si="34"/>
        <v/>
      </c>
      <c r="F231" s="696"/>
      <c r="G231" s="697"/>
      <c r="H231" s="698"/>
      <c r="I231" s="699"/>
      <c r="J231" s="698"/>
      <c r="K231" s="699"/>
      <c r="L231" s="698"/>
      <c r="M231" s="700"/>
      <c r="N231" s="701"/>
      <c r="O231" s="702"/>
      <c r="P231" s="703"/>
      <c r="Q231" s="704"/>
      <c r="R231" s="701"/>
      <c r="S231" s="705"/>
      <c r="T231" s="706"/>
      <c r="U231" s="707"/>
      <c r="V231" s="708"/>
      <c r="W231" s="709"/>
      <c r="X231" s="710"/>
      <c r="Y231" s="711"/>
      <c r="Z231" s="712"/>
      <c r="AA231" s="712"/>
      <c r="AB231" s="713"/>
      <c r="AC231" s="712"/>
      <c r="AD231" s="714"/>
      <c r="AE231" s="715"/>
    </row>
    <row r="232" spans="2:31" ht="15" customHeight="1">
      <c r="B232" s="635" t="s">
        <v>412</v>
      </c>
      <c r="C232" s="598" t="str">
        <f t="shared" si="33"/>
        <v/>
      </c>
      <c r="D232" s="641" t="s">
        <v>413</v>
      </c>
      <c r="E232" s="641" t="str">
        <f t="shared" si="34"/>
        <v/>
      </c>
      <c r="F232" s="500"/>
      <c r="G232" s="501"/>
      <c r="H232" s="502"/>
      <c r="I232" s="503"/>
      <c r="J232" s="502"/>
      <c r="K232" s="503"/>
      <c r="L232" s="502"/>
      <c r="M232" s="516"/>
      <c r="N232" s="505"/>
      <c r="O232" s="642"/>
      <c r="P232" s="643"/>
      <c r="Q232" s="506"/>
      <c r="R232" s="505"/>
      <c r="S232" s="507"/>
      <c r="T232" s="665"/>
      <c r="U232" s="666"/>
      <c r="V232" s="667"/>
      <c r="W232" s="668"/>
      <c r="X232" s="510"/>
      <c r="Y232" s="511"/>
      <c r="Z232" s="669"/>
      <c r="AA232" s="669"/>
      <c r="AB232" s="670"/>
      <c r="AC232" s="669"/>
      <c r="AD232" s="514"/>
      <c r="AE232" s="671"/>
    </row>
    <row r="233" spans="2:31" ht="21" customHeight="1">
      <c r="C233" s="248"/>
      <c r="D233" s="235"/>
      <c r="E233" s="235"/>
      <c r="F233" s="248"/>
      <c r="G233" s="235"/>
      <c r="H233" s="235"/>
      <c r="I233" s="235"/>
      <c r="J233" s="235"/>
      <c r="K233" s="235"/>
    </row>
    <row r="234" spans="2:31" ht="12" thickBot="1">
      <c r="C234" s="248"/>
      <c r="D234" s="235"/>
      <c r="E234" s="235"/>
      <c r="F234" s="248"/>
      <c r="G234" s="235"/>
      <c r="H234" s="235"/>
      <c r="I234" s="235"/>
      <c r="J234" s="235"/>
      <c r="K234" s="235"/>
    </row>
    <row r="235" spans="2:31" ht="12" thickBot="1">
      <c r="C235" s="248"/>
      <c r="D235" s="235"/>
      <c r="E235" s="235"/>
      <c r="F235" s="248"/>
      <c r="G235" s="235"/>
      <c r="H235" s="235"/>
      <c r="I235" s="235"/>
      <c r="J235" s="742" t="s">
        <v>245</v>
      </c>
      <c r="K235" s="743"/>
      <c r="L235" s="743"/>
      <c r="M235" s="744"/>
    </row>
    <row r="236" spans="2:31" ht="23.25" thickBot="1">
      <c r="B236" s="249" t="s">
        <v>203</v>
      </c>
      <c r="C236" s="250"/>
      <c r="D236" s="250"/>
      <c r="E236" s="250"/>
      <c r="F236" s="250" t="s">
        <v>244</v>
      </c>
      <c r="G236" s="250" t="s">
        <v>283</v>
      </c>
      <c r="H236" s="251" t="s">
        <v>284</v>
      </c>
      <c r="I236" s="251" t="s">
        <v>243</v>
      </c>
      <c r="J236" s="251" t="s">
        <v>16</v>
      </c>
      <c r="K236" s="251" t="s">
        <v>339</v>
      </c>
      <c r="L236" s="251" t="s">
        <v>367</v>
      </c>
      <c r="M236" s="269"/>
      <c r="N236" s="252" t="s">
        <v>297</v>
      </c>
      <c r="O236" s="252" t="s">
        <v>296</v>
      </c>
    </row>
    <row r="237" spans="2:31" ht="12" thickBot="1">
      <c r="B237" s="253">
        <f>calcoli!C39</f>
        <v>7.0699538312625876E-2</v>
      </c>
      <c r="C237" s="254"/>
      <c r="D237" s="254"/>
      <c r="E237" s="254"/>
      <c r="F237" s="254">
        <f>'sviluppo p. amm.to'!H3*VLOOKUP(calcoli!D9,'Condizioni comm.li'!E33:AE1127,22,0)</f>
        <v>0</v>
      </c>
      <c r="G237" s="254">
        <f>IF(VLOOKUP(calcoli!D9,'Condizioni comm.li'!E33:AD1127,21,0)="",0,IF(calcoli!C10&gt;calcoli!C67,IF(calcoli!C8="MAXIRATA",PV(calcoli!C67/12,calcoli!C11-1,-calcoli!C36+calcoli!C68),PV(calcoli!C67/12,calcoli!C11,-calcoli!C36+calcoli!C68)),0))</f>
        <v>0</v>
      </c>
      <c r="H237" s="254">
        <f>calcoli!C6*VLOOKUP(calcoli!D9,'Condizioni comm.li'!E33:AD1127,25,0)</f>
        <v>0</v>
      </c>
      <c r="I237" s="255">
        <f>VLOOKUP(calcoli!D9,'Condizioni comm.li'!E33:AD1127,23,0)*calcoli!C14+VLOOKUP(calcoli!D9,'Condizioni comm.li'!E33:AD1127,24,0)</f>
        <v>0</v>
      </c>
      <c r="J237" s="255">
        <f>IF(calcoli!C17="NO",0,calcoli!C19*VLOOKUP(calcoli!C17,'Condizioni comm.li'!N5:Q8,4,0))</f>
        <v>0</v>
      </c>
      <c r="K237" s="255">
        <f>IF(AND(calcoli!C31="NO",calcoli!C31=""),0,calcoli!C32*Q9)</f>
        <v>0</v>
      </c>
      <c r="L237" s="255">
        <f>IF(AND(calcoli!C33="NO",calcoli!C33=""),0,calcoli!C34*Q10)</f>
        <v>0</v>
      </c>
      <c r="M237" s="270"/>
      <c r="N237" s="256">
        <f>SUM(C237:M237)</f>
        <v>0</v>
      </c>
      <c r="O237" s="423">
        <f>calcoli!C65</f>
        <v>0</v>
      </c>
      <c r="R237" s="613">
        <f>O237*1.07/12</f>
        <v>0</v>
      </c>
      <c r="S237" s="613">
        <f>O237-R237</f>
        <v>0</v>
      </c>
    </row>
    <row r="238" spans="2:31">
      <c r="C238" s="235"/>
      <c r="D238" s="235"/>
      <c r="E238" s="235"/>
      <c r="F238" s="235"/>
      <c r="G238" s="235"/>
      <c r="H238" s="235"/>
      <c r="I238" s="235"/>
      <c r="J238" s="235"/>
      <c r="K238" s="235"/>
    </row>
    <row r="239" spans="2:31">
      <c r="C239" s="235"/>
      <c r="D239" s="235"/>
      <c r="E239" s="235"/>
      <c r="F239" s="235"/>
      <c r="G239" s="235"/>
      <c r="H239" s="235"/>
      <c r="I239" s="235"/>
      <c r="J239" s="235"/>
      <c r="K239" s="235"/>
    </row>
    <row r="240" spans="2:31">
      <c r="D240" s="237"/>
      <c r="E240" s="237"/>
    </row>
    <row r="241" spans="4:5">
      <c r="D241" s="237"/>
      <c r="E241" s="237"/>
    </row>
    <row r="242" spans="4:5">
      <c r="D242" s="237"/>
      <c r="E242" s="237"/>
    </row>
  </sheetData>
  <sheetProtection algorithmName="SHA-512" hashValue="BebhBN76nOxp/nh0BAcSw/k+Wx88Z48vWDAvr6FfTvOFhTruEHPOStW8+hSEJWqxprPobdYdos6V8X9OUH52yg==" saltValue="AGBdSUORlEUnULk2/zKnDg==" spinCount="100000" sheet="1" selectLockedCells="1"/>
  <mergeCells count="6">
    <mergeCell ref="J235:M235"/>
    <mergeCell ref="N4:O4"/>
    <mergeCell ref="K8:K9"/>
    <mergeCell ref="L8:L9"/>
    <mergeCell ref="K13:K14"/>
    <mergeCell ref="L13:L14"/>
  </mergeCells>
  <phoneticPr fontId="6" type="noConversion"/>
  <conditionalFormatting sqref="B5:F8">
    <cfRule type="expression" dxfId="79" priority="140">
      <formula>$I$5="No"</formula>
    </cfRule>
  </conditionalFormatting>
  <conditionalFormatting sqref="B9:F13">
    <cfRule type="expression" dxfId="78" priority="137">
      <formula>$I$6="No"</formula>
    </cfRule>
  </conditionalFormatting>
  <conditionalFormatting sqref="B14:F18">
    <cfRule type="expression" dxfId="77" priority="126">
      <formula>$I$7="No"</formula>
    </cfRule>
  </conditionalFormatting>
  <conditionalFormatting sqref="B19:F19">
    <cfRule type="expression" dxfId="76" priority="136">
      <formula>$I$8="No"</formula>
    </cfRule>
  </conditionalFormatting>
  <conditionalFormatting sqref="B20:F26">
    <cfRule type="expression" dxfId="75" priority="1">
      <formula>$I$9="No"</formula>
    </cfRule>
  </conditionalFormatting>
  <conditionalFormatting sqref="B27:F29">
    <cfRule type="expression" dxfId="74" priority="123">
      <formula>$I$10="No"</formula>
    </cfRule>
  </conditionalFormatting>
  <conditionalFormatting sqref="B225:F232 B193:AE200">
    <cfRule type="expression" dxfId="73" priority="14">
      <formula>$F$25="No"</formula>
    </cfRule>
  </conditionalFormatting>
  <conditionalFormatting sqref="B33:AE40">
    <cfRule type="expression" dxfId="72" priority="88">
      <formula>$F$5="No"</formula>
    </cfRule>
  </conditionalFormatting>
  <conditionalFormatting sqref="B33:AE64">
    <cfRule type="expression" dxfId="71" priority="131">
      <formula>$I$5="no"</formula>
    </cfRule>
  </conditionalFormatting>
  <conditionalFormatting sqref="B41:AE48">
    <cfRule type="expression" dxfId="70" priority="24">
      <formula>$F$6="No"</formula>
    </cfRule>
  </conditionalFormatting>
  <conditionalFormatting sqref="B49:AE56">
    <cfRule type="expression" dxfId="69" priority="87">
      <formula>$F$7="No"</formula>
    </cfRule>
  </conditionalFormatting>
  <conditionalFormatting sqref="B57:AE64">
    <cfRule type="expression" dxfId="68" priority="86">
      <formula>$F$8="No"</formula>
    </cfRule>
  </conditionalFormatting>
  <conditionalFormatting sqref="B65:AE72">
    <cfRule type="expression" dxfId="67" priority="85">
      <formula>$F$9="No"</formula>
    </cfRule>
  </conditionalFormatting>
  <conditionalFormatting sqref="B65:AE104">
    <cfRule type="expression" dxfId="66" priority="130">
      <formula>$I$6="no"</formula>
    </cfRule>
  </conditionalFormatting>
  <conditionalFormatting sqref="B73:AE80">
    <cfRule type="expression" dxfId="65" priority="84">
      <formula>$F$10="No"</formula>
    </cfRule>
  </conditionalFormatting>
  <conditionalFormatting sqref="B81:AE88">
    <cfRule type="expression" dxfId="64" priority="83">
      <formula>$F$11="No"</formula>
    </cfRule>
  </conditionalFormatting>
  <conditionalFormatting sqref="B89:AE96">
    <cfRule type="expression" dxfId="63" priority="23">
      <formula>$F$12="No"</formula>
    </cfRule>
  </conditionalFormatting>
  <conditionalFormatting sqref="B97:AE104">
    <cfRule type="expression" dxfId="62" priority="54">
      <formula>$F$13="No"</formula>
    </cfRule>
  </conditionalFormatting>
  <conditionalFormatting sqref="B105:AE112">
    <cfRule type="expression" dxfId="61" priority="52">
      <formula>$F$14="No"</formula>
    </cfRule>
  </conditionalFormatting>
  <conditionalFormatting sqref="B105:AE144">
    <cfRule type="expression" dxfId="60" priority="27">
      <formula>$I$7="no"</formula>
    </cfRule>
  </conditionalFormatting>
  <conditionalFormatting sqref="B113:AE120">
    <cfRule type="expression" dxfId="59" priority="50">
      <formula>$F$15="No"</formula>
    </cfRule>
  </conditionalFormatting>
  <conditionalFormatting sqref="B121:AE128">
    <cfRule type="expression" dxfId="58" priority="48">
      <formula>$F$16="No"</formula>
    </cfRule>
  </conditionalFormatting>
  <conditionalFormatting sqref="B129:AE136">
    <cfRule type="expression" dxfId="57" priority="22">
      <formula>$F$17="No"</formula>
    </cfRule>
  </conditionalFormatting>
  <conditionalFormatting sqref="B137:AE144">
    <cfRule type="expression" dxfId="56" priority="21">
      <formula>$F$18="No"</formula>
    </cfRule>
  </conditionalFormatting>
  <conditionalFormatting sqref="B145:AE152">
    <cfRule type="expression" dxfId="55" priority="26">
      <formula>$I$8="no"</formula>
    </cfRule>
    <cfRule type="expression" dxfId="54" priority="20">
      <formula>$F$19="No"</formula>
    </cfRule>
  </conditionalFormatting>
  <conditionalFormatting sqref="B153:AE160">
    <cfRule type="expression" dxfId="53" priority="19">
      <formula>$F$20="No"</formula>
    </cfRule>
  </conditionalFormatting>
  <conditionalFormatting sqref="B153:AE208">
    <cfRule type="expression" dxfId="52" priority="25">
      <formula>$I$9="no"</formula>
    </cfRule>
  </conditionalFormatting>
  <conditionalFormatting sqref="B161:AE168">
    <cfRule type="expression" dxfId="51" priority="18">
      <formula>$F$21="No"</formula>
    </cfRule>
  </conditionalFormatting>
  <conditionalFormatting sqref="B169:AE176">
    <cfRule type="expression" dxfId="50" priority="17">
      <formula>$F$22="No"</formula>
    </cfRule>
  </conditionalFormatting>
  <conditionalFormatting sqref="B177:AE184">
    <cfRule type="expression" dxfId="49" priority="16">
      <formula>$F$23="No"</formula>
    </cfRule>
  </conditionalFormatting>
  <conditionalFormatting sqref="B185:AE192">
    <cfRule type="expression" dxfId="48" priority="15">
      <formula>$F$24="No"</formula>
    </cfRule>
  </conditionalFormatting>
  <conditionalFormatting sqref="B201:AE208">
    <cfRule type="expression" dxfId="47" priority="13">
      <formula>$F$26="No"</formula>
    </cfRule>
  </conditionalFormatting>
  <conditionalFormatting sqref="B209:AE216">
    <cfRule type="expression" dxfId="46" priority="7">
      <formula>$F$27="NO"</formula>
    </cfRule>
  </conditionalFormatting>
  <conditionalFormatting sqref="B209:AE232">
    <cfRule type="expression" dxfId="45" priority="3">
      <formula>$I$10="no"</formula>
    </cfRule>
  </conditionalFormatting>
  <conditionalFormatting sqref="B217:AE224">
    <cfRule type="expression" dxfId="44" priority="5">
      <formula>$F$28="NO"</formula>
    </cfRule>
  </conditionalFormatting>
  <conditionalFormatting sqref="B225:AE232">
    <cfRule type="expression" dxfId="43" priority="9">
      <formula>$F$29="No"</formula>
    </cfRule>
  </conditionalFormatting>
  <conditionalFormatting sqref="C27:F29">
    <cfRule type="expression" dxfId="42" priority="11">
      <formula>$I$8="No"</formula>
    </cfRule>
  </conditionalFormatting>
  <conditionalFormatting sqref="E20:E24">
    <cfRule type="expression" dxfId="41" priority="135">
      <formula>$I$9="No"</formula>
    </cfRule>
  </conditionalFormatting>
  <conditionalFormatting sqref="F5:F29">
    <cfRule type="cellIs" dxfId="40" priority="132" operator="equal">
      <formula>"No"</formula>
    </cfRule>
  </conditionalFormatting>
  <conditionalFormatting sqref="I5">
    <cfRule type="expression" dxfId="39" priority="61">
      <formula>$I$5="No"</formula>
    </cfRule>
  </conditionalFormatting>
  <conditionalFormatting sqref="I6">
    <cfRule type="expression" dxfId="38" priority="60">
      <formula>$I$6="No"</formula>
    </cfRule>
  </conditionalFormatting>
  <conditionalFormatting sqref="I7">
    <cfRule type="expression" dxfId="37" priority="57">
      <formula>$I$7="No"</formula>
    </cfRule>
  </conditionalFormatting>
  <conditionalFormatting sqref="I8">
    <cfRule type="expression" dxfId="36" priority="58">
      <formula>$I$8="No"</formula>
    </cfRule>
  </conditionalFormatting>
  <conditionalFormatting sqref="I9">
    <cfRule type="expression" dxfId="35" priority="2">
      <formula>$I$9="No"</formula>
    </cfRule>
  </conditionalFormatting>
  <conditionalFormatting sqref="I10">
    <cfRule type="expression" dxfId="34" priority="59">
      <formula>$I$10="No"</formula>
    </cfRule>
  </conditionalFormatting>
  <conditionalFormatting sqref="K11:L11">
    <cfRule type="expression" dxfId="33" priority="141">
      <formula>$L$10&lt;&gt;"in %"</formula>
    </cfRule>
  </conditionalFormatting>
  <conditionalFormatting sqref="K13:L15">
    <cfRule type="expression" dxfId="32" priority="64">
      <formula>OR($F$9="No",$I$6="No")</formula>
    </cfRule>
  </conditionalFormatting>
  <pageMargins left="0.25" right="0.25" top="0.75" bottom="0.75" header="0.3" footer="0.3"/>
  <pageSetup paperSize="9" scale="26" fitToHeight="0" orientation="landscape" r:id="rId1"/>
  <headerFooter>
    <oddFooter>&amp;C&amp;1#&amp;"Calibri"&amp;10&amp;K000000 For internal use only</oddFooter>
  </headerFooter>
  <ignoredErrors>
    <ignoredError sqref="R237:S237" evalError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calcoli!$M$5:$M$7</xm:f>
          </x14:formula1>
          <xm:sqref>L10</xm:sqref>
        </x14:dataValidation>
        <x14:dataValidation type="list" allowBlank="1" showInputMessage="1" showErrorMessage="1">
          <x14:formula1>
            <xm:f>calcoli!$F$5:$F$6</xm:f>
          </x14:formula1>
          <xm:sqref>K10 I5:I10 P5:P10 L15 X33:X232 F5:F29</xm:sqref>
        </x14:dataValidation>
        <x14:dataValidation type="list" allowBlank="1" showInputMessage="1" showErrorMessage="1">
          <x14:formula1>
            <xm:f>calcoli!$S$5:$S$6</xm:f>
          </x14:formula1>
          <xm:sqref>AD33:AD232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tabColor rgb="FFFF0000"/>
  </sheetPr>
  <dimension ref="B2:L28"/>
  <sheetViews>
    <sheetView zoomScale="82" zoomScaleNormal="82" workbookViewId="0">
      <selection activeCell="A28" sqref="A2:XFD28"/>
    </sheetView>
  </sheetViews>
  <sheetFormatPr defaultColWidth="8.85546875" defaultRowHeight="15"/>
  <cols>
    <col min="1" max="1" width="20.7109375" style="2" customWidth="1"/>
    <col min="2" max="2" width="55.42578125" style="2" customWidth="1"/>
    <col min="3" max="4" width="8.7109375" style="2" customWidth="1"/>
    <col min="5" max="5" width="11.7109375" style="2" bestFit="1" customWidth="1"/>
    <col min="6" max="6" width="13.140625" style="2" bestFit="1" customWidth="1"/>
    <col min="7" max="8" width="9.5703125" style="2" customWidth="1"/>
    <col min="9" max="9" width="8.85546875" style="2" bestFit="1" customWidth="1"/>
    <col min="10" max="10" width="15.7109375" style="2" bestFit="1" customWidth="1"/>
    <col min="11" max="11" width="17.28515625" style="2" bestFit="1" customWidth="1"/>
    <col min="12" max="12" width="37" style="2" bestFit="1" customWidth="1"/>
    <col min="13" max="13" width="24.5703125" style="2" bestFit="1" customWidth="1"/>
    <col min="14" max="14" width="23.42578125" style="2" bestFit="1" customWidth="1"/>
    <col min="15" max="15" width="34.7109375" style="2" bestFit="1" customWidth="1"/>
    <col min="16" max="16384" width="8.85546875" style="2"/>
  </cols>
  <sheetData>
    <row r="2" spans="2:12" s="465" customFormat="1" ht="22.15" hidden="1" customHeight="1" thickBot="1">
      <c r="B2" s="431" t="s">
        <v>191</v>
      </c>
      <c r="C2" s="749" t="s">
        <v>35</v>
      </c>
      <c r="D2" s="750"/>
      <c r="E2" s="751" t="s">
        <v>175</v>
      </c>
      <c r="F2" s="752"/>
      <c r="G2" s="749" t="s">
        <v>181</v>
      </c>
      <c r="H2" s="750"/>
      <c r="I2" s="431" t="s">
        <v>330</v>
      </c>
      <c r="J2" s="464" t="s">
        <v>182</v>
      </c>
      <c r="K2" s="431" t="s">
        <v>183</v>
      </c>
      <c r="L2" s="460" t="s">
        <v>387</v>
      </c>
    </row>
    <row r="3" spans="2:12" s="3" customFormat="1" ht="12.75" hidden="1">
      <c r="B3" s="432" t="s">
        <v>333</v>
      </c>
      <c r="C3" s="433">
        <v>3</v>
      </c>
      <c r="D3" s="434">
        <v>84</v>
      </c>
      <c r="E3" s="435">
        <v>250</v>
      </c>
      <c r="F3" s="436">
        <v>30000</v>
      </c>
      <c r="G3" s="433">
        <v>0</v>
      </c>
      <c r="H3" s="434">
        <v>500</v>
      </c>
      <c r="I3" s="437">
        <v>4</v>
      </c>
      <c r="J3" s="438">
        <v>2</v>
      </c>
      <c r="K3" s="439">
        <v>1</v>
      </c>
      <c r="L3" s="440"/>
    </row>
    <row r="4" spans="2:12" s="3" customFormat="1" ht="12.75" hidden="1">
      <c r="B4" s="115" t="s">
        <v>334</v>
      </c>
      <c r="C4" s="97">
        <v>12</v>
      </c>
      <c r="D4" s="98">
        <v>36</v>
      </c>
      <c r="E4" s="103">
        <v>2000</v>
      </c>
      <c r="F4" s="99">
        <v>5000</v>
      </c>
      <c r="G4" s="104">
        <v>0</v>
      </c>
      <c r="H4" s="105">
        <v>500</v>
      </c>
      <c r="I4" s="106">
        <v>4</v>
      </c>
      <c r="J4" s="100">
        <v>2</v>
      </c>
      <c r="K4" s="101">
        <v>1</v>
      </c>
      <c r="L4" s="102" t="s">
        <v>255</v>
      </c>
    </row>
    <row r="5" spans="2:12" s="3" customFormat="1" ht="12.75" hidden="1">
      <c r="B5" s="115" t="s">
        <v>335</v>
      </c>
      <c r="C5" s="392">
        <v>3</v>
      </c>
      <c r="D5" s="393">
        <v>120</v>
      </c>
      <c r="E5" s="396">
        <v>2000</v>
      </c>
      <c r="F5" s="394">
        <v>30000</v>
      </c>
      <c r="G5" s="104">
        <v>0</v>
      </c>
      <c r="H5" s="105">
        <v>500</v>
      </c>
      <c r="I5" s="106">
        <v>4</v>
      </c>
      <c r="J5" s="100">
        <v>2</v>
      </c>
      <c r="K5" s="101">
        <v>1</v>
      </c>
      <c r="L5" s="102"/>
    </row>
    <row r="6" spans="2:12" s="3" customFormat="1" ht="13.5" hidden="1" thickBot="1">
      <c r="B6" s="117" t="s">
        <v>336</v>
      </c>
      <c r="C6" s="379">
        <v>3</v>
      </c>
      <c r="D6" s="380">
        <v>84</v>
      </c>
      <c r="E6" s="109">
        <v>250</v>
      </c>
      <c r="F6" s="110">
        <v>30000</v>
      </c>
      <c r="G6" s="107">
        <v>0</v>
      </c>
      <c r="H6" s="108">
        <v>500</v>
      </c>
      <c r="I6" s="111">
        <v>4</v>
      </c>
      <c r="J6" s="112">
        <v>2</v>
      </c>
      <c r="K6" s="113">
        <v>1</v>
      </c>
      <c r="L6" s="114"/>
    </row>
    <row r="7" spans="2:12" s="3" customFormat="1" ht="12.75" hidden="1">
      <c r="B7" s="115" t="s">
        <v>345</v>
      </c>
      <c r="C7" s="395">
        <v>3</v>
      </c>
      <c r="D7" s="393">
        <f>IF('Condizioni comm.li'!L15="No",72,120)</f>
        <v>72</v>
      </c>
      <c r="E7" s="396">
        <v>250</v>
      </c>
      <c r="F7" s="394">
        <v>20000</v>
      </c>
      <c r="G7" s="97">
        <v>0</v>
      </c>
      <c r="H7" s="98">
        <v>500</v>
      </c>
      <c r="I7" s="377">
        <v>4</v>
      </c>
      <c r="J7" s="100">
        <v>2</v>
      </c>
      <c r="K7" s="101">
        <v>1</v>
      </c>
      <c r="L7" s="378"/>
    </row>
    <row r="8" spans="2:12" s="3" customFormat="1" ht="12.75" hidden="1">
      <c r="B8" s="115" t="s">
        <v>346</v>
      </c>
      <c r="C8" s="104">
        <v>12</v>
      </c>
      <c r="D8" s="105">
        <v>36</v>
      </c>
      <c r="E8" s="103">
        <v>2000</v>
      </c>
      <c r="F8" s="99">
        <v>5000</v>
      </c>
      <c r="G8" s="104">
        <v>0</v>
      </c>
      <c r="H8" s="105">
        <v>500</v>
      </c>
      <c r="I8" s="106">
        <v>4</v>
      </c>
      <c r="J8" s="100">
        <v>2</v>
      </c>
      <c r="K8" s="101">
        <v>1</v>
      </c>
      <c r="L8" s="102" t="s">
        <v>255</v>
      </c>
    </row>
    <row r="9" spans="2:12" s="3" customFormat="1" ht="12.75" hidden="1">
      <c r="B9" s="116" t="s">
        <v>347</v>
      </c>
      <c r="C9" s="392">
        <v>3</v>
      </c>
      <c r="D9" s="397">
        <v>120</v>
      </c>
      <c r="E9" s="398">
        <v>250</v>
      </c>
      <c r="F9" s="394">
        <v>55000</v>
      </c>
      <c r="G9" s="97">
        <v>0</v>
      </c>
      <c r="H9" s="98">
        <v>500</v>
      </c>
      <c r="I9" s="377">
        <v>5</v>
      </c>
      <c r="J9" s="100">
        <v>2</v>
      </c>
      <c r="K9" s="101">
        <v>1</v>
      </c>
      <c r="L9" s="378"/>
    </row>
    <row r="10" spans="2:12" s="3" customFormat="1" ht="12.75" hidden="1">
      <c r="B10" s="115" t="s">
        <v>348</v>
      </c>
      <c r="C10" s="104">
        <v>12</v>
      </c>
      <c r="D10" s="105">
        <v>36</v>
      </c>
      <c r="E10" s="103">
        <v>2000</v>
      </c>
      <c r="F10" s="99">
        <v>5000</v>
      </c>
      <c r="G10" s="104">
        <v>0</v>
      </c>
      <c r="H10" s="105">
        <v>500</v>
      </c>
      <c r="I10" s="106">
        <v>5</v>
      </c>
      <c r="J10" s="100">
        <v>2</v>
      </c>
      <c r="K10" s="101">
        <v>1</v>
      </c>
      <c r="L10" s="102" t="s">
        <v>255</v>
      </c>
    </row>
    <row r="11" spans="2:12" s="3" customFormat="1" ht="12.75" hidden="1">
      <c r="B11" s="116" t="s">
        <v>349</v>
      </c>
      <c r="C11" s="104">
        <v>6</v>
      </c>
      <c r="D11" s="105">
        <v>60</v>
      </c>
      <c r="E11" s="103">
        <v>2000</v>
      </c>
      <c r="F11" s="99">
        <v>50000</v>
      </c>
      <c r="G11" s="104">
        <v>0</v>
      </c>
      <c r="H11" s="105">
        <v>500</v>
      </c>
      <c r="I11" s="106">
        <v>5</v>
      </c>
      <c r="J11" s="100">
        <v>2</v>
      </c>
      <c r="K11" s="101">
        <v>1</v>
      </c>
      <c r="L11" s="102" t="s">
        <v>255</v>
      </c>
    </row>
    <row r="12" spans="2:12" s="3" customFormat="1" ht="13.5" hidden="1" thickBot="1">
      <c r="B12" s="117" t="s">
        <v>350</v>
      </c>
      <c r="C12" s="107">
        <v>6</v>
      </c>
      <c r="D12" s="108">
        <v>36</v>
      </c>
      <c r="E12" s="109">
        <v>2000</v>
      </c>
      <c r="F12" s="110">
        <v>50000</v>
      </c>
      <c r="G12" s="107">
        <v>0</v>
      </c>
      <c r="H12" s="108">
        <v>500</v>
      </c>
      <c r="I12" s="111">
        <v>5</v>
      </c>
      <c r="J12" s="112">
        <v>2</v>
      </c>
      <c r="K12" s="113">
        <v>1</v>
      </c>
      <c r="L12" s="114" t="s">
        <v>255</v>
      </c>
    </row>
    <row r="13" spans="2:12" s="3" customFormat="1" ht="12.75" hidden="1">
      <c r="B13" s="115" t="s">
        <v>352</v>
      </c>
      <c r="C13" s="97">
        <v>3</v>
      </c>
      <c r="D13" s="98">
        <v>60</v>
      </c>
      <c r="E13" s="376">
        <v>500</v>
      </c>
      <c r="F13" s="99">
        <v>15000</v>
      </c>
      <c r="G13" s="97">
        <v>0</v>
      </c>
      <c r="H13" s="98">
        <v>500</v>
      </c>
      <c r="I13" s="461">
        <v>1.5</v>
      </c>
      <c r="J13" s="100">
        <v>2</v>
      </c>
      <c r="K13" s="101">
        <v>1</v>
      </c>
      <c r="L13" s="378"/>
    </row>
    <row r="14" spans="2:12" s="3" customFormat="1" ht="12.75" hidden="1">
      <c r="B14" s="560" t="s">
        <v>353</v>
      </c>
      <c r="C14" s="104">
        <v>3</v>
      </c>
      <c r="D14" s="105">
        <v>60</v>
      </c>
      <c r="E14" s="561">
        <v>500</v>
      </c>
      <c r="F14" s="562">
        <v>15000</v>
      </c>
      <c r="G14" s="104">
        <v>0</v>
      </c>
      <c r="H14" s="105">
        <v>500</v>
      </c>
      <c r="I14" s="563">
        <v>1.5</v>
      </c>
      <c r="J14" s="564">
        <v>2</v>
      </c>
      <c r="K14" s="565">
        <v>1</v>
      </c>
      <c r="L14" s="102" t="s">
        <v>255</v>
      </c>
    </row>
    <row r="15" spans="2:12" s="3" customFormat="1" ht="12.75" hidden="1">
      <c r="B15" s="115" t="s">
        <v>394</v>
      </c>
      <c r="C15" s="97">
        <v>3</v>
      </c>
      <c r="D15" s="98">
        <v>24</v>
      </c>
      <c r="E15" s="376">
        <v>180</v>
      </c>
      <c r="F15" s="99">
        <v>5000</v>
      </c>
      <c r="G15" s="97">
        <v>0</v>
      </c>
      <c r="H15" s="98">
        <v>500</v>
      </c>
      <c r="I15" s="461">
        <v>1.5</v>
      </c>
      <c r="J15" s="100">
        <v>2</v>
      </c>
      <c r="K15" s="573">
        <v>1</v>
      </c>
      <c r="L15" s="378"/>
    </row>
    <row r="16" spans="2:12" s="3" customFormat="1" ht="12.75" hidden="1">
      <c r="B16" s="560" t="s">
        <v>389</v>
      </c>
      <c r="C16" s="104">
        <v>3</v>
      </c>
      <c r="D16" s="105">
        <v>60</v>
      </c>
      <c r="E16" s="561">
        <v>500</v>
      </c>
      <c r="F16" s="562">
        <v>15000</v>
      </c>
      <c r="G16" s="104">
        <v>0</v>
      </c>
      <c r="H16" s="105">
        <v>500</v>
      </c>
      <c r="I16" s="563">
        <v>1.5</v>
      </c>
      <c r="J16" s="564">
        <v>2</v>
      </c>
      <c r="K16" s="574">
        <v>1</v>
      </c>
      <c r="L16" s="102"/>
    </row>
    <row r="17" spans="2:12" ht="15.75" hidden="1" thickBot="1">
      <c r="B17" s="117" t="s">
        <v>395</v>
      </c>
      <c r="C17" s="107">
        <v>3</v>
      </c>
      <c r="D17" s="108">
        <v>36</v>
      </c>
      <c r="E17" s="109">
        <v>500</v>
      </c>
      <c r="F17" s="110">
        <v>10000</v>
      </c>
      <c r="G17" s="107">
        <v>0</v>
      </c>
      <c r="H17" s="108">
        <v>500</v>
      </c>
      <c r="I17" s="463">
        <v>1.5</v>
      </c>
      <c r="J17" s="112">
        <v>2</v>
      </c>
      <c r="K17" s="575">
        <v>1</v>
      </c>
      <c r="L17" s="114"/>
    </row>
    <row r="18" spans="2:12" ht="15.75" hidden="1" thickBot="1">
      <c r="B18" s="381" t="s">
        <v>354</v>
      </c>
      <c r="C18" s="382">
        <v>3</v>
      </c>
      <c r="D18" s="383">
        <v>48</v>
      </c>
      <c r="E18" s="384">
        <v>180</v>
      </c>
      <c r="F18" s="385">
        <v>20000</v>
      </c>
      <c r="G18" s="382">
        <v>0</v>
      </c>
      <c r="H18" s="383">
        <v>500</v>
      </c>
      <c r="I18" s="462">
        <v>4</v>
      </c>
      <c r="J18" s="386">
        <v>2</v>
      </c>
      <c r="K18" s="576">
        <v>1</v>
      </c>
      <c r="L18" s="387"/>
    </row>
    <row r="19" spans="2:12" hidden="1">
      <c r="B19" s="115" t="s">
        <v>396</v>
      </c>
      <c r="C19" s="97">
        <v>3</v>
      </c>
      <c r="D19" s="98">
        <v>72</v>
      </c>
      <c r="E19" s="376">
        <v>180</v>
      </c>
      <c r="F19" s="99">
        <v>25000</v>
      </c>
      <c r="G19" s="97">
        <v>0</v>
      </c>
      <c r="H19" s="98">
        <v>500</v>
      </c>
      <c r="I19" s="461">
        <v>4</v>
      </c>
      <c r="J19" s="100">
        <v>2</v>
      </c>
      <c r="K19" s="573">
        <v>1</v>
      </c>
      <c r="L19" s="378"/>
    </row>
    <row r="20" spans="2:12" hidden="1">
      <c r="B20" s="560" t="s">
        <v>405</v>
      </c>
      <c r="C20" s="104">
        <v>24</v>
      </c>
      <c r="D20" s="105">
        <v>36</v>
      </c>
      <c r="E20" s="561">
        <v>2000</v>
      </c>
      <c r="F20" s="562">
        <v>5000</v>
      </c>
      <c r="G20" s="104">
        <v>0</v>
      </c>
      <c r="H20" s="105">
        <v>500</v>
      </c>
      <c r="I20" s="563">
        <v>4</v>
      </c>
      <c r="J20" s="564">
        <v>2</v>
      </c>
      <c r="K20" s="574">
        <v>1</v>
      </c>
      <c r="L20" s="102" t="s">
        <v>255</v>
      </c>
    </row>
    <row r="21" spans="2:12" hidden="1">
      <c r="B21" s="115" t="s">
        <v>398</v>
      </c>
      <c r="C21" s="97">
        <v>3</v>
      </c>
      <c r="D21" s="98">
        <v>72</v>
      </c>
      <c r="E21" s="376">
        <v>180</v>
      </c>
      <c r="F21" s="99">
        <v>25000</v>
      </c>
      <c r="G21" s="97">
        <v>0</v>
      </c>
      <c r="H21" s="98">
        <v>500</v>
      </c>
      <c r="I21" s="461">
        <v>4</v>
      </c>
      <c r="J21" s="100">
        <v>2</v>
      </c>
      <c r="K21" s="573">
        <v>1</v>
      </c>
      <c r="L21" s="378"/>
    </row>
    <row r="22" spans="2:12" hidden="1">
      <c r="B22" s="560" t="s">
        <v>400</v>
      </c>
      <c r="C22" s="97">
        <v>3</v>
      </c>
      <c r="D22" s="98">
        <v>72</v>
      </c>
      <c r="E22" s="376">
        <v>180</v>
      </c>
      <c r="F22" s="99">
        <v>25000</v>
      </c>
      <c r="G22" s="104">
        <v>0</v>
      </c>
      <c r="H22" s="105">
        <v>500</v>
      </c>
      <c r="I22" s="563">
        <v>4</v>
      </c>
      <c r="J22" s="564">
        <v>2</v>
      </c>
      <c r="K22" s="574">
        <v>1</v>
      </c>
      <c r="L22" s="102"/>
    </row>
    <row r="23" spans="2:12" hidden="1">
      <c r="B23" s="560" t="s">
        <v>399</v>
      </c>
      <c r="C23" s="97">
        <v>3</v>
      </c>
      <c r="D23" s="98">
        <v>72</v>
      </c>
      <c r="E23" s="376">
        <v>180</v>
      </c>
      <c r="F23" s="99">
        <v>25000</v>
      </c>
      <c r="G23" s="104">
        <v>0</v>
      </c>
      <c r="H23" s="105">
        <v>500</v>
      </c>
      <c r="I23" s="563">
        <v>4</v>
      </c>
      <c r="J23" s="564">
        <v>2</v>
      </c>
      <c r="K23" s="574">
        <v>1</v>
      </c>
      <c r="L23" s="102"/>
    </row>
    <row r="24" spans="2:12" hidden="1">
      <c r="B24" s="115" t="s">
        <v>374</v>
      </c>
      <c r="C24" s="97">
        <v>3</v>
      </c>
      <c r="D24" s="98">
        <v>72</v>
      </c>
      <c r="E24" s="376">
        <v>180</v>
      </c>
      <c r="F24" s="99">
        <v>25000</v>
      </c>
      <c r="G24" s="97">
        <v>0</v>
      </c>
      <c r="H24" s="98">
        <v>500</v>
      </c>
      <c r="I24" s="461">
        <v>4</v>
      </c>
      <c r="J24" s="100">
        <v>2</v>
      </c>
      <c r="K24" s="101">
        <v>1</v>
      </c>
      <c r="L24" s="378"/>
    </row>
    <row r="25" spans="2:12" ht="15.75" hidden="1" thickBot="1">
      <c r="B25" s="117" t="s">
        <v>375</v>
      </c>
      <c r="C25" s="107">
        <v>24</v>
      </c>
      <c r="D25" s="108">
        <v>36</v>
      </c>
      <c r="E25" s="441">
        <v>2000</v>
      </c>
      <c r="F25" s="110">
        <v>5000</v>
      </c>
      <c r="G25" s="107">
        <v>0</v>
      </c>
      <c r="H25" s="108">
        <v>500</v>
      </c>
      <c r="I25" s="463">
        <v>4</v>
      </c>
      <c r="J25" s="112">
        <v>2</v>
      </c>
      <c r="K25" s="113">
        <v>1</v>
      </c>
      <c r="L25" s="114" t="s">
        <v>255</v>
      </c>
    </row>
    <row r="26" spans="2:12" hidden="1">
      <c r="B26" s="115" t="s">
        <v>411</v>
      </c>
      <c r="C26" s="97">
        <v>6</v>
      </c>
      <c r="D26" s="98">
        <v>72</v>
      </c>
      <c r="E26" s="376">
        <v>500</v>
      </c>
      <c r="F26" s="99">
        <v>50000</v>
      </c>
      <c r="G26" s="97">
        <v>0</v>
      </c>
      <c r="H26" s="98">
        <v>500</v>
      </c>
      <c r="I26" s="461">
        <v>4</v>
      </c>
      <c r="J26" s="100">
        <v>2</v>
      </c>
      <c r="K26" s="573">
        <v>1</v>
      </c>
      <c r="L26" s="378"/>
    </row>
    <row r="27" spans="2:12" hidden="1">
      <c r="B27" s="560" t="s">
        <v>410</v>
      </c>
      <c r="C27" s="97">
        <v>6</v>
      </c>
      <c r="D27" s="98">
        <v>72</v>
      </c>
      <c r="E27" s="376">
        <v>500</v>
      </c>
      <c r="F27" s="99">
        <v>50000</v>
      </c>
      <c r="G27" s="97">
        <v>0</v>
      </c>
      <c r="H27" s="98">
        <v>500</v>
      </c>
      <c r="I27" s="461">
        <v>4</v>
      </c>
      <c r="J27" s="100">
        <v>2</v>
      </c>
      <c r="K27" s="573">
        <v>1</v>
      </c>
      <c r="L27" s="378"/>
    </row>
    <row r="28" spans="2:12" ht="15.75" hidden="1" thickBot="1">
      <c r="B28" s="117" t="s">
        <v>412</v>
      </c>
      <c r="C28" s="379">
        <v>6</v>
      </c>
      <c r="D28" s="380">
        <v>72</v>
      </c>
      <c r="E28" s="722">
        <v>500</v>
      </c>
      <c r="F28" s="110">
        <v>30000</v>
      </c>
      <c r="G28" s="379">
        <v>0</v>
      </c>
      <c r="H28" s="380">
        <v>500</v>
      </c>
      <c r="I28" s="723">
        <v>4</v>
      </c>
      <c r="J28" s="112">
        <v>2</v>
      </c>
      <c r="K28" s="575">
        <v>1</v>
      </c>
      <c r="L28" s="724"/>
    </row>
  </sheetData>
  <sheetProtection algorithmName="SHA-512" hashValue="LzlGaed+d3NLQeSQMk/0bds4Je3eDFE2hU/y1ObRl+jzh6jsz75/b7XgcSKLEab9hIggVwdTnF7Z3h9Auc013w==" saltValue="1Ga6t2W4xjU/K5VyUET5lg==" spinCount="100000" sheet="1" objects="1" scenarios="1"/>
  <sortState ref="B10:B16">
    <sortCondition ref="B10:B16"/>
  </sortState>
  <mergeCells count="3">
    <mergeCell ref="C2:D2"/>
    <mergeCell ref="E2:F2"/>
    <mergeCell ref="G2:H2"/>
  </mergeCells>
  <pageMargins left="0.7" right="0.7" top="0.75" bottom="0.75" header="0.3" footer="0.3"/>
  <pageSetup paperSize="9" orientation="portrait" r:id="rId1"/>
  <headerFooter>
    <oddFooter>&amp;C&amp;1#&amp;"Calibri"&amp;10&amp;K000000 For 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2:ES64"/>
  <sheetViews>
    <sheetView workbookViewId="0">
      <selection activeCell="A64" sqref="A2:XFD64"/>
    </sheetView>
  </sheetViews>
  <sheetFormatPr defaultColWidth="8.85546875" defaultRowHeight="12.75"/>
  <cols>
    <col min="1" max="3" width="34.140625" style="89" bestFit="1" customWidth="1"/>
    <col min="4" max="6" width="31.28515625" style="89" customWidth="1"/>
    <col min="7" max="7" width="34.140625" style="89" bestFit="1" customWidth="1"/>
    <col min="8" max="23" width="31.28515625" style="89" customWidth="1"/>
    <col min="24" max="24" width="28.85546875" style="89" bestFit="1" customWidth="1"/>
    <col min="25" max="26" width="23.7109375" style="89" customWidth="1"/>
    <col min="27" max="16384" width="8.85546875" style="89"/>
  </cols>
  <sheetData>
    <row r="2" spans="1:149" ht="16.899999999999999" hidden="1" customHeight="1" thickTop="1" thickBot="1">
      <c r="A2" s="442" t="s">
        <v>377</v>
      </c>
      <c r="B2" s="442" t="s">
        <v>378</v>
      </c>
      <c r="C2" s="442" t="s">
        <v>379</v>
      </c>
      <c r="D2" s="442" t="s">
        <v>393</v>
      </c>
      <c r="E2" s="442" t="s">
        <v>381</v>
      </c>
      <c r="F2" s="442" t="s">
        <v>382</v>
      </c>
      <c r="G2" s="442" t="s">
        <v>409</v>
      </c>
    </row>
    <row r="3" spans="1:149" ht="13.5" hidden="1" thickTop="1">
      <c r="A3" s="92"/>
      <c r="B3" s="95" t="s">
        <v>335</v>
      </c>
      <c r="C3" s="95" t="s">
        <v>345</v>
      </c>
      <c r="D3" s="95" t="s">
        <v>352</v>
      </c>
      <c r="E3" s="95" t="s">
        <v>354</v>
      </c>
      <c r="F3" s="95" t="s">
        <v>396</v>
      </c>
      <c r="G3" s="447" t="s">
        <v>411</v>
      </c>
    </row>
    <row r="4" spans="1:149" hidden="1">
      <c r="A4" s="92"/>
      <c r="B4" s="95" t="s">
        <v>336</v>
      </c>
      <c r="C4" s="95" t="s">
        <v>346</v>
      </c>
      <c r="D4" s="95" t="s">
        <v>336</v>
      </c>
      <c r="E4" s="95"/>
      <c r="F4" s="95" t="s">
        <v>397</v>
      </c>
      <c r="G4" s="447" t="s">
        <v>410</v>
      </c>
    </row>
    <row r="5" spans="1:149" hidden="1">
      <c r="A5" s="92"/>
      <c r="B5" s="95" t="s">
        <v>333</v>
      </c>
      <c r="C5" s="95" t="s">
        <v>347</v>
      </c>
      <c r="D5" s="95" t="s">
        <v>390</v>
      </c>
      <c r="E5" s="95"/>
      <c r="F5" s="95" t="s">
        <v>398</v>
      </c>
      <c r="G5" s="447" t="s">
        <v>412</v>
      </c>
    </row>
    <row r="6" spans="1:149" hidden="1">
      <c r="A6" s="92"/>
      <c r="B6" s="95" t="s">
        <v>334</v>
      </c>
      <c r="C6" s="95" t="s">
        <v>349</v>
      </c>
      <c r="D6" s="95" t="s">
        <v>389</v>
      </c>
      <c r="E6" s="95"/>
      <c r="F6" s="95" t="s">
        <v>400</v>
      </c>
      <c r="G6" s="447"/>
    </row>
    <row r="7" spans="1:149" hidden="1">
      <c r="A7" s="92"/>
      <c r="B7" s="95" t="str">
        <f>""</f>
        <v/>
      </c>
      <c r="C7" s="95" t="s">
        <v>350</v>
      </c>
      <c r="D7" s="95" t="s">
        <v>392</v>
      </c>
      <c r="E7" s="95"/>
      <c r="F7" s="95" t="s">
        <v>399</v>
      </c>
      <c r="G7" s="447"/>
    </row>
    <row r="8" spans="1:149" hidden="1">
      <c r="A8" s="92"/>
      <c r="B8" s="95" t="str">
        <f>""</f>
        <v/>
      </c>
      <c r="C8" s="95"/>
      <c r="D8" s="95"/>
      <c r="E8" s="95"/>
      <c r="F8" s="95" t="s">
        <v>374</v>
      </c>
      <c r="G8" s="447"/>
    </row>
    <row r="9" spans="1:149" ht="13.5" hidden="1" thickBot="1">
      <c r="A9" s="430"/>
      <c r="B9" s="448"/>
      <c r="C9" s="448"/>
      <c r="D9" s="448"/>
      <c r="E9" s="448"/>
      <c r="F9" s="448" t="s">
        <v>375</v>
      </c>
      <c r="G9" s="449"/>
    </row>
    <row r="10" spans="1:149" ht="14.25" hidden="1" thickTop="1" thickBot="1">
      <c r="A10" s="450"/>
      <c r="B10" s="450"/>
      <c r="C10" s="450"/>
      <c r="D10" s="450"/>
      <c r="E10" s="450"/>
      <c r="F10" s="450"/>
    </row>
    <row r="11" spans="1:149" s="90" customFormat="1" ht="16.899999999999999" hidden="1" customHeight="1" thickTop="1" thickBot="1">
      <c r="A11" s="442" t="s">
        <v>313</v>
      </c>
      <c r="B11" s="442" t="s">
        <v>335</v>
      </c>
      <c r="C11" s="442" t="s">
        <v>336</v>
      </c>
      <c r="D11" s="442" t="s">
        <v>333</v>
      </c>
      <c r="E11" s="442" t="s">
        <v>334</v>
      </c>
      <c r="F11" s="442" t="s">
        <v>345</v>
      </c>
      <c r="G11" s="442" t="s">
        <v>346</v>
      </c>
      <c r="H11" s="442" t="s">
        <v>347</v>
      </c>
      <c r="I11" s="442" t="s">
        <v>349</v>
      </c>
      <c r="J11" s="442" t="s">
        <v>350</v>
      </c>
      <c r="K11" s="442" t="s">
        <v>352</v>
      </c>
      <c r="L11" s="442" t="s">
        <v>353</v>
      </c>
      <c r="M11" s="442" t="s">
        <v>394</v>
      </c>
      <c r="N11" s="442" t="s">
        <v>389</v>
      </c>
      <c r="O11" s="442" t="s">
        <v>395</v>
      </c>
      <c r="P11" s="442" t="s">
        <v>354</v>
      </c>
      <c r="Q11" s="442" t="s">
        <v>396</v>
      </c>
      <c r="R11" s="442" t="s">
        <v>405</v>
      </c>
      <c r="S11" s="442" t="s">
        <v>398</v>
      </c>
      <c r="T11" s="442" t="s">
        <v>400</v>
      </c>
      <c r="U11" s="442" t="s">
        <v>399</v>
      </c>
      <c r="V11" s="442" t="s">
        <v>374</v>
      </c>
      <c r="W11" s="442" t="s">
        <v>375</v>
      </c>
      <c r="X11" s="442" t="s">
        <v>411</v>
      </c>
      <c r="Y11" s="442" t="s">
        <v>410</v>
      </c>
      <c r="Z11" s="442" t="s">
        <v>412</v>
      </c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</row>
    <row r="12" spans="1:149" ht="13.5" hidden="1" thickTop="1">
      <c r="A12" s="583" t="str">
        <f>_xlfn.IFNA(B37,"")</f>
        <v>CASA_GRANDI_INTERVENTI</v>
      </c>
      <c r="B12" s="95" t="str">
        <f>IF('Condizioni comm.li'!C33="","",'Condizioni comm.li'!C33)</f>
        <v/>
      </c>
      <c r="C12" s="95" t="str">
        <f>IF('Condizioni comm.li'!C41="","",'Condizioni comm.li'!C41)</f>
        <v/>
      </c>
      <c r="D12" s="95" t="str">
        <f>IF('Condizioni comm.li'!C49="","",'Condizioni comm.li'!C49)</f>
        <v/>
      </c>
      <c r="E12" s="95" t="str">
        <f>IF('Condizioni comm.li'!C57="","",'Condizioni comm.li'!C57)</f>
        <v/>
      </c>
      <c r="F12" s="95" t="str">
        <f>IF('Condizioni comm.li'!C65="","",'Condizioni comm.li'!C65)</f>
        <v/>
      </c>
      <c r="G12" s="95" t="str">
        <f>IF('Condizioni comm.li'!C73="","",'Condizioni comm.li'!C73)</f>
        <v/>
      </c>
      <c r="H12" s="95" t="str">
        <f>IF('Condizioni comm.li'!C81="","",'Condizioni comm.li'!C81)</f>
        <v xml:space="preserve">RYF </v>
      </c>
      <c r="I12" s="95" t="str">
        <f>IF('Condizioni comm.li'!C89="","",'Condizioni comm.li'!C89)</f>
        <v>ZAL</v>
      </c>
      <c r="J12" s="95" t="str">
        <f>IF('Condizioni comm.li'!C97="","",'Condizioni comm.li'!C97)</f>
        <v/>
      </c>
      <c r="K12" s="95" t="str">
        <f>IF('Condizioni comm.li'!C105="","",'Condizioni comm.li'!C105)</f>
        <v/>
      </c>
      <c r="L12" s="95" t="str">
        <f>IF('Condizioni comm.li'!C113="","",'Condizioni comm.li'!C113)</f>
        <v/>
      </c>
      <c r="M12" s="95" t="str">
        <f>IF('Condizioni comm.li'!C121="","",'Condizioni comm.li'!C121)</f>
        <v/>
      </c>
      <c r="N12" s="95" t="str">
        <f>IF('Condizioni comm.li'!C129="","",'Condizioni comm.li'!C129)</f>
        <v/>
      </c>
      <c r="O12" s="95" t="str">
        <f>IF('Condizioni comm.li'!C137="","",'Condizioni comm.li'!C137)</f>
        <v/>
      </c>
      <c r="P12" s="95" t="str">
        <f>IF('Condizioni comm.li'!C145="","",'Condizioni comm.li'!C145)</f>
        <v/>
      </c>
      <c r="Q12" s="95" t="str">
        <f>IF('Condizioni comm.li'!C153="","",'Condizioni comm.li'!C153)</f>
        <v/>
      </c>
      <c r="R12" s="95" t="str">
        <f>IF('Condizioni comm.li'!C161="","",'Condizioni comm.li'!C161)</f>
        <v/>
      </c>
      <c r="S12" s="95" t="str">
        <f>IF('Condizioni comm.li'!C169="","",'Condizioni comm.li'!C169)</f>
        <v/>
      </c>
      <c r="T12" s="95" t="str">
        <f>IF('Condizioni comm.li'!C177="","",'Condizioni comm.li'!C177)</f>
        <v/>
      </c>
      <c r="U12" s="95" t="str">
        <f>IF('Condizioni comm.li'!C185="","",'Condizioni comm.li'!C185)</f>
        <v/>
      </c>
      <c r="V12" s="95" t="str">
        <f>IF('Condizioni comm.li'!C193="","",'Condizioni comm.li'!C193)</f>
        <v/>
      </c>
      <c r="W12" s="95" t="str">
        <f>IF('Condizioni comm.li'!C201="","",'Condizioni comm.li'!C201)</f>
        <v/>
      </c>
      <c r="X12" s="95" t="str">
        <f>IF('Condizioni comm.li'!C209="","",'Condizioni comm.li'!C209)</f>
        <v>tan zero</v>
      </c>
      <c r="Y12" s="95" t="str">
        <f>IF('Condizioni comm.li'!C217="","",'Condizioni comm.li'!C217)</f>
        <v>tan rid</v>
      </c>
      <c r="Z12" s="95" t="str">
        <f>IF('Condizioni comm.li'!C225="","",'Condizioni comm.li'!C225)</f>
        <v>tan 9</v>
      </c>
    </row>
    <row r="13" spans="1:149" hidden="1">
      <c r="A13" s="92" t="str">
        <f t="shared" ref="A13:A35" si="0">_xlfn.IFNA(B38,"")</f>
        <v>FOTOVOLTAICO_AZIENDE</v>
      </c>
      <c r="B13" s="95" t="str">
        <f>IF('Condizioni comm.li'!C34="","",'Condizioni comm.li'!C34)</f>
        <v/>
      </c>
      <c r="C13" s="95" t="str">
        <f>IF('Condizioni comm.li'!C42="","",'Condizioni comm.li'!C42)</f>
        <v/>
      </c>
      <c r="D13" s="95" t="str">
        <f>IF('Condizioni comm.li'!C50="","",'Condizioni comm.li'!C50)</f>
        <v/>
      </c>
      <c r="E13" s="95" t="str">
        <f>IF('Condizioni comm.li'!C58="","",'Condizioni comm.li'!C58)</f>
        <v/>
      </c>
      <c r="F13" s="95" t="str">
        <f>IF('Condizioni comm.li'!C66="","",'Condizioni comm.li'!C66)</f>
        <v/>
      </c>
      <c r="G13" s="95" t="str">
        <f>IF('Condizioni comm.li'!C74="","",'Condizioni comm.li'!C74)</f>
        <v/>
      </c>
      <c r="H13" s="95" t="str">
        <f>IF('Condizioni comm.li'!C82="","",'Condizioni comm.li'!C82)</f>
        <v/>
      </c>
      <c r="I13" s="95" t="str">
        <f>IF('Condizioni comm.li'!C90="","",'Condizioni comm.li'!C90)</f>
        <v/>
      </c>
      <c r="J13" s="95" t="str">
        <f>IF('Condizioni comm.li'!C98="","",'Condizioni comm.li'!C98)</f>
        <v/>
      </c>
      <c r="K13" s="95" t="str">
        <f>IF('Condizioni comm.li'!C106="","",'Condizioni comm.li'!C106)</f>
        <v/>
      </c>
      <c r="L13" s="95" t="str">
        <f>IF('Condizioni comm.li'!C114="","",'Condizioni comm.li'!C114)</f>
        <v/>
      </c>
      <c r="M13" s="95" t="str">
        <f>IF('Condizioni comm.li'!C122="","",'Condizioni comm.li'!C122)</f>
        <v/>
      </c>
      <c r="N13" s="95" t="str">
        <f>IF('Condizioni comm.li'!C130="","",'Condizioni comm.li'!C130)</f>
        <v/>
      </c>
      <c r="O13" s="95" t="str">
        <f>IF('Condizioni comm.li'!C138="","",'Condizioni comm.li'!C138)</f>
        <v/>
      </c>
      <c r="P13" s="95" t="str">
        <f>IF('Condizioni comm.li'!C146="","",'Condizioni comm.li'!C146)</f>
        <v/>
      </c>
      <c r="Q13" s="95" t="str">
        <f>IF('Condizioni comm.li'!C154="","",'Condizioni comm.li'!C154)</f>
        <v/>
      </c>
      <c r="R13" s="95" t="str">
        <f>IF('Condizioni comm.li'!C162="","",'Condizioni comm.li'!C162)</f>
        <v/>
      </c>
      <c r="S13" s="95" t="str">
        <f>IF('Condizioni comm.li'!C170="","",'Condizioni comm.li'!C170)</f>
        <v/>
      </c>
      <c r="T13" s="95" t="str">
        <f>IF('Condizioni comm.li'!C178="","",'Condizioni comm.li'!C178)</f>
        <v/>
      </c>
      <c r="U13" s="95" t="str">
        <f>IF('Condizioni comm.li'!C186="","",'Condizioni comm.li'!C186)</f>
        <v/>
      </c>
      <c r="V13" s="95" t="str">
        <f>IF('Condizioni comm.li'!C194="","",'Condizioni comm.li'!C194)</f>
        <v/>
      </c>
      <c r="W13" s="95" t="str">
        <f>IF('Condizioni comm.li'!C202="","",'Condizioni comm.li'!C202)</f>
        <v/>
      </c>
      <c r="X13" s="95" t="str">
        <f>IF('Condizioni comm.li'!C210="","",'Condizioni comm.li'!C210)</f>
        <v/>
      </c>
      <c r="Y13" s="95" t="str">
        <f>IF('Condizioni comm.li'!C218="","",'Condizioni comm.li'!C218)</f>
        <v/>
      </c>
      <c r="Z13" s="95"/>
    </row>
    <row r="14" spans="1:149" hidden="1">
      <c r="A14" s="92" t="str">
        <f t="shared" si="0"/>
        <v/>
      </c>
      <c r="B14" s="95" t="str">
        <f>IF('Condizioni comm.li'!C35="","",'Condizioni comm.li'!C35)</f>
        <v/>
      </c>
      <c r="C14" s="95" t="str">
        <f>IF('Condizioni comm.li'!C43="","",'Condizioni comm.li'!C43)</f>
        <v/>
      </c>
      <c r="D14" s="95" t="str">
        <f>IF('Condizioni comm.li'!C51="","",'Condizioni comm.li'!C51)</f>
        <v/>
      </c>
      <c r="E14" s="95" t="str">
        <f>IF('Condizioni comm.li'!C59="","",'Condizioni comm.li'!C59)</f>
        <v/>
      </c>
      <c r="F14" s="95" t="str">
        <f>IF('Condizioni comm.li'!C67="","",'Condizioni comm.li'!C67)</f>
        <v/>
      </c>
      <c r="G14" s="95" t="str">
        <f>IF('Condizioni comm.li'!C75="","",'Condizioni comm.li'!C75)</f>
        <v/>
      </c>
      <c r="H14" s="95" t="str">
        <f>IF('Condizioni comm.li'!C83="","",'Condizioni comm.li'!C83)</f>
        <v/>
      </c>
      <c r="I14" s="95" t="str">
        <f>IF('Condizioni comm.li'!C91="","",'Condizioni comm.li'!C91)</f>
        <v/>
      </c>
      <c r="J14" s="95" t="str">
        <f>IF('Condizioni comm.li'!C99="","",'Condizioni comm.li'!C99)</f>
        <v/>
      </c>
      <c r="K14" s="95" t="str">
        <f>IF('Condizioni comm.li'!C107="","",'Condizioni comm.li'!C107)</f>
        <v/>
      </c>
      <c r="L14" s="95" t="str">
        <f>IF('Condizioni comm.li'!C115="","",'Condizioni comm.li'!C115)</f>
        <v/>
      </c>
      <c r="M14" s="95" t="str">
        <f>IF('Condizioni comm.li'!C123="","",'Condizioni comm.li'!C123)</f>
        <v/>
      </c>
      <c r="N14" s="95" t="str">
        <f>IF('Condizioni comm.li'!C131="","",'Condizioni comm.li'!C131)</f>
        <v/>
      </c>
      <c r="O14" s="95" t="str">
        <f>IF('Condizioni comm.li'!C139="","",'Condizioni comm.li'!C139)</f>
        <v/>
      </c>
      <c r="P14" s="95" t="str">
        <f>IF('Condizioni comm.li'!C147="","",'Condizioni comm.li'!C147)</f>
        <v/>
      </c>
      <c r="Q14" s="95" t="str">
        <f>IF('Condizioni comm.li'!C155="","",'Condizioni comm.li'!C155)</f>
        <v/>
      </c>
      <c r="R14" s="95" t="str">
        <f>IF('Condizioni comm.li'!C163="","",'Condizioni comm.li'!C163)</f>
        <v/>
      </c>
      <c r="S14" s="95" t="str">
        <f>IF('Condizioni comm.li'!C171="","",'Condizioni comm.li'!C171)</f>
        <v/>
      </c>
      <c r="T14" s="95" t="str">
        <f>IF('Condizioni comm.li'!C179="","",'Condizioni comm.li'!C179)</f>
        <v/>
      </c>
      <c r="U14" s="95" t="str">
        <f>IF('Condizioni comm.li'!C187="","",'Condizioni comm.li'!C187)</f>
        <v/>
      </c>
      <c r="V14" s="95" t="str">
        <f>IF('Condizioni comm.li'!C195="","",'Condizioni comm.li'!C195)</f>
        <v/>
      </c>
      <c r="W14" s="95" t="str">
        <f>IF('Condizioni comm.li'!C203="","",'Condizioni comm.li'!C203)</f>
        <v/>
      </c>
      <c r="X14" s="95" t="str">
        <f>IF('Condizioni comm.li'!C211="","",'Condizioni comm.li'!C211)</f>
        <v/>
      </c>
      <c r="Y14" s="95" t="str">
        <f>IF('Condizioni comm.li'!C219="","",'Condizioni comm.li'!C219)</f>
        <v/>
      </c>
      <c r="Z14" s="95"/>
    </row>
    <row r="15" spans="1:149" hidden="1">
      <c r="A15" s="92" t="str">
        <f t="shared" si="0"/>
        <v/>
      </c>
      <c r="B15" s="95" t="str">
        <f>IF('Condizioni comm.li'!C36="","",'Condizioni comm.li'!C36)</f>
        <v/>
      </c>
      <c r="C15" s="95" t="str">
        <f>IF('Condizioni comm.li'!C44="","",'Condizioni comm.li'!C44)</f>
        <v/>
      </c>
      <c r="D15" s="95" t="str">
        <f>IF('Condizioni comm.li'!C52="","",'Condizioni comm.li'!C52)</f>
        <v/>
      </c>
      <c r="E15" s="95" t="str">
        <f>IF('Condizioni comm.li'!C60="","",'Condizioni comm.li'!C60)</f>
        <v/>
      </c>
      <c r="F15" s="95" t="str">
        <f>IF('Condizioni comm.li'!C68="","",'Condizioni comm.li'!C68)</f>
        <v/>
      </c>
      <c r="G15" s="95" t="str">
        <f>IF('Condizioni comm.li'!C76="","",'Condizioni comm.li'!C76)</f>
        <v/>
      </c>
      <c r="H15" s="95" t="str">
        <f>IF('Condizioni comm.li'!C84="","",'Condizioni comm.li'!C84)</f>
        <v/>
      </c>
      <c r="I15" s="95" t="str">
        <f>IF('Condizioni comm.li'!C92="","",'Condizioni comm.li'!C92)</f>
        <v/>
      </c>
      <c r="J15" s="95" t="str">
        <f>IF('Condizioni comm.li'!C100="","",'Condizioni comm.li'!C100)</f>
        <v/>
      </c>
      <c r="K15" s="95" t="str">
        <f>IF('Condizioni comm.li'!C108="","",'Condizioni comm.li'!C108)</f>
        <v/>
      </c>
      <c r="L15" s="95" t="str">
        <f>IF('Condizioni comm.li'!C116="","",'Condizioni comm.li'!C116)</f>
        <v/>
      </c>
      <c r="M15" s="95" t="str">
        <f>IF('Condizioni comm.li'!C124="","",'Condizioni comm.li'!C124)</f>
        <v/>
      </c>
      <c r="N15" s="95" t="str">
        <f>IF('Condizioni comm.li'!C132="","",'Condizioni comm.li'!C132)</f>
        <v/>
      </c>
      <c r="O15" s="95" t="str">
        <f>IF('Condizioni comm.li'!C140="","",'Condizioni comm.li'!C140)</f>
        <v/>
      </c>
      <c r="P15" s="95" t="str">
        <f>IF('Condizioni comm.li'!C148="","",'Condizioni comm.li'!C148)</f>
        <v/>
      </c>
      <c r="Q15" s="95" t="str">
        <f>IF('Condizioni comm.li'!C156="","",'Condizioni comm.li'!C156)</f>
        <v/>
      </c>
      <c r="R15" s="95" t="str">
        <f>IF('Condizioni comm.li'!C164="","",'Condizioni comm.li'!C164)</f>
        <v/>
      </c>
      <c r="S15" s="95" t="str">
        <f>IF('Condizioni comm.li'!C172="","",'Condizioni comm.li'!C172)</f>
        <v/>
      </c>
      <c r="T15" s="95" t="str">
        <f>IF('Condizioni comm.li'!C180="","",'Condizioni comm.li'!C180)</f>
        <v/>
      </c>
      <c r="U15" s="95" t="str">
        <f>IF('Condizioni comm.li'!C188="","",'Condizioni comm.li'!C188)</f>
        <v/>
      </c>
      <c r="V15" s="95" t="str">
        <f>IF('Condizioni comm.li'!C196="","",'Condizioni comm.li'!C196)</f>
        <v/>
      </c>
      <c r="W15" s="95" t="str">
        <f>IF('Condizioni comm.li'!C204="","",'Condizioni comm.li'!C204)</f>
        <v/>
      </c>
      <c r="X15" s="95" t="str">
        <f>IF('Condizioni comm.li'!C212="","",'Condizioni comm.li'!C212)</f>
        <v/>
      </c>
      <c r="Y15" s="95" t="str">
        <f>IF('Condizioni comm.li'!C220="","",'Condizioni comm.li'!C220)</f>
        <v/>
      </c>
      <c r="Z15" s="95"/>
    </row>
    <row r="16" spans="1:149" hidden="1">
      <c r="A16" s="92" t="str">
        <f t="shared" si="0"/>
        <v/>
      </c>
      <c r="B16" s="95" t="str">
        <f>IF('Condizioni comm.li'!C37="","",'Condizioni comm.li'!C37)</f>
        <v/>
      </c>
      <c r="C16" s="95" t="str">
        <f>IF('Condizioni comm.li'!C45="","",'Condizioni comm.li'!C45)</f>
        <v/>
      </c>
      <c r="D16" s="95" t="str">
        <f>IF('Condizioni comm.li'!C53="","",'Condizioni comm.li'!C53)</f>
        <v/>
      </c>
      <c r="E16" s="95" t="str">
        <f>IF('Condizioni comm.li'!C61="","",'Condizioni comm.li'!C61)</f>
        <v/>
      </c>
      <c r="F16" s="95" t="str">
        <f>IF('Condizioni comm.li'!C69="","",'Condizioni comm.li'!C69)</f>
        <v/>
      </c>
      <c r="G16" s="95" t="str">
        <f>IF('Condizioni comm.li'!C77="","",'Condizioni comm.li'!C77)</f>
        <v/>
      </c>
      <c r="H16" s="95" t="str">
        <f>IF('Condizioni comm.li'!C85="","",'Condizioni comm.li'!C85)</f>
        <v/>
      </c>
      <c r="I16" s="95" t="str">
        <f>IF('Condizioni comm.li'!C93="","",'Condizioni comm.li'!C93)</f>
        <v/>
      </c>
      <c r="J16" s="95" t="str">
        <f>IF('Condizioni comm.li'!C101="","",'Condizioni comm.li'!C101)</f>
        <v/>
      </c>
      <c r="K16" s="95" t="str">
        <f>IF('Condizioni comm.li'!C109="","",'Condizioni comm.li'!C109)</f>
        <v/>
      </c>
      <c r="L16" s="95" t="str">
        <f>IF('Condizioni comm.li'!C117="","",'Condizioni comm.li'!C117)</f>
        <v/>
      </c>
      <c r="M16" s="95" t="str">
        <f>IF('Condizioni comm.li'!C125="","",'Condizioni comm.li'!C125)</f>
        <v/>
      </c>
      <c r="N16" s="95" t="str">
        <f>IF('Condizioni comm.li'!C133="","",'Condizioni comm.li'!C133)</f>
        <v/>
      </c>
      <c r="O16" s="95" t="str">
        <f>IF('Condizioni comm.li'!C141="","",'Condizioni comm.li'!C141)</f>
        <v/>
      </c>
      <c r="P16" s="95" t="str">
        <f>IF('Condizioni comm.li'!C149="","",'Condizioni comm.li'!C149)</f>
        <v/>
      </c>
      <c r="Q16" s="95" t="str">
        <f>IF('Condizioni comm.li'!C157="","",'Condizioni comm.li'!C157)</f>
        <v/>
      </c>
      <c r="R16" s="95" t="str">
        <f>IF('Condizioni comm.li'!C165="","",'Condizioni comm.li'!C165)</f>
        <v/>
      </c>
      <c r="S16" s="95" t="str">
        <f>IF('Condizioni comm.li'!C173="","",'Condizioni comm.li'!C173)</f>
        <v/>
      </c>
      <c r="T16" s="95" t="str">
        <f>IF('Condizioni comm.li'!C181="","",'Condizioni comm.li'!C181)</f>
        <v/>
      </c>
      <c r="U16" s="95" t="str">
        <f>IF('Condizioni comm.li'!C189="","",'Condizioni comm.li'!C189)</f>
        <v/>
      </c>
      <c r="V16" s="95" t="str">
        <f>IF('Condizioni comm.li'!C197="","",'Condizioni comm.li'!C197)</f>
        <v/>
      </c>
      <c r="W16" s="95" t="str">
        <f>IF('Condizioni comm.li'!C205="","",'Condizioni comm.li'!C205)</f>
        <v/>
      </c>
      <c r="X16" s="95" t="str">
        <f>IF('Condizioni comm.li'!C213="","",'Condizioni comm.li'!C213)</f>
        <v/>
      </c>
      <c r="Y16" s="95" t="str">
        <f>IF('Condizioni comm.li'!C221="","",'Condizioni comm.li'!C221)</f>
        <v/>
      </c>
      <c r="Z16" s="95"/>
    </row>
    <row r="17" spans="1:26" hidden="1">
      <c r="A17" s="92" t="str">
        <f t="shared" si="0"/>
        <v/>
      </c>
      <c r="B17" s="95" t="str">
        <f>IF('Condizioni comm.li'!C38="","",'Condizioni comm.li'!C38)</f>
        <v/>
      </c>
      <c r="C17" s="95" t="str">
        <f>IF('Condizioni comm.li'!C46="","",'Condizioni comm.li'!C46)</f>
        <v/>
      </c>
      <c r="D17" s="95" t="str">
        <f>IF('Condizioni comm.li'!C54="","",'Condizioni comm.li'!C54)</f>
        <v/>
      </c>
      <c r="E17" s="95" t="str">
        <f>IF('Condizioni comm.li'!C62="","",'Condizioni comm.li'!C62)</f>
        <v/>
      </c>
      <c r="F17" s="95" t="str">
        <f>IF('Condizioni comm.li'!C70="","",'Condizioni comm.li'!C70)</f>
        <v/>
      </c>
      <c r="G17" s="95" t="str">
        <f>IF('Condizioni comm.li'!C78="","",'Condizioni comm.li'!C78)</f>
        <v/>
      </c>
      <c r="H17" s="95" t="str">
        <f>IF('Condizioni comm.li'!C86="","",'Condizioni comm.li'!C86)</f>
        <v/>
      </c>
      <c r="I17" s="95" t="str">
        <f>IF('Condizioni comm.li'!C94="","",'Condizioni comm.li'!C94)</f>
        <v/>
      </c>
      <c r="J17" s="95" t="str">
        <f>IF('Condizioni comm.li'!C102="","",'Condizioni comm.li'!C102)</f>
        <v/>
      </c>
      <c r="K17" s="95" t="str">
        <f>IF('Condizioni comm.li'!C110="","",'Condizioni comm.li'!C110)</f>
        <v/>
      </c>
      <c r="L17" s="95" t="str">
        <f>IF('Condizioni comm.li'!C118="","",'Condizioni comm.li'!C118)</f>
        <v/>
      </c>
      <c r="M17" s="95" t="str">
        <f>IF('Condizioni comm.li'!C126="","",'Condizioni comm.li'!C126)</f>
        <v/>
      </c>
      <c r="N17" s="95" t="str">
        <f>IF('Condizioni comm.li'!C134="","",'Condizioni comm.li'!C134)</f>
        <v/>
      </c>
      <c r="O17" s="95" t="str">
        <f>IF('Condizioni comm.li'!C142="","",'Condizioni comm.li'!C142)</f>
        <v/>
      </c>
      <c r="P17" s="95" t="str">
        <f>IF('Condizioni comm.li'!C150="","",'Condizioni comm.li'!C150)</f>
        <v/>
      </c>
      <c r="Q17" s="95" t="str">
        <f>IF('Condizioni comm.li'!C158="","",'Condizioni comm.li'!C158)</f>
        <v/>
      </c>
      <c r="R17" s="95" t="str">
        <f>IF('Condizioni comm.li'!C166="","",'Condizioni comm.li'!C166)</f>
        <v/>
      </c>
      <c r="S17" s="95" t="str">
        <f>IF('Condizioni comm.li'!C174="","",'Condizioni comm.li'!C174)</f>
        <v/>
      </c>
      <c r="T17" s="95" t="str">
        <f>IF('Condizioni comm.li'!C182="","",'Condizioni comm.li'!C182)</f>
        <v/>
      </c>
      <c r="U17" s="95" t="str">
        <f>IF('Condizioni comm.li'!C190="","",'Condizioni comm.li'!C190)</f>
        <v/>
      </c>
      <c r="V17" s="95" t="str">
        <f>IF('Condizioni comm.li'!C198="","",'Condizioni comm.li'!C198)</f>
        <v/>
      </c>
      <c r="W17" s="95" t="str">
        <f>IF('Condizioni comm.li'!C206="","",'Condizioni comm.li'!C206)</f>
        <v/>
      </c>
      <c r="X17" s="95" t="str">
        <f>IF('Condizioni comm.li'!C214="","",'Condizioni comm.li'!C214)</f>
        <v/>
      </c>
      <c r="Y17" s="95" t="str">
        <f>IF('Condizioni comm.li'!C222="","",'Condizioni comm.li'!C222)</f>
        <v/>
      </c>
      <c r="Z17" s="95"/>
    </row>
    <row r="18" spans="1:26" hidden="1">
      <c r="A18" s="92" t="str">
        <f t="shared" si="0"/>
        <v/>
      </c>
      <c r="B18" s="95" t="str">
        <f>IF('Condizioni comm.li'!C39="","",'Condizioni comm.li'!C39)</f>
        <v/>
      </c>
      <c r="C18" s="95" t="str">
        <f>IF('Condizioni comm.li'!C47="","",'Condizioni comm.li'!C47)</f>
        <v/>
      </c>
      <c r="D18" s="95" t="str">
        <f>IF('Condizioni comm.li'!C55="","",'Condizioni comm.li'!C55)</f>
        <v/>
      </c>
      <c r="E18" s="95" t="str">
        <f>IF('Condizioni comm.li'!C63="","",'Condizioni comm.li'!C63)</f>
        <v/>
      </c>
      <c r="F18" s="95" t="str">
        <f>IF('Condizioni comm.li'!C71="","",'Condizioni comm.li'!C71)</f>
        <v/>
      </c>
      <c r="G18" s="95" t="str">
        <f>IF('Condizioni comm.li'!C79="","",'Condizioni comm.li'!C79)</f>
        <v/>
      </c>
      <c r="H18" s="95" t="str">
        <f>IF('Condizioni comm.li'!C87="","",'Condizioni comm.li'!C87)</f>
        <v/>
      </c>
      <c r="I18" s="95" t="str">
        <f>IF('Condizioni comm.li'!C95="","",'Condizioni comm.li'!C95)</f>
        <v/>
      </c>
      <c r="J18" s="95" t="str">
        <f>IF('Condizioni comm.li'!C103="","",'Condizioni comm.li'!C103)</f>
        <v/>
      </c>
      <c r="K18" s="95" t="str">
        <f>IF('Condizioni comm.li'!C111="","",'Condizioni comm.li'!C111)</f>
        <v/>
      </c>
      <c r="L18" s="95" t="str">
        <f>IF('Condizioni comm.li'!C119="","",'Condizioni comm.li'!C119)</f>
        <v/>
      </c>
      <c r="M18" s="95" t="str">
        <f>IF('Condizioni comm.li'!C127="","",'Condizioni comm.li'!C127)</f>
        <v/>
      </c>
      <c r="N18" s="95" t="str">
        <f>IF('Condizioni comm.li'!C135="","",'Condizioni comm.li'!C135)</f>
        <v/>
      </c>
      <c r="O18" s="95" t="str">
        <f>IF('Condizioni comm.li'!C143="","",'Condizioni comm.li'!C143)</f>
        <v/>
      </c>
      <c r="P18" s="95" t="str">
        <f>IF('Condizioni comm.li'!C151="","",'Condizioni comm.li'!C151)</f>
        <v/>
      </c>
      <c r="Q18" s="95" t="str">
        <f>IF('Condizioni comm.li'!C159="","",'Condizioni comm.li'!C159)</f>
        <v/>
      </c>
      <c r="R18" s="95" t="str">
        <f>IF('Condizioni comm.li'!C167="","",'Condizioni comm.li'!C167)</f>
        <v/>
      </c>
      <c r="S18" s="95" t="str">
        <f>IF('Condizioni comm.li'!C175="","",'Condizioni comm.li'!C175)</f>
        <v/>
      </c>
      <c r="T18" s="95" t="str">
        <f>IF('Condizioni comm.li'!C183="","",'Condizioni comm.li'!C183)</f>
        <v/>
      </c>
      <c r="U18" s="95" t="str">
        <f>IF('Condizioni comm.li'!C191="","",'Condizioni comm.li'!C191)</f>
        <v/>
      </c>
      <c r="V18" s="95" t="str">
        <f>IF('Condizioni comm.li'!C199="","",'Condizioni comm.li'!C199)</f>
        <v/>
      </c>
      <c r="W18" s="95" t="str">
        <f>IF('Condizioni comm.li'!C207="","",'Condizioni comm.li'!C207)</f>
        <v/>
      </c>
      <c r="X18" s="95" t="str">
        <f>IF('Condizioni comm.li'!C215="","",'Condizioni comm.li'!C215)</f>
        <v/>
      </c>
      <c r="Y18" s="95" t="str">
        <f>IF('Condizioni comm.li'!C223="","",'Condizioni comm.li'!C223)</f>
        <v/>
      </c>
      <c r="Z18" s="95"/>
    </row>
    <row r="19" spans="1:26" ht="13.5" hidden="1" thickBot="1">
      <c r="A19" s="92" t="str">
        <f t="shared" si="0"/>
        <v/>
      </c>
      <c r="B19" s="448" t="str">
        <f>IF('Condizioni comm.li'!C40="","",'Condizioni comm.li'!C40)</f>
        <v/>
      </c>
      <c r="C19" s="93" t="str">
        <f>IF('Condizioni comm.li'!C48="","",'Condizioni comm.li'!C48)</f>
        <v/>
      </c>
      <c r="D19" s="93" t="str">
        <f>IF('Condizioni comm.li'!C56="","",'Condizioni comm.li'!C56)</f>
        <v/>
      </c>
      <c r="E19" s="93" t="str">
        <f>IF('Condizioni comm.li'!C64="","",'Condizioni comm.li'!C64)</f>
        <v/>
      </c>
      <c r="F19" s="93" t="str">
        <f>IF('Condizioni comm.li'!C72="","",'Condizioni comm.li'!C72)</f>
        <v/>
      </c>
      <c r="G19" s="93" t="str">
        <f>IF('Condizioni comm.li'!C80="","",'Condizioni comm.li'!C80)</f>
        <v/>
      </c>
      <c r="H19" s="93" t="str">
        <f>IF('Condizioni comm.li'!C88="","",'Condizioni comm.li'!C88)</f>
        <v/>
      </c>
      <c r="I19" s="93" t="str">
        <f>IF('Condizioni comm.li'!C96="","",'Condizioni comm.li'!C96)</f>
        <v/>
      </c>
      <c r="J19" s="93" t="str">
        <f>IF('Condizioni comm.li'!C104="","",'Condizioni comm.li'!C104)</f>
        <v/>
      </c>
      <c r="K19" s="93" t="str">
        <f>IF('Condizioni comm.li'!C112="","",'Condizioni comm.li'!C112)</f>
        <v/>
      </c>
      <c r="L19" s="93" t="str">
        <f>IF('Condizioni comm.li'!C120="","",'Condizioni comm.li'!C120)</f>
        <v/>
      </c>
      <c r="M19" s="93" t="str">
        <f>IF('Condizioni comm.li'!C128="","",'Condizioni comm.li'!C128)</f>
        <v/>
      </c>
      <c r="N19" s="93" t="str">
        <f>IF('Condizioni comm.li'!C136="","",'Condizioni comm.li'!C136)</f>
        <v/>
      </c>
      <c r="O19" s="93" t="str">
        <f>IF('Condizioni comm.li'!C144="","",'Condizioni comm.li'!C144)</f>
        <v/>
      </c>
      <c r="P19" s="93" t="str">
        <f>IF('Condizioni comm.li'!C152="","",'Condizioni comm.li'!C152)</f>
        <v/>
      </c>
      <c r="Q19" s="93" t="str">
        <f>IF('Condizioni comm.li'!C160="","",'Condizioni comm.li'!C160)</f>
        <v/>
      </c>
      <c r="R19" s="93" t="str">
        <f>IF('Condizioni comm.li'!C168="","",'Condizioni comm.li'!C168)</f>
        <v/>
      </c>
      <c r="S19" s="93" t="str">
        <f>IF('Condizioni comm.li'!C176="","",'Condizioni comm.li'!C176)</f>
        <v/>
      </c>
      <c r="T19" s="93" t="str">
        <f>IF('Condizioni comm.li'!C184="","",'Condizioni comm.li'!C184)</f>
        <v/>
      </c>
      <c r="U19" s="93" t="str">
        <f>IF('Condizioni comm.li'!C192="","",'Condizioni comm.li'!C192)</f>
        <v/>
      </c>
      <c r="V19" s="93" t="str">
        <f>IF('Condizioni comm.li'!C200="","",'Condizioni comm.li'!C200)</f>
        <v/>
      </c>
      <c r="W19" s="93" t="str">
        <f>IF('Condizioni comm.li'!C208="","",'Condizioni comm.li'!C208)</f>
        <v/>
      </c>
      <c r="X19" s="93" t="str">
        <f>IF('Condizioni comm.li'!C216="","",'Condizioni comm.li'!C216)</f>
        <v/>
      </c>
      <c r="Y19" s="93" t="str">
        <f>IF('Condizioni comm.li'!C224="","",'Condizioni comm.li'!C224)</f>
        <v/>
      </c>
      <c r="Z19" s="93"/>
    </row>
    <row r="20" spans="1:26" ht="13.5" hidden="1" thickTop="1">
      <c r="A20" s="92" t="str">
        <f t="shared" si="0"/>
        <v/>
      </c>
      <c r="B20" s="91"/>
      <c r="C20" s="91"/>
      <c r="E20" s="91"/>
    </row>
    <row r="21" spans="1:26" hidden="1">
      <c r="A21" s="92" t="str">
        <f t="shared" si="0"/>
        <v/>
      </c>
      <c r="E21" s="91"/>
    </row>
    <row r="22" spans="1:26" hidden="1">
      <c r="A22" s="92" t="str">
        <f t="shared" si="0"/>
        <v/>
      </c>
      <c r="E22" s="91"/>
    </row>
    <row r="23" spans="1:26" hidden="1">
      <c r="A23" s="92" t="str">
        <f t="shared" si="0"/>
        <v/>
      </c>
      <c r="E23" s="91"/>
    </row>
    <row r="24" spans="1:26" hidden="1">
      <c r="A24" s="92" t="str">
        <f t="shared" si="0"/>
        <v/>
      </c>
      <c r="E24" s="91"/>
    </row>
    <row r="25" spans="1:26" hidden="1">
      <c r="A25" s="92" t="str">
        <f t="shared" si="0"/>
        <v/>
      </c>
      <c r="E25" s="91"/>
    </row>
    <row r="26" spans="1:26" hidden="1">
      <c r="A26" s="92" t="str">
        <f t="shared" si="0"/>
        <v/>
      </c>
      <c r="E26" s="91"/>
    </row>
    <row r="27" spans="1:26" hidden="1">
      <c r="A27" s="92" t="str">
        <f t="shared" si="0"/>
        <v/>
      </c>
      <c r="E27" s="91"/>
    </row>
    <row r="28" spans="1:26" hidden="1">
      <c r="A28" s="92" t="str">
        <f t="shared" si="0"/>
        <v/>
      </c>
      <c r="E28" s="91"/>
      <c r="K28" s="91"/>
    </row>
    <row r="29" spans="1:26" hidden="1">
      <c r="A29" s="92" t="str">
        <f t="shared" si="0"/>
        <v/>
      </c>
      <c r="E29" s="91"/>
      <c r="K29" s="91"/>
    </row>
    <row r="30" spans="1:26" hidden="1">
      <c r="A30" s="92" t="str">
        <f t="shared" si="0"/>
        <v/>
      </c>
      <c r="E30" s="91"/>
      <c r="K30" s="91"/>
    </row>
    <row r="31" spans="1:26" hidden="1">
      <c r="A31" s="92" t="str">
        <f t="shared" si="0"/>
        <v/>
      </c>
      <c r="K31" s="91"/>
    </row>
    <row r="32" spans="1:26" hidden="1">
      <c r="A32" s="92" t="str">
        <f t="shared" si="0"/>
        <v/>
      </c>
      <c r="K32" s="91"/>
    </row>
    <row r="33" spans="1:11" hidden="1">
      <c r="A33" s="92" t="str">
        <f t="shared" si="0"/>
        <v/>
      </c>
      <c r="D33" s="91"/>
      <c r="K33" s="91"/>
    </row>
    <row r="34" spans="1:11" hidden="1">
      <c r="A34" s="92" t="str">
        <f t="shared" si="0"/>
        <v/>
      </c>
      <c r="D34" s="91"/>
    </row>
    <row r="35" spans="1:11" hidden="1">
      <c r="A35" s="92" t="str">
        <f t="shared" si="0"/>
        <v/>
      </c>
      <c r="D35" s="91"/>
    </row>
    <row r="36" spans="1:11" ht="13.5" hidden="1" thickBot="1">
      <c r="A36" s="721"/>
      <c r="D36" s="91"/>
    </row>
    <row r="37" spans="1:11" ht="13.5" hidden="1" thickTop="1">
      <c r="A37" s="614">
        <v>1</v>
      </c>
      <c r="B37" s="615" t="str">
        <f>IF(VLOOKUP('wkg tabelle'!A37,'Condizioni comm.li'!$A$5:$B$29,2,0)&lt;&gt;"",VLOOKUP('wkg tabelle'!A37,'Condizioni comm.li'!$A$5:$B$29,2,0),"")</f>
        <v>CASA_GRANDI_INTERVENTI</v>
      </c>
      <c r="D37" s="91"/>
    </row>
    <row r="38" spans="1:11" hidden="1">
      <c r="A38" s="616">
        <v>2</v>
      </c>
      <c r="B38" s="617" t="str">
        <f>IF(VLOOKUP('wkg tabelle'!A38,'Condizioni comm.li'!$A$5:$B$29,2,0)&lt;&gt;"",VLOOKUP('wkg tabelle'!A38,'Condizioni comm.li'!$A$5:$B$29,2,0),"")</f>
        <v>FOTOVOLTAICO_AZIENDE</v>
      </c>
      <c r="D38" s="91"/>
      <c r="J38" s="91"/>
    </row>
    <row r="39" spans="1:11" hidden="1">
      <c r="A39" s="616">
        <v>3</v>
      </c>
      <c r="B39" s="617" t="e">
        <f>IF(VLOOKUP('wkg tabelle'!A39,'Condizioni comm.li'!$A$5:$B$29,2,0)&lt;&gt;"",VLOOKUP('wkg tabelle'!A39,'Condizioni comm.li'!$A$5:$B$29,2,0),"")</f>
        <v>#N/A</v>
      </c>
      <c r="D39" s="91"/>
      <c r="J39" s="91"/>
    </row>
    <row r="40" spans="1:11" hidden="1">
      <c r="A40" s="616">
        <v>4</v>
      </c>
      <c r="B40" s="617" t="e">
        <f>IF(VLOOKUP('wkg tabelle'!A40,'Condizioni comm.li'!$A$5:$B$29,2,0)&lt;&gt;"",VLOOKUP('wkg tabelle'!A40,'Condizioni comm.li'!$A$5:$B$29,2,0),"")</f>
        <v>#N/A</v>
      </c>
      <c r="D40" s="91"/>
      <c r="J40" s="91"/>
    </row>
    <row r="41" spans="1:11" hidden="1">
      <c r="A41" s="616">
        <v>5</v>
      </c>
      <c r="B41" s="617" t="e">
        <f>IF(VLOOKUP('wkg tabelle'!A41,'Condizioni comm.li'!$A$5:$B$29,2,0)&lt;&gt;"",VLOOKUP('wkg tabelle'!A41,'Condizioni comm.li'!$A$5:$B$29,2,0),"")</f>
        <v>#N/A</v>
      </c>
      <c r="D41" s="91"/>
      <c r="J41" s="91"/>
    </row>
    <row r="42" spans="1:11" hidden="1">
      <c r="A42" s="616">
        <v>6</v>
      </c>
      <c r="B42" s="617" t="e">
        <f>IF(VLOOKUP('wkg tabelle'!A42,'Condizioni comm.li'!$A$5:$B$29,2,0)&lt;&gt;"",VLOOKUP('wkg tabelle'!A42,'Condizioni comm.li'!$A$5:$B$29,2,0),"")</f>
        <v>#N/A</v>
      </c>
      <c r="D42" s="91"/>
      <c r="J42" s="91"/>
    </row>
    <row r="43" spans="1:11" hidden="1">
      <c r="A43" s="616">
        <v>7</v>
      </c>
      <c r="B43" s="617" t="e">
        <f>IF(VLOOKUP('wkg tabelle'!A43,'Condizioni comm.li'!$A$5:$B$29,2,0)&lt;&gt;"",VLOOKUP('wkg tabelle'!A43,'Condizioni comm.li'!$A$5:$B$29,2,0),"")</f>
        <v>#N/A</v>
      </c>
      <c r="D43" s="91"/>
      <c r="J43" s="91"/>
    </row>
    <row r="44" spans="1:11" hidden="1">
      <c r="A44" s="616">
        <v>8</v>
      </c>
      <c r="B44" s="617" t="e">
        <f>IF(VLOOKUP('wkg tabelle'!A44,'Condizioni comm.li'!$A$5:$B$29,2,0)&lt;&gt;"",VLOOKUP('wkg tabelle'!A44,'Condizioni comm.li'!$A$5:$B$29,2,0),"")</f>
        <v>#N/A</v>
      </c>
      <c r="D44" s="91"/>
      <c r="J44" s="91"/>
    </row>
    <row r="45" spans="1:11" hidden="1">
      <c r="A45" s="616">
        <v>9</v>
      </c>
      <c r="B45" s="617" t="e">
        <f>IF(VLOOKUP('wkg tabelle'!A45,'Condizioni comm.li'!$A$5:$B$29,2,0)&lt;&gt;"",VLOOKUP('wkg tabelle'!A45,'Condizioni comm.li'!$A$5:$B$29,2,0),"")</f>
        <v>#N/A</v>
      </c>
      <c r="D45" s="91"/>
    </row>
    <row r="46" spans="1:11" hidden="1">
      <c r="A46" s="616">
        <v>10</v>
      </c>
      <c r="B46" s="617" t="e">
        <f>IF(VLOOKUP('wkg tabelle'!A46,'Condizioni comm.li'!$A$5:$B$29,2,0)&lt;&gt;"",VLOOKUP('wkg tabelle'!A46,'Condizioni comm.li'!$A$5:$B$29,2,0),"")</f>
        <v>#N/A</v>
      </c>
      <c r="D46" s="91"/>
    </row>
    <row r="47" spans="1:11" hidden="1">
      <c r="A47" s="616">
        <v>11</v>
      </c>
      <c r="B47" s="617" t="e">
        <f>IF(VLOOKUP('wkg tabelle'!A47,'Condizioni comm.li'!$A$5:$B$29,2,0)&lt;&gt;"",VLOOKUP('wkg tabelle'!A47,'Condizioni comm.li'!$A$5:$B$29,2,0),"")</f>
        <v>#N/A</v>
      </c>
      <c r="D47" s="91"/>
    </row>
    <row r="48" spans="1:11" hidden="1">
      <c r="A48" s="616">
        <v>12</v>
      </c>
      <c r="B48" s="617" t="e">
        <f>IF(VLOOKUP('wkg tabelle'!A48,'Condizioni comm.li'!$A$5:$B$29,2,0)&lt;&gt;"",VLOOKUP('wkg tabelle'!A48,'Condizioni comm.li'!$A$5:$B$29,2,0),"")</f>
        <v>#N/A</v>
      </c>
      <c r="D48" s="91"/>
    </row>
    <row r="49" spans="1:2" hidden="1">
      <c r="A49" s="616">
        <v>13</v>
      </c>
      <c r="B49" s="617" t="e">
        <f>IF(VLOOKUP('wkg tabelle'!A49,'Condizioni comm.li'!$A$5:$B$29,2,0)&lt;&gt;"",VLOOKUP('wkg tabelle'!A49,'Condizioni comm.li'!$A$5:$B$29,2,0),"")</f>
        <v>#N/A</v>
      </c>
    </row>
    <row r="50" spans="1:2" hidden="1">
      <c r="A50" s="616">
        <v>14</v>
      </c>
      <c r="B50" s="617" t="e">
        <f>IF(VLOOKUP('wkg tabelle'!A50,'Condizioni comm.li'!$A$5:$B$29,2,0)&lt;&gt;"",VLOOKUP('wkg tabelle'!A50,'Condizioni comm.li'!$A$5:$B$29,2,0),"")</f>
        <v>#N/A</v>
      </c>
    </row>
    <row r="51" spans="1:2" hidden="1">
      <c r="A51" s="616">
        <v>15</v>
      </c>
      <c r="B51" s="617" t="e">
        <f>IF(VLOOKUP('wkg tabelle'!A51,'Condizioni comm.li'!$A$5:$B$29,2,0)&lt;&gt;"",VLOOKUP('wkg tabelle'!A51,'Condizioni comm.li'!$A$5:$B$29,2,0),"")</f>
        <v>#N/A</v>
      </c>
    </row>
    <row r="52" spans="1:2" hidden="1">
      <c r="A52" s="616">
        <v>16</v>
      </c>
      <c r="B52" s="617" t="e">
        <f>IF(VLOOKUP('wkg tabelle'!A52,'Condizioni comm.li'!$A$5:$B$29,2,0)&lt;&gt;"",VLOOKUP('wkg tabelle'!A52,'Condizioni comm.li'!$A$5:$B$29,2,0),"")</f>
        <v>#N/A</v>
      </c>
    </row>
    <row r="53" spans="1:2" hidden="1">
      <c r="A53" s="616">
        <v>17</v>
      </c>
      <c r="B53" s="617" t="e">
        <f>IF(VLOOKUP('wkg tabelle'!A53,'Condizioni comm.li'!$A$5:$B$29,2,0)&lt;&gt;"",VLOOKUP('wkg tabelle'!A53,'Condizioni comm.li'!$A$5:$B$29,2,0),"")</f>
        <v>#N/A</v>
      </c>
    </row>
    <row r="54" spans="1:2" hidden="1">
      <c r="A54" s="616">
        <v>18</v>
      </c>
      <c r="B54" s="617" t="e">
        <f>IF(VLOOKUP('wkg tabelle'!A54,'Condizioni comm.li'!$A$5:$B$29,2,0)&lt;&gt;"",VLOOKUP('wkg tabelle'!A54,'Condizioni comm.li'!$A$5:$B$29,2,0),"")</f>
        <v>#N/A</v>
      </c>
    </row>
    <row r="55" spans="1:2" hidden="1">
      <c r="A55" s="616">
        <v>19</v>
      </c>
      <c r="B55" s="617" t="e">
        <f>IF(VLOOKUP('wkg tabelle'!A55,'Condizioni comm.li'!$A$5:$B$29,2,0)&lt;&gt;"",VLOOKUP('wkg tabelle'!A55,'Condizioni comm.li'!$A$5:$B$29,2,0),"")</f>
        <v>#N/A</v>
      </c>
    </row>
    <row r="56" spans="1:2" hidden="1">
      <c r="A56" s="616">
        <v>20</v>
      </c>
      <c r="B56" s="617" t="e">
        <f>IF(VLOOKUP('wkg tabelle'!A56,'Condizioni comm.li'!$A$5:$B$29,2,0)&lt;&gt;"",VLOOKUP('wkg tabelle'!A56,'Condizioni comm.li'!$A$5:$B$29,2,0),"")</f>
        <v>#N/A</v>
      </c>
    </row>
    <row r="57" spans="1:2" hidden="1">
      <c r="A57" s="616">
        <v>21</v>
      </c>
      <c r="B57" s="617" t="e">
        <f>IF(VLOOKUP('wkg tabelle'!A57,'Condizioni comm.li'!$A$5:$B$29,2,0)&lt;&gt;"",VLOOKUP('wkg tabelle'!A57,'Condizioni comm.li'!$A$5:$B$29,2,0),"")</f>
        <v>#N/A</v>
      </c>
    </row>
    <row r="58" spans="1:2" hidden="1">
      <c r="A58" s="616">
        <v>22</v>
      </c>
      <c r="B58" s="617" t="e">
        <f>IF(VLOOKUP('wkg tabelle'!A58,'Condizioni comm.li'!$A$5:$B$29,2,0)&lt;&gt;"",VLOOKUP('wkg tabelle'!A58,'Condizioni comm.li'!$A$5:$B$29,2,0),"")</f>
        <v>#N/A</v>
      </c>
    </row>
    <row r="59" spans="1:2" hidden="1">
      <c r="A59" s="616">
        <v>23</v>
      </c>
      <c r="B59" s="617" t="e">
        <f>IF(VLOOKUP('wkg tabelle'!A59,'Condizioni comm.li'!$A$5:$B$29,2,0)&lt;&gt;"",VLOOKUP('wkg tabelle'!A59,'Condizioni comm.li'!$A$5:$B$29,2,0),"")</f>
        <v>#N/A</v>
      </c>
    </row>
    <row r="60" spans="1:2" hidden="1">
      <c r="A60" s="616">
        <v>24</v>
      </c>
      <c r="B60" s="617" t="e">
        <f>IF(VLOOKUP('wkg tabelle'!A60,'Condizioni comm.li'!$A$5:$B$29,2,0)&lt;&gt;"",VLOOKUP('wkg tabelle'!A60,'Condizioni comm.li'!$A$5:$B$29,2,0),"")</f>
        <v>#N/A</v>
      </c>
    </row>
    <row r="61" spans="1:2" hidden="1">
      <c r="A61" s="616">
        <v>25</v>
      </c>
      <c r="B61" s="617" t="e">
        <f>IF(VLOOKUP('wkg tabelle'!A61,'Condizioni comm.li'!$A$5:$B$29,2,0)&lt;&gt;"",VLOOKUP('wkg tabelle'!A61,'Condizioni comm.li'!$A$5:$B$29,2,0),"")</f>
        <v>#N/A</v>
      </c>
    </row>
    <row r="62" spans="1:2" hidden="1">
      <c r="A62" s="616">
        <v>26</v>
      </c>
      <c r="B62" s="617" t="e">
        <f>IF(VLOOKUP('wkg tabelle'!A62,'Condizioni comm.li'!$A$5:$B$29,2,0)&lt;&gt;"",VLOOKUP('wkg tabelle'!A62,'Condizioni comm.li'!$A$5:$B$29,2,0),"")</f>
        <v>#N/A</v>
      </c>
    </row>
    <row r="63" spans="1:2" ht="13.5" hidden="1" thickBot="1">
      <c r="A63" s="618">
        <v>27</v>
      </c>
      <c r="B63" s="619" t="e">
        <f>IF(VLOOKUP('wkg tabelle'!A63,'Condizioni comm.li'!$A$5:$B$29,2,0)&lt;&gt;"",VLOOKUP('wkg tabelle'!A63,'Condizioni comm.li'!$A$5:$B$29,2,0),"")</f>
        <v>#N/A</v>
      </c>
    </row>
    <row r="64" spans="1:2" ht="13.5" hidden="1" thickTop="1"/>
  </sheetData>
  <sheetProtection algorithmName="SHA-512" hashValue="6fqWXaFa43TDnoJ+yTpa70MbVzKtOwZ52miaY3Yi5ComPFBL5x4uquWji7JjlntT1hKrHX2G50+35j6fs/5HLQ==" saltValue="2O+dlLAO5wXU2lOgLuCkyg==" spinCount="100000" sheet="1" objects="1" scenarios="1"/>
  <dataValidations count="2">
    <dataValidation type="list" allowBlank="1" showInputMessage="1" showErrorMessage="1" sqref="C11:C18">
      <formula1>AUTO_NUOVA_E_ENTRO_12_MESI</formula1>
    </dataValidation>
    <dataValidation type="list" allowBlank="1" showInputMessage="1" showErrorMessage="1" sqref="A11 D3:D4 E3 G3">
      <formula1>PRODOTTO</formula1>
    </dataValidation>
  </dataValidations>
  <pageMargins left="0.7" right="0.7" top="0.75" bottom="0.75" header="0.3" footer="0.3"/>
  <pageSetup paperSize="9" orientation="portrait" r:id="rId1"/>
  <headerFooter>
    <oddFooter>&amp;C&amp;1#&amp;"Calibri"&amp;10&amp;K000000 For internal use only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pageSetUpPr fitToPage="1"/>
  </sheetPr>
  <dimension ref="A1:F153"/>
  <sheetViews>
    <sheetView zoomScaleNormal="100" workbookViewId="0">
      <selection sqref="A1:XFD1048576"/>
    </sheetView>
  </sheetViews>
  <sheetFormatPr defaultColWidth="8.85546875" defaultRowHeight="12.75"/>
  <cols>
    <col min="1" max="6" width="16.28515625" style="79" customWidth="1"/>
    <col min="7" max="16384" width="8.85546875" style="79"/>
  </cols>
  <sheetData>
    <row r="1" spans="1:6" ht="7.15" customHeight="1" thickBot="1"/>
    <row r="2" spans="1:6" ht="15" customHeight="1" thickTop="1">
      <c r="A2" s="753" t="s">
        <v>268</v>
      </c>
      <c r="B2" s="754"/>
      <c r="C2" s="754"/>
      <c r="D2" s="754"/>
      <c r="E2" s="754"/>
      <c r="F2" s="755"/>
    </row>
    <row r="3" spans="1:6" ht="15" customHeight="1" thickBot="1">
      <c r="A3" s="756"/>
      <c r="B3" s="757"/>
      <c r="C3" s="757"/>
      <c r="D3" s="757"/>
      <c r="E3" s="757"/>
      <c r="F3" s="758"/>
    </row>
    <row r="4" spans="1:6" ht="14.45" customHeight="1" thickTop="1">
      <c r="A4" s="759" t="s">
        <v>275</v>
      </c>
      <c r="B4" s="759"/>
      <c r="C4" s="759"/>
      <c r="D4" s="759"/>
      <c r="E4" s="759"/>
      <c r="F4" s="759"/>
    </row>
    <row r="5" spans="1:6" ht="13.5" thickBot="1"/>
    <row r="6" spans="1:6" s="84" customFormat="1" ht="26.25" thickBot="1">
      <c r="A6" s="80" t="s">
        <v>269</v>
      </c>
      <c r="B6" s="81" t="s">
        <v>274</v>
      </c>
      <c r="C6" s="82" t="s">
        <v>270</v>
      </c>
      <c r="D6" s="82" t="s">
        <v>271</v>
      </c>
      <c r="E6" s="82" t="s">
        <v>272</v>
      </c>
      <c r="F6" s="83" t="s">
        <v>273</v>
      </c>
    </row>
    <row r="7" spans="1:6" ht="14.25">
      <c r="A7" s="85">
        <f>IF('sviluppo p. amm.to'!A6&gt;calcoli!$C$11,"",'sviluppo p. amm.to'!A6)</f>
        <v>1</v>
      </c>
      <c r="B7" s="86">
        <f>IF($A7="","",VLOOKUP($A7,'sviluppo p. amm.to'!$B$6:$R$152,3,0))</f>
        <v>119</v>
      </c>
      <c r="C7" s="86">
        <f>IF($A7="","",calcoli!$C$37)</f>
        <v>0</v>
      </c>
      <c r="D7" s="86">
        <f>IF($A7="","",VLOOKUP($A7,'sviluppo p. amm.to'!$B$6:$R$152,5,0))</f>
        <v>96.490912017269977</v>
      </c>
      <c r="E7" s="86">
        <f>IF($A7="","",VLOOKUP($A7,'sviluppo p. amm.to'!$B$6:$R$152,7,0))</f>
        <v>22.509087982730037</v>
      </c>
      <c r="F7" s="87">
        <f>IF($A7="","",VLOOKUP($A7,'sviluppo p. amm.to'!$B$6:$R$152,9,0))</f>
        <v>3753.5090879827299</v>
      </c>
    </row>
    <row r="8" spans="1:6" ht="14.25">
      <c r="A8" s="85">
        <f>IF('sviluppo p. amm.to'!A7&gt;calcoli!$C$11,"",'sviluppo p. amm.to'!A7)</f>
        <v>2</v>
      </c>
      <c r="B8" s="86">
        <f>IF($A8="","",VLOOKUP($A8,'sviluppo p. amm.to'!$B$6:$R$152,3,0))</f>
        <v>119</v>
      </c>
      <c r="C8" s="86">
        <f>IF($A8="","",calcoli!$C$37)</f>
        <v>0</v>
      </c>
      <c r="D8" s="86">
        <f>IF($A8="","",VLOOKUP($A8,'sviluppo p. amm.to'!$B$6:$R$152,5,0))</f>
        <v>97.049755216036658</v>
      </c>
      <c r="E8" s="86">
        <f>IF($A8="","",VLOOKUP($A8,'sviluppo p. amm.to'!$B$6:$R$152,7,0))</f>
        <v>21.950244783963328</v>
      </c>
      <c r="F8" s="87">
        <f>IF($A8="","",VLOOKUP($A8,'sviluppo p. amm.to'!$B$6:$R$152,9,0))</f>
        <v>3656.459332766693</v>
      </c>
    </row>
    <row r="9" spans="1:6" ht="14.25">
      <c r="A9" s="85">
        <f>IF('sviluppo p. amm.to'!A8&gt;calcoli!$C$11,"",'sviluppo p. amm.to'!A8)</f>
        <v>3</v>
      </c>
      <c r="B9" s="86">
        <f>IF($A9="","",VLOOKUP($A9,'sviluppo p. amm.to'!$B$6:$R$152,3,0))</f>
        <v>119</v>
      </c>
      <c r="C9" s="86">
        <f>IF($A9="","",calcoli!$C$37)</f>
        <v>0</v>
      </c>
      <c r="D9" s="86">
        <f>IF($A9="","",VLOOKUP($A9,'sviluppo p. amm.to'!$B$6:$R$152,5,0))</f>
        <v>97.611835048329539</v>
      </c>
      <c r="E9" s="86">
        <f>IF($A9="","",VLOOKUP($A9,'sviluppo p. amm.to'!$B$6:$R$152,7,0))</f>
        <v>21.388164951670447</v>
      </c>
      <c r="F9" s="87">
        <f>IF($A9="","",VLOOKUP($A9,'sviluppo p. amm.to'!$B$6:$R$152,9,0))</f>
        <v>3558.8474977183637</v>
      </c>
    </row>
    <row r="10" spans="1:6" ht="14.25">
      <c r="A10" s="85">
        <f>IF('sviluppo p. amm.to'!A9&gt;calcoli!$C$11,"",'sviluppo p. amm.to'!A9)</f>
        <v>4</v>
      </c>
      <c r="B10" s="86">
        <f>IF($A10="","",VLOOKUP($A10,'sviluppo p. amm.to'!$B$6:$R$152,3,0))</f>
        <v>119</v>
      </c>
      <c r="C10" s="86">
        <f>IF($A10="","",calcoli!$C$37)</f>
        <v>0</v>
      </c>
      <c r="D10" s="86">
        <f>IF($A10="","",VLOOKUP($A10,'sviluppo p. amm.to'!$B$6:$R$152,5,0))</f>
        <v>98.17717025965112</v>
      </c>
      <c r="E10" s="86">
        <f>IF($A10="","",VLOOKUP($A10,'sviluppo p. amm.to'!$B$6:$R$152,7,0))</f>
        <v>20.822829740348894</v>
      </c>
      <c r="F10" s="87">
        <f>IF($A10="","",VLOOKUP($A10,'sviluppo p. amm.to'!$B$6:$R$152,9,0))</f>
        <v>3460.6703274587126</v>
      </c>
    </row>
    <row r="11" spans="1:6" ht="14.25">
      <c r="A11" s="85">
        <f>IF('sviluppo p. amm.to'!A10&gt;calcoli!$C$11,"",'sviluppo p. amm.to'!A10)</f>
        <v>5</v>
      </c>
      <c r="B11" s="86">
        <f>IF($A11="","",VLOOKUP($A11,'sviluppo p. amm.to'!$B$6:$R$152,3,0))</f>
        <v>119</v>
      </c>
      <c r="C11" s="86">
        <f>IF($A11="","",calcoli!$C$37)</f>
        <v>0</v>
      </c>
      <c r="D11" s="86">
        <f>IF($A11="","",VLOOKUP($A11,'sviluppo p. amm.to'!$B$6:$R$152,5,0))</f>
        <v>98.745779704071595</v>
      </c>
      <c r="E11" s="86">
        <f>IF($A11="","",VLOOKUP($A11,'sviluppo p. amm.to'!$B$6:$R$152,7,0))</f>
        <v>20.254220295928391</v>
      </c>
      <c r="F11" s="87">
        <f>IF($A11="","",VLOOKUP($A11,'sviluppo p. amm.to'!$B$6:$R$152,9,0))</f>
        <v>3361.924547754641</v>
      </c>
    </row>
    <row r="12" spans="1:6" ht="14.25">
      <c r="A12" s="85">
        <f>IF('sviluppo p. amm.to'!A11&gt;calcoli!$C$11,"",'sviluppo p. amm.to'!A11)</f>
        <v>6</v>
      </c>
      <c r="B12" s="86">
        <f>IF($A12="","",VLOOKUP($A12,'sviluppo p. amm.to'!$B$6:$R$152,3,0))</f>
        <v>119</v>
      </c>
      <c r="C12" s="86">
        <f>IF($A12="","",calcoli!$C$37)</f>
        <v>0</v>
      </c>
      <c r="D12" s="86">
        <f>IF($A12="","",VLOOKUP($A12,'sviluppo p. amm.to'!$B$6:$R$152,5,0))</f>
        <v>99.317682344857673</v>
      </c>
      <c r="E12" s="86">
        <f>IF($A12="","",VLOOKUP($A12,'sviluppo p. amm.to'!$B$6:$R$152,7,0))</f>
        <v>19.682317655142313</v>
      </c>
      <c r="F12" s="87">
        <f>IF($A12="","",VLOOKUP($A12,'sviluppo p. amm.to'!$B$6:$R$152,9,0))</f>
        <v>3262.6068654097835</v>
      </c>
    </row>
    <row r="13" spans="1:6" ht="14.25">
      <c r="A13" s="85">
        <f>IF('sviluppo p. amm.to'!A12&gt;calcoli!$C$11,"",'sviluppo p. amm.to'!A12)</f>
        <v>7</v>
      </c>
      <c r="B13" s="86">
        <f>IF($A13="","",VLOOKUP($A13,'sviluppo p. amm.to'!$B$6:$R$152,3,0))</f>
        <v>119</v>
      </c>
      <c r="C13" s="86">
        <f>IF($A13="","",calcoli!$C$37)</f>
        <v>0</v>
      </c>
      <c r="D13" s="86">
        <f>IF($A13="","",VLOOKUP($A13,'sviluppo p. amm.to'!$B$6:$R$152,5,0))</f>
        <v>99.892897255104984</v>
      </c>
      <c r="E13" s="86">
        <f>IF($A13="","",VLOOKUP($A13,'sviluppo p. amm.to'!$B$6:$R$152,7,0))</f>
        <v>19.107102744895016</v>
      </c>
      <c r="F13" s="87">
        <f>IF($A13="","",VLOOKUP($A13,'sviluppo p. amm.to'!$B$6:$R$152,9,0))</f>
        <v>3162.7139681546787</v>
      </c>
    </row>
    <row r="14" spans="1:6" ht="14.25">
      <c r="A14" s="85">
        <f>IF('sviluppo p. amm.to'!A13&gt;calcoli!$C$11,"",'sviluppo p. amm.to'!A13)</f>
        <v>8</v>
      </c>
      <c r="B14" s="86">
        <f>IF($A14="","",VLOOKUP($A14,'sviluppo p. amm.to'!$B$6:$R$152,3,0))</f>
        <v>119</v>
      </c>
      <c r="C14" s="86">
        <f>IF($A14="","",calcoli!$C$37)</f>
        <v>0</v>
      </c>
      <c r="D14" s="86">
        <f>IF($A14="","",VLOOKUP($A14,'sviluppo p. amm.to'!$B$6:$R$152,5,0))</f>
        <v>100.47144361837412</v>
      </c>
      <c r="E14" s="86">
        <f>IF($A14="","",VLOOKUP($A14,'sviluppo p. amm.to'!$B$6:$R$152,7,0))</f>
        <v>18.528556381625876</v>
      </c>
      <c r="F14" s="87">
        <f>IF($A14="","",VLOOKUP($A14,'sviluppo p. amm.to'!$B$6:$R$152,9,0))</f>
        <v>3062.2425245363047</v>
      </c>
    </row>
    <row r="15" spans="1:6" ht="14.25">
      <c r="A15" s="85">
        <f>IF('sviluppo p. amm.to'!A14&gt;calcoli!$C$11,"",'sviluppo p. amm.to'!A14)</f>
        <v>9</v>
      </c>
      <c r="B15" s="86">
        <f>IF($A15="","",VLOOKUP($A15,'sviluppo p. amm.to'!$B$6:$R$152,3,0))</f>
        <v>119</v>
      </c>
      <c r="C15" s="86">
        <f>IF($A15="","",calcoli!$C$37)</f>
        <v>0</v>
      </c>
      <c r="D15" s="86">
        <f>IF($A15="","",VLOOKUP($A15,'sviluppo p. amm.to'!$B$6:$R$152,5,0))</f>
        <v>101.05334072933054</v>
      </c>
      <c r="E15" s="86">
        <f>IF($A15="","",VLOOKUP($A15,'sviluppo p. amm.to'!$B$6:$R$152,7,0))</f>
        <v>17.946659270669457</v>
      </c>
      <c r="F15" s="87">
        <f>IF($A15="","",VLOOKUP($A15,'sviluppo p. amm.to'!$B$6:$R$152,9,0))</f>
        <v>2961.1891838069741</v>
      </c>
    </row>
    <row r="16" spans="1:6" ht="14.25">
      <c r="A16" s="85">
        <f>IF('sviluppo p. amm.to'!A15&gt;calcoli!$C$11,"",'sviluppo p. amm.to'!A15)</f>
        <v>10</v>
      </c>
      <c r="B16" s="86">
        <f>IF($A16="","",VLOOKUP($A16,'sviluppo p. amm.to'!$B$6:$R$152,3,0))</f>
        <v>119</v>
      </c>
      <c r="C16" s="86">
        <f>IF($A16="","",calcoli!$C$37)</f>
        <v>0</v>
      </c>
      <c r="D16" s="86">
        <f>IF($A16="","",VLOOKUP($A16,'sviluppo p. amm.to'!$B$6:$R$152,5,0))</f>
        <v>101.63860799438791</v>
      </c>
      <c r="E16" s="86">
        <f>IF($A16="","",VLOOKUP($A16,'sviluppo p. amm.to'!$B$6:$R$152,7,0))</f>
        <v>17.361392005612075</v>
      </c>
      <c r="F16" s="87">
        <f>IF($A16="","",VLOOKUP($A16,'sviluppo p. amm.to'!$B$6:$R$152,9,0))</f>
        <v>2859.5505758125864</v>
      </c>
    </row>
    <row r="17" spans="1:6" ht="14.25">
      <c r="A17" s="85">
        <f>IF('sviluppo p. amm.to'!A16&gt;calcoli!$C$11,"",'sviluppo p. amm.to'!A16)</f>
        <v>11</v>
      </c>
      <c r="B17" s="86">
        <f>IF($A17="","",VLOOKUP($A17,'sviluppo p. amm.to'!$B$6:$R$152,3,0))</f>
        <v>119</v>
      </c>
      <c r="C17" s="86">
        <f>IF($A17="","",calcoli!$C$37)</f>
        <v>0</v>
      </c>
      <c r="D17" s="86">
        <f>IF($A17="","",VLOOKUP($A17,'sviluppo p. amm.to'!$B$6:$R$152,5,0))</f>
        <v>102.22726493235541</v>
      </c>
      <c r="E17" s="86">
        <f>IF($A17="","",VLOOKUP($A17,'sviluppo p. amm.to'!$B$6:$R$152,7,0))</f>
        <v>16.772735067644575</v>
      </c>
      <c r="F17" s="87">
        <f>IF($A17="","",VLOOKUP($A17,'sviluppo p. amm.to'!$B$6:$R$152,9,0))</f>
        <v>2757.323310880231</v>
      </c>
    </row>
    <row r="18" spans="1:6" ht="14.25">
      <c r="A18" s="85">
        <f>IF('sviluppo p. amm.to'!A17&gt;calcoli!$C$11,"",'sviluppo p. amm.to'!A17)</f>
        <v>12</v>
      </c>
      <c r="B18" s="86">
        <f>IF($A18="","",VLOOKUP($A18,'sviluppo p. amm.to'!$B$6:$R$152,3,0))</f>
        <v>119</v>
      </c>
      <c r="C18" s="86">
        <f>IF($A18="","",calcoli!$C$37)</f>
        <v>0</v>
      </c>
      <c r="D18" s="86">
        <f>IF($A18="","",VLOOKUP($A18,'sviluppo p. amm.to'!$B$6:$R$152,5,0))</f>
        <v>102.81933117508864</v>
      </c>
      <c r="E18" s="86">
        <f>IF($A18="","",VLOOKUP($A18,'sviluppo p. amm.to'!$B$6:$R$152,7,0))</f>
        <v>16.180668824911365</v>
      </c>
      <c r="F18" s="87">
        <f>IF($A18="","",VLOOKUP($A18,'sviluppo p. amm.to'!$B$6:$R$152,9,0))</f>
        <v>2654.5039797051422</v>
      </c>
    </row>
    <row r="19" spans="1:6" ht="14.25">
      <c r="A19" s="85">
        <f>IF('sviluppo p. amm.to'!A18&gt;calcoli!$C$11,"",'sviluppo p. amm.to'!A18)</f>
        <v>13</v>
      </c>
      <c r="B19" s="86">
        <f>IF($A19="","",VLOOKUP($A19,'sviluppo p. amm.to'!$B$6:$R$152,3,0))</f>
        <v>119</v>
      </c>
      <c r="C19" s="86">
        <f>IF($A19="","",calcoli!$C$37)</f>
        <v>0</v>
      </c>
      <c r="D19" s="86">
        <f>IF($A19="","",VLOOKUP($A19,'sviluppo p. amm.to'!$B$6:$R$152,5,0))</f>
        <v>103.41482646814435</v>
      </c>
      <c r="E19" s="86">
        <f>IF($A19="","",VLOOKUP($A19,'sviluppo p. amm.to'!$B$6:$R$152,7,0))</f>
        <v>15.585173531855631</v>
      </c>
      <c r="F19" s="87">
        <f>IF($A19="","",VLOOKUP($A19,'sviluppo p. amm.to'!$B$6:$R$152,9,0))</f>
        <v>2551.0891532369978</v>
      </c>
    </row>
    <row r="20" spans="1:6" ht="14.25">
      <c r="A20" s="85">
        <f>IF('sviluppo p. amm.to'!A19&gt;calcoli!$C$11,"",'sviluppo p. amm.to'!A19)</f>
        <v>14</v>
      </c>
      <c r="B20" s="86">
        <f>IF($A20="","",VLOOKUP($A20,'sviluppo p. amm.to'!$B$6:$R$152,3,0))</f>
        <v>119</v>
      </c>
      <c r="C20" s="86">
        <f>IF($A20="","",calcoli!$C$37)</f>
        <v>0</v>
      </c>
      <c r="D20" s="86">
        <f>IF($A20="","",VLOOKUP($A20,'sviluppo p. amm.to'!$B$6:$R$152,5,0))</f>
        <v>104.01377067143903</v>
      </c>
      <c r="E20" s="86">
        <f>IF($A20="","",VLOOKUP($A20,'sviluppo p. amm.to'!$B$6:$R$152,7,0))</f>
        <v>14.986229328560981</v>
      </c>
      <c r="F20" s="87">
        <f>IF($A20="","",VLOOKUP($A20,'sviluppo p. amm.to'!$B$6:$R$152,9,0))</f>
        <v>2447.0753825655588</v>
      </c>
    </row>
    <row r="21" spans="1:6" ht="14.25">
      <c r="A21" s="85">
        <f>IF('sviluppo p. amm.to'!A20&gt;calcoli!$C$11,"",'sviluppo p. amm.to'!A20)</f>
        <v>15</v>
      </c>
      <c r="B21" s="86">
        <f>IF($A21="","",VLOOKUP($A21,'sviluppo p. amm.to'!$B$6:$R$152,3,0))</f>
        <v>119</v>
      </c>
      <c r="C21" s="86">
        <f>IF($A21="","",calcoli!$C$37)</f>
        <v>0</v>
      </c>
      <c r="D21" s="86">
        <f>IF($A21="","",VLOOKUP($A21,'sviluppo p. amm.to'!$B$6:$R$152,5,0))</f>
        <v>104.61618375991111</v>
      </c>
      <c r="E21" s="86">
        <f>IF($A21="","",VLOOKUP($A21,'sviluppo p. amm.to'!$B$6:$R$152,7,0))</f>
        <v>14.383816240088876</v>
      </c>
      <c r="F21" s="87">
        <f>IF($A21="","",VLOOKUP($A21,'sviluppo p. amm.to'!$B$6:$R$152,9,0))</f>
        <v>2342.4591988056477</v>
      </c>
    </row>
    <row r="22" spans="1:6" ht="14.25">
      <c r="A22" s="85">
        <f>IF('sviluppo p. amm.to'!A21&gt;calcoli!$C$11,"",'sviluppo p. amm.to'!A21)</f>
        <v>16</v>
      </c>
      <c r="B22" s="86">
        <f>IF($A22="","",VLOOKUP($A22,'sviluppo p. amm.to'!$B$6:$R$152,3,0))</f>
        <v>119</v>
      </c>
      <c r="C22" s="86">
        <f>IF($A22="","",calcoli!$C$37)</f>
        <v>0</v>
      </c>
      <c r="D22" s="86">
        <f>IF($A22="","",VLOOKUP($A22,'sviluppo p. amm.to'!$B$6:$R$152,5,0))</f>
        <v>105.22208582418726</v>
      </c>
      <c r="E22" s="86">
        <f>IF($A22="","",VLOOKUP($A22,'sviluppo p. amm.to'!$B$6:$R$152,7,0))</f>
        <v>13.777914175812739</v>
      </c>
      <c r="F22" s="87">
        <f>IF($A22="","",VLOOKUP($A22,'sviluppo p. amm.to'!$B$6:$R$152,9,0))</f>
        <v>2237.2371129814605</v>
      </c>
    </row>
    <row r="23" spans="1:6" ht="14.25">
      <c r="A23" s="85">
        <f>IF('sviluppo p. amm.to'!A22&gt;calcoli!$C$11,"",'sviluppo p. amm.to'!A22)</f>
        <v>17</v>
      </c>
      <c r="B23" s="86">
        <f>IF($A23="","",VLOOKUP($A23,'sviluppo p. amm.to'!$B$6:$R$152,3,0))</f>
        <v>119</v>
      </c>
      <c r="C23" s="86">
        <f>IF($A23="","",calcoli!$C$37)</f>
        <v>0</v>
      </c>
      <c r="D23" s="86">
        <f>IF($A23="","",VLOOKUP($A23,'sviluppo p. amm.to'!$B$6:$R$152,5,0))</f>
        <v>105.83149707125236</v>
      </c>
      <c r="E23" s="86">
        <f>IF($A23="","",VLOOKUP($A23,'sviluppo p. amm.to'!$B$6:$R$152,7,0))</f>
        <v>13.168502928747657</v>
      </c>
      <c r="F23" s="87">
        <f>IF($A23="","",VLOOKUP($A23,'sviluppo p. amm.to'!$B$6:$R$152,9,0))</f>
        <v>2131.4056159102083</v>
      </c>
    </row>
    <row r="24" spans="1:6" ht="14.25">
      <c r="A24" s="85">
        <f>IF('sviluppo p. amm.to'!A23&gt;calcoli!$C$11,"",'sviluppo p. amm.to'!A23)</f>
        <v>18</v>
      </c>
      <c r="B24" s="86">
        <f>IF($A24="","",VLOOKUP($A24,'sviluppo p. amm.to'!$B$6:$R$152,3,0))</f>
        <v>119</v>
      </c>
      <c r="C24" s="86">
        <f>IF($A24="","",calcoli!$C$37)</f>
        <v>0</v>
      </c>
      <c r="D24" s="86">
        <f>IF($A24="","",VLOOKUP($A24,'sviluppo p. amm.to'!$B$6:$R$152,5,0))</f>
        <v>106.44443782512334</v>
      </c>
      <c r="E24" s="86">
        <f>IF($A24="","",VLOOKUP($A24,'sviluppo p. amm.to'!$B$6:$R$152,7,0))</f>
        <v>12.555562174876641</v>
      </c>
      <c r="F24" s="87">
        <f>IF($A24="","",VLOOKUP($A24,'sviluppo p. amm.to'!$B$6:$R$152,9,0))</f>
        <v>2024.9611780850851</v>
      </c>
    </row>
    <row r="25" spans="1:6" ht="14.25">
      <c r="A25" s="85">
        <f>IF('sviluppo p. amm.to'!A24&gt;calcoli!$C$11,"",'sviluppo p. amm.to'!A24)</f>
        <v>19</v>
      </c>
      <c r="B25" s="86">
        <f>IF($A25="","",VLOOKUP($A25,'sviluppo p. amm.to'!$B$6:$R$152,3,0))</f>
        <v>119</v>
      </c>
      <c r="C25" s="86">
        <f>IF($A25="","",calcoli!$C$37)</f>
        <v>0</v>
      </c>
      <c r="D25" s="86">
        <f>IF($A25="","",VLOOKUP($A25,'sviluppo p. amm.to'!$B$6:$R$152,5,0))</f>
        <v>107.0609285275272</v>
      </c>
      <c r="E25" s="86">
        <f>IF($A25="","",VLOOKUP($A25,'sviluppo p. amm.to'!$B$6:$R$152,7,0))</f>
        <v>11.939071472472804</v>
      </c>
      <c r="F25" s="87">
        <f>IF($A25="","",VLOOKUP($A25,'sviluppo p. amm.to'!$B$6:$R$152,9,0))</f>
        <v>1917.9002495575578</v>
      </c>
    </row>
    <row r="26" spans="1:6" ht="14.25">
      <c r="A26" s="85">
        <f>IF('sviluppo p. amm.to'!A25&gt;calcoli!$C$11,"",'sviluppo p. amm.to'!A25)</f>
        <v>20</v>
      </c>
      <c r="B26" s="86">
        <f>IF($A26="","",VLOOKUP($A26,'sviluppo p. amm.to'!$B$6:$R$152,3,0))</f>
        <v>119</v>
      </c>
      <c r="C26" s="86">
        <f>IF($A26="","",calcoli!$C$37)</f>
        <v>0</v>
      </c>
      <c r="D26" s="86">
        <f>IF($A26="","",VLOOKUP($A26,'sviluppo p. amm.to'!$B$6:$R$152,5,0))</f>
        <v>107.68098973858245</v>
      </c>
      <c r="E26" s="86">
        <f>IF($A26="","",VLOOKUP($A26,'sviluppo p. amm.to'!$B$6:$R$152,7,0))</f>
        <v>11.319010261417546</v>
      </c>
      <c r="F26" s="87">
        <f>IF($A26="","",VLOOKUP($A26,'sviluppo p. amm.to'!$B$6:$R$152,9,0))</f>
        <v>1810.2192598189754</v>
      </c>
    </row>
    <row r="27" spans="1:6" ht="14.25">
      <c r="A27" s="85">
        <f>IF('sviluppo p. amm.to'!A26&gt;calcoli!$C$11,"",'sviluppo p. amm.to'!A26)</f>
        <v>21</v>
      </c>
      <c r="B27" s="86">
        <f>IF($A27="","",VLOOKUP($A27,'sviluppo p. amm.to'!$B$6:$R$152,3,0))</f>
        <v>119</v>
      </c>
      <c r="C27" s="86">
        <f>IF($A27="","",calcoli!$C$37)</f>
        <v>0</v>
      </c>
      <c r="D27" s="86">
        <f>IF($A27="","",VLOOKUP($A27,'sviluppo p. amm.to'!$B$6:$R$152,5,0))</f>
        <v>108.30464213748508</v>
      </c>
      <c r="E27" s="86">
        <f>IF($A27="","",VLOOKUP($A27,'sviluppo p. amm.to'!$B$6:$R$152,7,0))</f>
        <v>10.695357862514911</v>
      </c>
      <c r="F27" s="87">
        <f>IF($A27="","",VLOOKUP($A27,'sviluppo p. amm.to'!$B$6:$R$152,9,0))</f>
        <v>1701.9146176814902</v>
      </c>
    </row>
    <row r="28" spans="1:6" ht="14.25">
      <c r="A28" s="85">
        <f>IF('sviluppo p. amm.to'!A27&gt;calcoli!$C$11,"",'sviluppo p. amm.to'!A27)</f>
        <v>22</v>
      </c>
      <c r="B28" s="86">
        <f>IF($A28="","",VLOOKUP($A28,'sviluppo p. amm.to'!$B$6:$R$152,3,0))</f>
        <v>119</v>
      </c>
      <c r="C28" s="86">
        <f>IF($A28="","",calcoli!$C$37)</f>
        <v>0</v>
      </c>
      <c r="D28" s="86">
        <f>IF($A28="","",VLOOKUP($A28,'sviluppo p. amm.to'!$B$6:$R$152,5,0))</f>
        <v>108.93190652319801</v>
      </c>
      <c r="E28" s="86">
        <f>IF($A28="","",VLOOKUP($A28,'sviluppo p. amm.to'!$B$6:$R$152,7,0))</f>
        <v>10.068093476801991</v>
      </c>
      <c r="F28" s="87">
        <f>IF($A28="","",VLOOKUP($A28,'sviluppo p. amm.to'!$B$6:$R$152,9,0))</f>
        <v>1592.9827111582922</v>
      </c>
    </row>
    <row r="29" spans="1:6" ht="14.25">
      <c r="A29" s="85">
        <f>IF('sviluppo p. amm.to'!A28&gt;calcoli!$C$11,"",'sviluppo p. amm.to'!A28)</f>
        <v>23</v>
      </c>
      <c r="B29" s="86">
        <f>IF($A29="","",VLOOKUP($A29,'sviluppo p. amm.to'!$B$6:$R$152,3,0))</f>
        <v>119</v>
      </c>
      <c r="C29" s="86">
        <f>IF($A29="","",calcoli!$C$37)</f>
        <v>0</v>
      </c>
      <c r="D29" s="86">
        <f>IF($A29="","",VLOOKUP($A29,'sviluppo p. amm.to'!$B$6:$R$152,5,0))</f>
        <v>109.56280381514486</v>
      </c>
      <c r="E29" s="86">
        <f>IF($A29="","",VLOOKUP($A29,'sviluppo p. amm.to'!$B$6:$R$152,7,0))</f>
        <v>9.4371961848551251</v>
      </c>
      <c r="F29" s="87">
        <f>IF($A29="","",VLOOKUP($A29,'sviluppo p. amm.to'!$B$6:$R$152,9,0))</f>
        <v>1483.4199073431473</v>
      </c>
    </row>
    <row r="30" spans="1:6" ht="14.25">
      <c r="A30" s="85">
        <f>IF('sviluppo p. amm.to'!A29&gt;calcoli!$C$11,"",'sviluppo p. amm.to'!A29)</f>
        <v>24</v>
      </c>
      <c r="B30" s="86">
        <f>IF($A30="","",VLOOKUP($A30,'sviluppo p. amm.to'!$B$6:$R$152,3,0))</f>
        <v>119</v>
      </c>
      <c r="C30" s="86">
        <f>IF($A30="","",calcoli!$C$37)</f>
        <v>0</v>
      </c>
      <c r="D30" s="86">
        <f>IF($A30="","",VLOOKUP($A30,'sviluppo p. amm.to'!$B$6:$R$152,5,0))</f>
        <v>110.19735505390759</v>
      </c>
      <c r="E30" s="86">
        <f>IF($A30="","",VLOOKUP($A30,'sviluppo p. amm.to'!$B$6:$R$152,7,0))</f>
        <v>8.8026449460924141</v>
      </c>
      <c r="F30" s="87">
        <f>IF($A30="","",VLOOKUP($A30,'sviluppo p. amm.to'!$B$6:$R$152,9,0))</f>
        <v>1373.2225522892397</v>
      </c>
    </row>
    <row r="31" spans="1:6" ht="14.25">
      <c r="A31" s="85">
        <f>IF('sviluppo p. amm.to'!A30&gt;calcoli!$C$11,"",'sviluppo p. amm.to'!A30)</f>
        <v>25</v>
      </c>
      <c r="B31" s="86">
        <f>IF($A31="","",VLOOKUP($A31,'sviluppo p. amm.to'!$B$6:$R$152,3,0))</f>
        <v>119</v>
      </c>
      <c r="C31" s="86">
        <f>IF($A31="","",calcoli!$C$37)</f>
        <v>0</v>
      </c>
      <c r="D31" s="86">
        <f>IF($A31="","",VLOOKUP($A31,'sviluppo p. amm.to'!$B$6:$R$152,5,0))</f>
        <v>110.83558140192812</v>
      </c>
      <c r="E31" s="86">
        <f>IF($A31="","",VLOOKUP($A31,'sviluppo p. amm.to'!$B$6:$R$152,7,0))</f>
        <v>8.164418598071876</v>
      </c>
      <c r="F31" s="87">
        <f>IF($A31="","",VLOOKUP($A31,'sviluppo p. amm.to'!$B$6:$R$152,9,0))</f>
        <v>1262.3869708873117</v>
      </c>
    </row>
    <row r="32" spans="1:6" ht="14.25">
      <c r="A32" s="85">
        <f>IF('sviluppo p. amm.to'!A31&gt;calcoli!$C$11,"",'sviluppo p. amm.to'!A31)</f>
        <v>26</v>
      </c>
      <c r="B32" s="86">
        <f>IF($A32="","",VLOOKUP($A32,'sviluppo p. amm.to'!$B$6:$R$152,3,0))</f>
        <v>119</v>
      </c>
      <c r="C32" s="86">
        <f>IF($A32="","",calcoli!$C$37)</f>
        <v>0</v>
      </c>
      <c r="D32" s="86">
        <f>IF($A32="","",VLOOKUP($A32,'sviluppo p. amm.to'!$B$6:$R$152,5,0))</f>
        <v>111.47750414421429</v>
      </c>
      <c r="E32" s="86">
        <f>IF($A32="","",VLOOKUP($A32,'sviluppo p. amm.to'!$B$6:$R$152,7,0))</f>
        <v>7.5224958557857065</v>
      </c>
      <c r="F32" s="87">
        <f>IF($A32="","",VLOOKUP($A32,'sviluppo p. amm.to'!$B$6:$R$152,9,0))</f>
        <v>1150.9094667430975</v>
      </c>
    </row>
    <row r="33" spans="1:6" ht="14.25">
      <c r="A33" s="85">
        <f>IF('sviluppo p. amm.to'!A32&gt;calcoli!$C$11,"",'sviluppo p. amm.to'!A32)</f>
        <v>27</v>
      </c>
      <c r="B33" s="86">
        <f>IF($A33="","",VLOOKUP($A33,'sviluppo p. amm.to'!$B$6:$R$152,3,0))</f>
        <v>119</v>
      </c>
      <c r="C33" s="86">
        <f>IF($A33="","",calcoli!$C$37)</f>
        <v>0</v>
      </c>
      <c r="D33" s="86">
        <f>IF($A33="","",VLOOKUP($A33,'sviluppo p. amm.to'!$B$6:$R$152,5,0))</f>
        <v>112.12314468904954</v>
      </c>
      <c r="E33" s="86">
        <f>IF($A33="","",VLOOKUP($A33,'sviluppo p. amm.to'!$B$6:$R$152,7,0))</f>
        <v>6.8768553109504609</v>
      </c>
      <c r="F33" s="87">
        <f>IF($A33="","",VLOOKUP($A33,'sviluppo p. amm.to'!$B$6:$R$152,9,0))</f>
        <v>1038.786322054048</v>
      </c>
    </row>
    <row r="34" spans="1:6" ht="14.25">
      <c r="A34" s="85">
        <f>IF('sviluppo p. amm.to'!A33&gt;calcoli!$C$11,"",'sviluppo p. amm.to'!A33)</f>
        <v>28</v>
      </c>
      <c r="B34" s="86">
        <f>IF($A34="","",VLOOKUP($A34,'sviluppo p. amm.to'!$B$6:$R$152,3,0))</f>
        <v>119</v>
      </c>
      <c r="C34" s="86">
        <f>IF($A34="","",calcoli!$C$37)</f>
        <v>0</v>
      </c>
      <c r="D34" s="86">
        <f>IF($A34="","",VLOOKUP($A34,'sviluppo p. amm.to'!$B$6:$R$152,5,0))</f>
        <v>112.77252456870694</v>
      </c>
      <c r="E34" s="86">
        <f>IF($A34="","",VLOOKUP($A34,'sviluppo p. amm.to'!$B$6:$R$152,7,0))</f>
        <v>6.2274754312930583</v>
      </c>
      <c r="F34" s="87">
        <f>IF($A34="","",VLOOKUP($A34,'sviluppo p. amm.to'!$B$6:$R$152,9,0))</f>
        <v>926.01379748534112</v>
      </c>
    </row>
    <row r="35" spans="1:6" ht="14.25">
      <c r="A35" s="85">
        <f>IF('sviluppo p. amm.to'!A34&gt;calcoli!$C$11,"",'sviluppo p. amm.to'!A34)</f>
        <v>29</v>
      </c>
      <c r="B35" s="86">
        <f>IF($A35="","",VLOOKUP($A35,'sviluppo p. amm.to'!$B$6:$R$152,3,0))</f>
        <v>119</v>
      </c>
      <c r="C35" s="86">
        <f>IF($A35="","",calcoli!$C$37)</f>
        <v>0</v>
      </c>
      <c r="D35" s="86">
        <f>IF($A35="","",VLOOKUP($A35,'sviluppo p. amm.to'!$B$6:$R$152,5,0))</f>
        <v>113.42566544016738</v>
      </c>
      <c r="E35" s="86">
        <f>IF($A35="","",VLOOKUP($A35,'sviluppo p. amm.to'!$B$6:$R$152,7,0))</f>
        <v>5.5743345598326215</v>
      </c>
      <c r="F35" s="87">
        <f>IF($A35="","",VLOOKUP($A35,'sviluppo p. amm.to'!$B$6:$R$152,9,0))</f>
        <v>812.58813204517378</v>
      </c>
    </row>
    <row r="36" spans="1:6" ht="14.25">
      <c r="A36" s="85">
        <f>IF('sviluppo p. amm.to'!A35&gt;calcoli!$C$11,"",'sviluppo p. amm.to'!A35)</f>
        <v>30</v>
      </c>
      <c r="B36" s="86">
        <f>IF($A36="","",VLOOKUP($A36,'sviluppo p. amm.to'!$B$6:$R$152,3,0))</f>
        <v>119</v>
      </c>
      <c r="C36" s="86">
        <f>IF($A36="","",calcoli!$C$37)</f>
        <v>0</v>
      </c>
      <c r="D36" s="86">
        <f>IF($A36="","",VLOOKUP($A36,'sviluppo p. amm.to'!$B$6:$R$152,5,0))</f>
        <v>114.08258908584168</v>
      </c>
      <c r="E36" s="86">
        <f>IF($A36="","",VLOOKUP($A36,'sviluppo p. amm.to'!$B$6:$R$152,7,0))</f>
        <v>4.9174109141583244</v>
      </c>
      <c r="F36" s="87">
        <f>IF($A36="","",VLOOKUP($A36,'sviluppo p. amm.to'!$B$6:$R$152,9,0))</f>
        <v>698.50554295933216</v>
      </c>
    </row>
    <row r="37" spans="1:6" ht="14.25">
      <c r="A37" s="85">
        <f>IF('sviluppo p. amm.to'!A36&gt;calcoli!$C$11,"",'sviluppo p. amm.to'!A36)</f>
        <v>31</v>
      </c>
      <c r="B37" s="86">
        <f>IF($A37="","",VLOOKUP($A37,'sviluppo p. amm.to'!$B$6:$R$152,3,0))</f>
        <v>119</v>
      </c>
      <c r="C37" s="86">
        <f>IF($A37="","",calcoli!$C$37)</f>
        <v>0</v>
      </c>
      <c r="D37" s="86">
        <f>IF($A37="","",VLOOKUP($A37,'sviluppo p. amm.to'!$B$6:$R$152,5,0))</f>
        <v>114.74331741429718</v>
      </c>
      <c r="E37" s="86">
        <f>IF($A37="","",VLOOKUP($A37,'sviluppo p. amm.to'!$B$6:$R$152,7,0))</f>
        <v>4.2566825857028192</v>
      </c>
      <c r="F37" s="87">
        <f>IF($A37="","",VLOOKUP($A37,'sviluppo p. amm.to'!$B$6:$R$152,9,0))</f>
        <v>583.76222554503499</v>
      </c>
    </row>
    <row r="38" spans="1:6" ht="14.25">
      <c r="A38" s="85">
        <f>IF('sviluppo p. amm.to'!A37&gt;calcoli!$C$11,"",'sviluppo p. amm.to'!A37)</f>
        <v>32</v>
      </c>
      <c r="B38" s="86">
        <f>IF($A38="","",VLOOKUP($A38,'sviluppo p. amm.to'!$B$6:$R$152,3,0))</f>
        <v>119</v>
      </c>
      <c r="C38" s="86">
        <f>IF($A38="","",calcoli!$C$37)</f>
        <v>0</v>
      </c>
      <c r="D38" s="86">
        <f>IF($A38="","",VLOOKUP($A38,'sviluppo p. amm.to'!$B$6:$R$152,5,0))</f>
        <v>115.40787246098832</v>
      </c>
      <c r="E38" s="86">
        <f>IF($A38="","",VLOOKUP($A38,'sviluppo p. amm.to'!$B$6:$R$152,7,0))</f>
        <v>3.5921275390116847</v>
      </c>
      <c r="F38" s="87">
        <f>IF($A38="","",VLOOKUP($A38,'sviluppo p. amm.to'!$B$6:$R$152,9,0))</f>
        <v>468.35435308404669</v>
      </c>
    </row>
    <row r="39" spans="1:6" ht="14.25">
      <c r="A39" s="85">
        <f>IF('sviluppo p. amm.to'!A38&gt;calcoli!$C$11,"",'sviluppo p. amm.to'!A38)</f>
        <v>33</v>
      </c>
      <c r="B39" s="86">
        <f>IF($A39="","",VLOOKUP($A39,'sviluppo p. amm.to'!$B$6:$R$152,3,0))</f>
        <v>119</v>
      </c>
      <c r="C39" s="86">
        <f>IF($A39="","",calcoli!$C$37)</f>
        <v>0</v>
      </c>
      <c r="D39" s="86">
        <f>IF($A39="","",VLOOKUP($A39,'sviluppo p. amm.to'!$B$6:$R$152,5,0))</f>
        <v>116.07627638899154</v>
      </c>
      <c r="E39" s="86">
        <f>IF($A39="","",VLOOKUP($A39,'sviluppo p. amm.to'!$B$6:$R$152,7,0))</f>
        <v>2.9237236110084552</v>
      </c>
      <c r="F39" s="87">
        <f>IF($A39="","",VLOOKUP($A39,'sviluppo p. amm.to'!$B$6:$R$152,9,0))</f>
        <v>352.27807669505512</v>
      </c>
    </row>
    <row r="40" spans="1:6" ht="14.25">
      <c r="A40" s="85">
        <f>IF('sviluppo p. amm.to'!A39&gt;calcoli!$C$11,"",'sviluppo p. amm.to'!A39)</f>
        <v>34</v>
      </c>
      <c r="B40" s="86">
        <f>IF($A40="","",VLOOKUP($A40,'sviluppo p. amm.to'!$B$6:$R$152,3,0))</f>
        <v>119</v>
      </c>
      <c r="C40" s="86">
        <f>IF($A40="","",calcoli!$C$37)</f>
        <v>0</v>
      </c>
      <c r="D40" s="86">
        <f>IF($A40="","",VLOOKUP($A40,'sviluppo p. amm.to'!$B$6:$R$152,5,0))</f>
        <v>116.74855148974444</v>
      </c>
      <c r="E40" s="86">
        <f>IF($A40="","",VLOOKUP($A40,'sviluppo p. amm.to'!$B$6:$R$152,7,0))</f>
        <v>2.2514485102555568</v>
      </c>
      <c r="F40" s="87">
        <f>IF($A40="","",VLOOKUP($A40,'sviluppo p. amm.to'!$B$6:$R$152,9,0))</f>
        <v>235.52952520531068</v>
      </c>
    </row>
    <row r="41" spans="1:6" ht="14.25">
      <c r="A41" s="85">
        <f>IF('sviluppo p. amm.to'!A40&gt;calcoli!$C$11,"",'sviluppo p. amm.to'!A40)</f>
        <v>35</v>
      </c>
      <c r="B41" s="86">
        <f>IF($A41="","",VLOOKUP($A41,'sviluppo p. amm.to'!$B$6:$R$152,3,0))</f>
        <v>119</v>
      </c>
      <c r="C41" s="86">
        <f>IF($A41="","",calcoli!$C$37)</f>
        <v>0</v>
      </c>
      <c r="D41" s="86">
        <f>IF($A41="","",VLOOKUP($A41,'sviluppo p. amm.to'!$B$6:$R$152,5,0))</f>
        <v>117.42472018378922</v>
      </c>
      <c r="E41" s="86">
        <f>IF($A41="","",VLOOKUP($A41,'sviluppo p. amm.to'!$B$6:$R$152,7,0))</f>
        <v>1.5752798162107808</v>
      </c>
      <c r="F41" s="87">
        <f>IF($A41="","",VLOOKUP($A41,'sviluppo p. amm.to'!$B$6:$R$152,9,0))</f>
        <v>118.10480502152146</v>
      </c>
    </row>
    <row r="42" spans="1:6" ht="14.25">
      <c r="A42" s="85">
        <f>IF('sviluppo p. amm.to'!A41&gt;calcoli!$C$11,"",'sviluppo p. amm.to'!A41)</f>
        <v>36</v>
      </c>
      <c r="B42" s="86">
        <f>IF($A42="","",VLOOKUP($A42,'sviluppo p. amm.to'!$B$6:$R$152,3,0))</f>
        <v>119</v>
      </c>
      <c r="C42" s="86">
        <f>IF($A42="","",calcoli!$C$37)</f>
        <v>0</v>
      </c>
      <c r="D42" s="86">
        <f>IF($A42="","",VLOOKUP($A42,'sviluppo p. amm.to'!$B$6:$R$152,5,0))</f>
        <v>118.10480502152033</v>
      </c>
      <c r="E42" s="86">
        <f>IF($A42="","",VLOOKUP($A42,'sviluppo p. amm.to'!$B$6:$R$152,7,0))</f>
        <v>0.89519497847966534</v>
      </c>
      <c r="F42" s="87">
        <f>IF($A42="","",VLOOKUP($A42,'sviluppo p. amm.to'!$B$6:$R$152,9,0))</f>
        <v>1.1226575225009583E-12</v>
      </c>
    </row>
    <row r="43" spans="1:6" ht="14.25">
      <c r="A43" s="85" t="str">
        <f>IF('sviluppo p. amm.to'!A42&gt;calcoli!$C$11,"",'sviluppo p. amm.to'!A42)</f>
        <v/>
      </c>
      <c r="B43" s="86" t="str">
        <f>IF($A43="","",VLOOKUP($A43,'sviluppo p. amm.to'!$B$6:$R$152,3,0))</f>
        <v/>
      </c>
      <c r="C43" s="86" t="str">
        <f>IF($A43="","",calcoli!$C$37)</f>
        <v/>
      </c>
      <c r="D43" s="86" t="str">
        <f>IF($A43="","",VLOOKUP($A43,'sviluppo p. amm.to'!$B$6:$R$152,5,0))</f>
        <v/>
      </c>
      <c r="E43" s="86" t="str">
        <f>IF($A43="","",VLOOKUP($A43,'sviluppo p. amm.to'!$B$6:$R$152,7,0))</f>
        <v/>
      </c>
      <c r="F43" s="87" t="str">
        <f>IF($A43="","",VLOOKUP($A43,'sviluppo p. amm.to'!$B$6:$R$152,9,0))</f>
        <v/>
      </c>
    </row>
    <row r="44" spans="1:6" ht="14.25">
      <c r="A44" s="85" t="str">
        <f>IF('sviluppo p. amm.to'!A43&gt;calcoli!$C$11,"",'sviluppo p. amm.to'!A43)</f>
        <v/>
      </c>
      <c r="B44" s="86" t="str">
        <f>IF($A44="","",VLOOKUP($A44,'sviluppo p. amm.to'!$B$6:$R$152,3,0))</f>
        <v/>
      </c>
      <c r="C44" s="86" t="str">
        <f>IF($A44="","",calcoli!$C$37)</f>
        <v/>
      </c>
      <c r="D44" s="86" t="str">
        <f>IF($A44="","",VLOOKUP($A44,'sviluppo p. amm.to'!$B$6:$R$152,5,0))</f>
        <v/>
      </c>
      <c r="E44" s="86" t="str">
        <f>IF($A44="","",VLOOKUP($A44,'sviluppo p. amm.to'!$B$6:$R$152,7,0))</f>
        <v/>
      </c>
      <c r="F44" s="87" t="str">
        <f>IF($A44="","",VLOOKUP($A44,'sviluppo p. amm.to'!$B$6:$R$152,9,0))</f>
        <v/>
      </c>
    </row>
    <row r="45" spans="1:6" ht="14.25">
      <c r="A45" s="85" t="str">
        <f>IF('sviluppo p. amm.to'!A44&gt;calcoli!$C$11,"",'sviluppo p. amm.to'!A44)</f>
        <v/>
      </c>
      <c r="B45" s="86" t="str">
        <f>IF($A45="","",VLOOKUP($A45,'sviluppo p. amm.to'!$B$6:$R$152,3,0))</f>
        <v/>
      </c>
      <c r="C45" s="86" t="str">
        <f>IF($A45="","",calcoli!$C$37)</f>
        <v/>
      </c>
      <c r="D45" s="86" t="str">
        <f>IF($A45="","",VLOOKUP($A45,'sviluppo p. amm.to'!$B$6:$R$152,5,0))</f>
        <v/>
      </c>
      <c r="E45" s="86" t="str">
        <f>IF($A45="","",VLOOKUP($A45,'sviluppo p. amm.to'!$B$6:$R$152,7,0))</f>
        <v/>
      </c>
      <c r="F45" s="87" t="str">
        <f>IF($A45="","",VLOOKUP($A45,'sviluppo p. amm.to'!$B$6:$R$152,9,0))</f>
        <v/>
      </c>
    </row>
    <row r="46" spans="1:6" ht="14.25">
      <c r="A46" s="85" t="str">
        <f>IF('sviluppo p. amm.to'!A45&gt;calcoli!$C$11,"",'sviluppo p. amm.to'!A45)</f>
        <v/>
      </c>
      <c r="B46" s="86" t="str">
        <f>IF($A46="","",VLOOKUP($A46,'sviluppo p. amm.to'!$B$6:$R$152,3,0))</f>
        <v/>
      </c>
      <c r="C46" s="86" t="str">
        <f>IF($A46="","",calcoli!$C$37)</f>
        <v/>
      </c>
      <c r="D46" s="86" t="str">
        <f>IF($A46="","",VLOOKUP($A46,'sviluppo p. amm.to'!$B$6:$R$152,5,0))</f>
        <v/>
      </c>
      <c r="E46" s="86" t="str">
        <f>IF($A46="","",VLOOKUP($A46,'sviluppo p. amm.to'!$B$6:$R$152,7,0))</f>
        <v/>
      </c>
      <c r="F46" s="87" t="str">
        <f>IF($A46="","",VLOOKUP($A46,'sviluppo p. amm.to'!$B$6:$R$152,9,0))</f>
        <v/>
      </c>
    </row>
    <row r="47" spans="1:6" ht="14.25">
      <c r="A47" s="85" t="str">
        <f>IF('sviluppo p. amm.to'!A46&gt;calcoli!$C$11,"",'sviluppo p. amm.to'!A46)</f>
        <v/>
      </c>
      <c r="B47" s="86" t="str">
        <f>IF($A47="","",VLOOKUP($A47,'sviluppo p. amm.to'!$B$6:$R$152,3,0))</f>
        <v/>
      </c>
      <c r="C47" s="86" t="str">
        <f>IF($A47="","",calcoli!$C$37)</f>
        <v/>
      </c>
      <c r="D47" s="86" t="str">
        <f>IF($A47="","",VLOOKUP($A47,'sviluppo p. amm.to'!$B$6:$R$152,5,0))</f>
        <v/>
      </c>
      <c r="E47" s="86" t="str">
        <f>IF($A47="","",VLOOKUP($A47,'sviluppo p. amm.to'!$B$6:$R$152,7,0))</f>
        <v/>
      </c>
      <c r="F47" s="87" t="str">
        <f>IF($A47="","",VLOOKUP($A47,'sviluppo p. amm.to'!$B$6:$R$152,9,0))</f>
        <v/>
      </c>
    </row>
    <row r="48" spans="1:6" ht="14.25">
      <c r="A48" s="85" t="str">
        <f>IF('sviluppo p. amm.to'!A47&gt;calcoli!$C$11,"",'sviluppo p. amm.to'!A47)</f>
        <v/>
      </c>
      <c r="B48" s="86" t="str">
        <f>IF($A48="","",VLOOKUP($A48,'sviluppo p. amm.to'!$B$6:$R$152,3,0))</f>
        <v/>
      </c>
      <c r="C48" s="86" t="str">
        <f>IF($A48="","",calcoli!$C$37)</f>
        <v/>
      </c>
      <c r="D48" s="86" t="str">
        <f>IF($A48="","",VLOOKUP($A48,'sviluppo p. amm.to'!$B$6:$R$152,5,0))</f>
        <v/>
      </c>
      <c r="E48" s="86" t="str">
        <f>IF($A48="","",VLOOKUP($A48,'sviluppo p. amm.to'!$B$6:$R$152,7,0))</f>
        <v/>
      </c>
      <c r="F48" s="87" t="str">
        <f>IF($A48="","",VLOOKUP($A48,'sviluppo p. amm.to'!$B$6:$R$152,9,0))</f>
        <v/>
      </c>
    </row>
    <row r="49" spans="1:6" ht="14.25">
      <c r="A49" s="85" t="str">
        <f>IF('sviluppo p. amm.to'!A48&gt;calcoli!$C$11,"",'sviluppo p. amm.to'!A48)</f>
        <v/>
      </c>
      <c r="B49" s="86" t="str">
        <f>IF($A49="","",VLOOKUP($A49,'sviluppo p. amm.to'!$B$6:$R$152,3,0))</f>
        <v/>
      </c>
      <c r="C49" s="86" t="str">
        <f>IF($A49="","",calcoli!$C$37)</f>
        <v/>
      </c>
      <c r="D49" s="86" t="str">
        <f>IF($A49="","",VLOOKUP($A49,'sviluppo p. amm.to'!$B$6:$R$152,5,0))</f>
        <v/>
      </c>
      <c r="E49" s="86" t="str">
        <f>IF($A49="","",VLOOKUP($A49,'sviluppo p. amm.to'!$B$6:$R$152,7,0))</f>
        <v/>
      </c>
      <c r="F49" s="87" t="str">
        <f>IF($A49="","",VLOOKUP($A49,'sviluppo p. amm.to'!$B$6:$R$152,9,0))</f>
        <v/>
      </c>
    </row>
    <row r="50" spans="1:6" ht="14.25">
      <c r="A50" s="85" t="str">
        <f>IF('sviluppo p. amm.to'!A49&gt;calcoli!$C$11,"",'sviluppo p. amm.to'!A49)</f>
        <v/>
      </c>
      <c r="B50" s="86" t="str">
        <f>IF($A50="","",VLOOKUP($A50,'sviluppo p. amm.to'!$B$6:$R$152,3,0))</f>
        <v/>
      </c>
      <c r="C50" s="86" t="str">
        <f>IF($A50="","",calcoli!$C$37)</f>
        <v/>
      </c>
      <c r="D50" s="86" t="str">
        <f>IF($A50="","",VLOOKUP($A50,'sviluppo p. amm.to'!$B$6:$R$152,5,0))</f>
        <v/>
      </c>
      <c r="E50" s="86" t="str">
        <f>IF($A50="","",VLOOKUP($A50,'sviluppo p. amm.to'!$B$6:$R$152,7,0))</f>
        <v/>
      </c>
      <c r="F50" s="87" t="str">
        <f>IF($A50="","",VLOOKUP($A50,'sviluppo p. amm.to'!$B$6:$R$152,9,0))</f>
        <v/>
      </c>
    </row>
    <row r="51" spans="1:6" ht="14.25">
      <c r="A51" s="85" t="str">
        <f>IF('sviluppo p. amm.to'!A50&gt;calcoli!$C$11,"",'sviluppo p. amm.to'!A50)</f>
        <v/>
      </c>
      <c r="B51" s="86" t="str">
        <f>IF($A51="","",VLOOKUP($A51,'sviluppo p. amm.to'!$B$6:$R$152,3,0))</f>
        <v/>
      </c>
      <c r="C51" s="86" t="str">
        <f>IF($A51="","",calcoli!$C$37)</f>
        <v/>
      </c>
      <c r="D51" s="86" t="str">
        <f>IF($A51="","",VLOOKUP($A51,'sviluppo p. amm.to'!$B$6:$R$152,5,0))</f>
        <v/>
      </c>
      <c r="E51" s="86" t="str">
        <f>IF($A51="","",VLOOKUP($A51,'sviluppo p. amm.to'!$B$6:$R$152,7,0))</f>
        <v/>
      </c>
      <c r="F51" s="87" t="str">
        <f>IF($A51="","",VLOOKUP($A51,'sviluppo p. amm.to'!$B$6:$R$152,9,0))</f>
        <v/>
      </c>
    </row>
    <row r="52" spans="1:6" ht="14.25">
      <c r="A52" s="85" t="str">
        <f>IF('sviluppo p. amm.to'!A51&gt;calcoli!$C$11,"",'sviluppo p. amm.to'!A51)</f>
        <v/>
      </c>
      <c r="B52" s="86" t="str">
        <f>IF($A52="","",VLOOKUP($A52,'sviluppo p. amm.to'!$B$6:$R$152,3,0))</f>
        <v/>
      </c>
      <c r="C52" s="86" t="str">
        <f>IF($A52="","",calcoli!$C$37)</f>
        <v/>
      </c>
      <c r="D52" s="86" t="str">
        <f>IF($A52="","",VLOOKUP($A52,'sviluppo p. amm.to'!$B$6:$R$152,5,0))</f>
        <v/>
      </c>
      <c r="E52" s="86" t="str">
        <f>IF($A52="","",VLOOKUP($A52,'sviluppo p. amm.to'!$B$6:$R$152,7,0))</f>
        <v/>
      </c>
      <c r="F52" s="87" t="str">
        <f>IF($A52="","",VLOOKUP($A52,'sviluppo p. amm.to'!$B$6:$R$152,9,0))</f>
        <v/>
      </c>
    </row>
    <row r="53" spans="1:6" ht="14.25">
      <c r="A53" s="85" t="str">
        <f>IF('sviluppo p. amm.to'!A52&gt;calcoli!$C$11,"",'sviluppo p. amm.to'!A52)</f>
        <v/>
      </c>
      <c r="B53" s="86" t="str">
        <f>IF($A53="","",VLOOKUP($A53,'sviluppo p. amm.to'!$B$6:$R$152,3,0))</f>
        <v/>
      </c>
      <c r="C53" s="86" t="str">
        <f>IF($A53="","",calcoli!$C$37)</f>
        <v/>
      </c>
      <c r="D53" s="86" t="str">
        <f>IF($A53="","",VLOOKUP($A53,'sviluppo p. amm.to'!$B$6:$R$152,5,0))</f>
        <v/>
      </c>
      <c r="E53" s="86" t="str">
        <f>IF($A53="","",VLOOKUP($A53,'sviluppo p. amm.to'!$B$6:$R$152,7,0))</f>
        <v/>
      </c>
      <c r="F53" s="87" t="str">
        <f>IF($A53="","",VLOOKUP($A53,'sviluppo p. amm.to'!$B$6:$R$152,9,0))</f>
        <v/>
      </c>
    </row>
    <row r="54" spans="1:6" ht="14.25">
      <c r="A54" s="85" t="str">
        <f>IF('sviluppo p. amm.to'!A53&gt;calcoli!$C$11,"",'sviluppo p. amm.to'!A53)</f>
        <v/>
      </c>
      <c r="B54" s="86" t="str">
        <f>IF($A54="","",VLOOKUP($A54,'sviluppo p. amm.to'!$B$6:$R$152,3,0))</f>
        <v/>
      </c>
      <c r="C54" s="86" t="str">
        <f>IF($A54="","",calcoli!$C$37)</f>
        <v/>
      </c>
      <c r="D54" s="86" t="str">
        <f>IF($A54="","",VLOOKUP($A54,'sviluppo p. amm.to'!$B$6:$R$152,5,0))</f>
        <v/>
      </c>
      <c r="E54" s="86" t="str">
        <f>IF($A54="","",VLOOKUP($A54,'sviluppo p. amm.to'!$B$6:$R$152,7,0))</f>
        <v/>
      </c>
      <c r="F54" s="87" t="str">
        <f>IF($A54="","",VLOOKUP($A54,'sviluppo p. amm.to'!$B$6:$R$152,9,0))</f>
        <v/>
      </c>
    </row>
    <row r="55" spans="1:6" ht="14.25">
      <c r="A55" s="85" t="str">
        <f>IF(A7="","",IF('sviluppo p. amm.to'!A54&gt;calcoli!$C$11,"",'sviluppo p. amm.to'!A54))</f>
        <v/>
      </c>
      <c r="B55" s="86" t="str">
        <f>IF($A55="","",VLOOKUP($A55,'sviluppo p. amm.to'!$B$6:$R$152,3,0))</f>
        <v/>
      </c>
      <c r="C55" s="86" t="str">
        <f>IF($A55="","",calcoli!$C$37)</f>
        <v/>
      </c>
      <c r="D55" s="86" t="str">
        <f>IF($A55="","",VLOOKUP($A55,'sviluppo p. amm.to'!$B$6:$R$152,5,0))</f>
        <v/>
      </c>
      <c r="E55" s="86" t="str">
        <f>IF($A55="","",VLOOKUP($A55,'sviluppo p. amm.to'!$B$6:$R$152,7,0))</f>
        <v/>
      </c>
      <c r="F55" s="87" t="str">
        <f>IF($A55="","",VLOOKUP($A55,'sviluppo p. amm.to'!$B$6:$R$152,9,0))</f>
        <v/>
      </c>
    </row>
    <row r="56" spans="1:6" ht="14.25">
      <c r="A56" s="85" t="str">
        <f>IF('sviluppo p. amm.to'!A55&gt;calcoli!$C$11,"",'sviluppo p. amm.to'!A55)</f>
        <v/>
      </c>
      <c r="B56" s="86" t="str">
        <f>IF($A56="","",VLOOKUP($A56,'sviluppo p. amm.to'!$B$6:$R$152,3,0))</f>
        <v/>
      </c>
      <c r="C56" s="86" t="str">
        <f>IF($A56="","",calcoli!$C$37)</f>
        <v/>
      </c>
      <c r="D56" s="86" t="str">
        <f>IF($A56="","",VLOOKUP($A56,'sviluppo p. amm.to'!$B$6:$R$152,5,0))</f>
        <v/>
      </c>
      <c r="E56" s="86" t="str">
        <f>IF($A56="","",VLOOKUP($A56,'sviluppo p. amm.to'!$B$6:$R$152,7,0))</f>
        <v/>
      </c>
      <c r="F56" s="87" t="str">
        <f>IF($A56="","",VLOOKUP($A56,'sviluppo p. amm.to'!$B$6:$R$152,9,0))</f>
        <v/>
      </c>
    </row>
    <row r="57" spans="1:6" ht="14.25">
      <c r="A57" s="85" t="str">
        <f>IF('sviluppo p. amm.to'!A56&gt;calcoli!$C$11,"",'sviluppo p. amm.to'!A56)</f>
        <v/>
      </c>
      <c r="B57" s="86" t="str">
        <f>IF($A57="","",VLOOKUP($A57,'sviluppo p. amm.to'!$B$6:$R$152,3,0))</f>
        <v/>
      </c>
      <c r="C57" s="86" t="str">
        <f>IF($A57="","",calcoli!$C$37)</f>
        <v/>
      </c>
      <c r="D57" s="86" t="str">
        <f>IF($A57="","",VLOOKUP($A57,'sviluppo p. amm.to'!$B$6:$R$152,5,0))</f>
        <v/>
      </c>
      <c r="E57" s="86" t="str">
        <f>IF($A57="","",VLOOKUP($A57,'sviluppo p. amm.to'!$B$6:$R$152,7,0))</f>
        <v/>
      </c>
      <c r="F57" s="87" t="str">
        <f>IF($A57="","",VLOOKUP($A57,'sviluppo p. amm.to'!$B$6:$R$152,9,0))</f>
        <v/>
      </c>
    </row>
    <row r="58" spans="1:6" ht="14.25">
      <c r="A58" s="85" t="str">
        <f>IF('sviluppo p. amm.to'!A57&gt;calcoli!$C$11,"",'sviluppo p. amm.to'!A57)</f>
        <v/>
      </c>
      <c r="B58" s="86" t="str">
        <f>IF($A58="","",VLOOKUP($A58,'sviluppo p. amm.to'!$B$6:$R$152,3,0))</f>
        <v/>
      </c>
      <c r="C58" s="86" t="str">
        <f>IF($A58="","",calcoli!$C$37)</f>
        <v/>
      </c>
      <c r="D58" s="86" t="str">
        <f>IF($A58="","",VLOOKUP($A58,'sviluppo p. amm.to'!$B$6:$R$152,5,0))</f>
        <v/>
      </c>
      <c r="E58" s="86" t="str">
        <f>IF($A58="","",VLOOKUP($A58,'sviluppo p. amm.to'!$B$6:$R$152,7,0))</f>
        <v/>
      </c>
      <c r="F58" s="87" t="str">
        <f>IF($A58="","",VLOOKUP($A58,'sviluppo p. amm.to'!$B$6:$R$152,9,0))</f>
        <v/>
      </c>
    </row>
    <row r="59" spans="1:6" ht="14.25">
      <c r="A59" s="85" t="str">
        <f>IF('sviluppo p. amm.to'!A58&gt;calcoli!$C$11,"",'sviluppo p. amm.to'!A58)</f>
        <v/>
      </c>
      <c r="B59" s="86" t="str">
        <f>IF($A59="","",VLOOKUP($A59,'sviluppo p. amm.to'!$B$6:$R$152,3,0))</f>
        <v/>
      </c>
      <c r="C59" s="86" t="str">
        <f>IF($A59="","",calcoli!$C$37)</f>
        <v/>
      </c>
      <c r="D59" s="86" t="str">
        <f>IF($A59="","",VLOOKUP($A59,'sviluppo p. amm.to'!$B$6:$R$152,5,0))</f>
        <v/>
      </c>
      <c r="E59" s="86" t="str">
        <f>IF($A59="","",VLOOKUP($A59,'sviluppo p. amm.to'!$B$6:$R$152,7,0))</f>
        <v/>
      </c>
      <c r="F59" s="87" t="str">
        <f>IF($A59="","",VLOOKUP($A59,'sviluppo p. amm.to'!$B$6:$R$152,9,0))</f>
        <v/>
      </c>
    </row>
    <row r="60" spans="1:6" ht="14.25">
      <c r="A60" s="85" t="str">
        <f>IF('sviluppo p. amm.to'!A59&gt;calcoli!$C$11,"",'sviluppo p. amm.to'!A59)</f>
        <v/>
      </c>
      <c r="B60" s="86" t="str">
        <f>IF($A60="","",VLOOKUP($A60,'sviluppo p. amm.to'!$B$6:$R$152,3,0))</f>
        <v/>
      </c>
      <c r="C60" s="86" t="str">
        <f>IF($A60="","",calcoli!$C$37)</f>
        <v/>
      </c>
      <c r="D60" s="86" t="str">
        <f>IF($A60="","",VLOOKUP($A60,'sviluppo p. amm.to'!$B$6:$R$152,5,0))</f>
        <v/>
      </c>
      <c r="E60" s="86" t="str">
        <f>IF($A60="","",VLOOKUP($A60,'sviluppo p. amm.to'!$B$6:$R$152,7,0))</f>
        <v/>
      </c>
      <c r="F60" s="87" t="str">
        <f>IF($A60="","",VLOOKUP($A60,'sviluppo p. amm.to'!$B$6:$R$152,9,0))</f>
        <v/>
      </c>
    </row>
    <row r="61" spans="1:6" ht="14.25">
      <c r="A61" s="85" t="str">
        <f>IF('sviluppo p. amm.to'!A60&gt;calcoli!$C$11,"",'sviluppo p. amm.to'!A60)</f>
        <v/>
      </c>
      <c r="B61" s="86" t="str">
        <f>IF($A61="","",VLOOKUP($A61,'sviluppo p. amm.to'!$B$6:$R$152,3,0))</f>
        <v/>
      </c>
      <c r="C61" s="86" t="str">
        <f>IF($A61="","",calcoli!$C$37)</f>
        <v/>
      </c>
      <c r="D61" s="86" t="str">
        <f>IF($A61="","",VLOOKUP($A61,'sviluppo p. amm.to'!$B$6:$R$152,5,0))</f>
        <v/>
      </c>
      <c r="E61" s="86" t="str">
        <f>IF($A61="","",VLOOKUP($A61,'sviluppo p. amm.to'!$B$6:$R$152,7,0))</f>
        <v/>
      </c>
      <c r="F61" s="87" t="str">
        <f>IF($A61="","",VLOOKUP($A61,'sviluppo p. amm.to'!$B$6:$R$152,9,0))</f>
        <v/>
      </c>
    </row>
    <row r="62" spans="1:6" ht="14.25">
      <c r="A62" s="85" t="str">
        <f>IF('sviluppo p. amm.to'!A61&gt;calcoli!$C$11,"",'sviluppo p. amm.to'!A61)</f>
        <v/>
      </c>
      <c r="B62" s="86" t="str">
        <f>IF($A62="","",VLOOKUP($A62,'sviluppo p. amm.to'!$B$6:$R$152,3,0))</f>
        <v/>
      </c>
      <c r="C62" s="86" t="str">
        <f>IF($A62="","",calcoli!$C$37)</f>
        <v/>
      </c>
      <c r="D62" s="86" t="str">
        <f>IF($A62="","",VLOOKUP($A62,'sviluppo p. amm.to'!$B$6:$R$152,5,0))</f>
        <v/>
      </c>
      <c r="E62" s="86" t="str">
        <f>IF($A62="","",VLOOKUP($A62,'sviluppo p. amm.to'!$B$6:$R$152,7,0))</f>
        <v/>
      </c>
      <c r="F62" s="87" t="str">
        <f>IF($A62="","",VLOOKUP($A62,'sviluppo p. amm.to'!$B$6:$R$152,9,0))</f>
        <v/>
      </c>
    </row>
    <row r="63" spans="1:6" ht="14.25">
      <c r="A63" s="85" t="str">
        <f>IF('sviluppo p. amm.to'!A62&gt;calcoli!$C$11,"",'sviluppo p. amm.to'!A62)</f>
        <v/>
      </c>
      <c r="B63" s="86" t="str">
        <f>IF($A63="","",VLOOKUP($A63,'sviluppo p. amm.to'!$B$6:$R$152,3,0))</f>
        <v/>
      </c>
      <c r="C63" s="86" t="str">
        <f>IF($A63="","",calcoli!$C$37)</f>
        <v/>
      </c>
      <c r="D63" s="86" t="str">
        <f>IF($A63="","",VLOOKUP($A63,'sviluppo p. amm.to'!$B$6:$R$152,5,0))</f>
        <v/>
      </c>
      <c r="E63" s="86" t="str">
        <f>IF($A63="","",VLOOKUP($A63,'sviluppo p. amm.to'!$B$6:$R$152,7,0))</f>
        <v/>
      </c>
      <c r="F63" s="87" t="str">
        <f>IF($A63="","",VLOOKUP($A63,'sviluppo p. amm.to'!$B$6:$R$152,9,0))</f>
        <v/>
      </c>
    </row>
    <row r="64" spans="1:6" ht="14.25">
      <c r="A64" s="85" t="str">
        <f>IF('sviluppo p. amm.to'!A63&gt;calcoli!$C$11,"",'sviluppo p. amm.to'!A63)</f>
        <v/>
      </c>
      <c r="B64" s="86" t="str">
        <f>IF($A64="","",VLOOKUP($A64,'sviluppo p. amm.to'!$B$6:$R$152,3,0))</f>
        <v/>
      </c>
      <c r="C64" s="86" t="str">
        <f>IF($A64="","",calcoli!$C$37)</f>
        <v/>
      </c>
      <c r="D64" s="86" t="str">
        <f>IF($A64="","",VLOOKUP($A64,'sviluppo p. amm.to'!$B$6:$R$152,5,0))</f>
        <v/>
      </c>
      <c r="E64" s="86" t="str">
        <f>IF($A64="","",VLOOKUP($A64,'sviluppo p. amm.to'!$B$6:$R$152,7,0))</f>
        <v/>
      </c>
      <c r="F64" s="87" t="str">
        <f>IF($A64="","",VLOOKUP($A64,'sviluppo p. amm.to'!$B$6:$R$152,9,0))</f>
        <v/>
      </c>
    </row>
    <row r="65" spans="1:6" ht="14.25">
      <c r="A65" s="85" t="str">
        <f>IF('sviluppo p. amm.to'!A64&gt;calcoli!$C$11,"",'sviluppo p. amm.to'!A64)</f>
        <v/>
      </c>
      <c r="B65" s="86" t="str">
        <f>IF($A65="","",VLOOKUP($A65,'sviluppo p. amm.to'!$B$6:$R$152,3,0))</f>
        <v/>
      </c>
      <c r="C65" s="86" t="str">
        <f>IF($A65="","",calcoli!$C$37)</f>
        <v/>
      </c>
      <c r="D65" s="86" t="str">
        <f>IF($A65="","",VLOOKUP($A65,'sviluppo p. amm.to'!$B$6:$R$152,5,0))</f>
        <v/>
      </c>
      <c r="E65" s="86" t="str">
        <f>IF($A65="","",VLOOKUP($A65,'sviluppo p. amm.to'!$B$6:$R$152,7,0))</f>
        <v/>
      </c>
      <c r="F65" s="87" t="str">
        <f>IF($A65="","",VLOOKUP($A65,'sviluppo p. amm.to'!$B$6:$R$152,9,0))</f>
        <v/>
      </c>
    </row>
    <row r="66" spans="1:6" ht="14.25">
      <c r="A66" s="85" t="str">
        <f>IF('sviluppo p. amm.to'!A65&gt;calcoli!$C$11,"",'sviluppo p. amm.to'!A65)</f>
        <v/>
      </c>
      <c r="B66" s="86" t="str">
        <f>IF($A66="","",VLOOKUP($A66,'sviluppo p. amm.to'!$B$6:$R$152,3,0))</f>
        <v/>
      </c>
      <c r="C66" s="86" t="str">
        <f>IF($A66="","",calcoli!$C$37)</f>
        <v/>
      </c>
      <c r="D66" s="86" t="str">
        <f>IF($A66="","",VLOOKUP($A66,'sviluppo p. amm.to'!$B$6:$R$152,5,0))</f>
        <v/>
      </c>
      <c r="E66" s="86" t="str">
        <f>IF($A66="","",VLOOKUP($A66,'sviluppo p. amm.to'!$B$6:$R$152,7,0))</f>
        <v/>
      </c>
      <c r="F66" s="87" t="str">
        <f>IF($A66="","",VLOOKUP($A66,'sviluppo p. amm.to'!$B$6:$R$152,9,0))</f>
        <v/>
      </c>
    </row>
    <row r="67" spans="1:6" ht="14.25">
      <c r="A67" s="85" t="str">
        <f>IF('sviluppo p. amm.to'!A66&gt;calcoli!$C$11,"",'sviluppo p. amm.to'!A66)</f>
        <v/>
      </c>
      <c r="B67" s="86" t="str">
        <f>IF($A67="","",VLOOKUP($A67,'sviluppo p. amm.to'!$B$6:$R$152,3,0))</f>
        <v/>
      </c>
      <c r="C67" s="86" t="str">
        <f>IF($A67="","",calcoli!$C$37)</f>
        <v/>
      </c>
      <c r="D67" s="86" t="str">
        <f>IF($A67="","",VLOOKUP($A67,'sviluppo p. amm.to'!$B$6:$R$152,5,0))</f>
        <v/>
      </c>
      <c r="E67" s="86" t="str">
        <f>IF($A67="","",VLOOKUP($A67,'sviluppo p. amm.to'!$B$6:$R$152,7,0))</f>
        <v/>
      </c>
      <c r="F67" s="87" t="str">
        <f>IF($A67="","",VLOOKUP($A67,'sviluppo p. amm.to'!$B$6:$R$152,9,0))</f>
        <v/>
      </c>
    </row>
    <row r="68" spans="1:6" ht="14.25">
      <c r="A68" s="85" t="str">
        <f>IF('sviluppo p. amm.to'!A67&gt;calcoli!$C$11,"",'sviluppo p. amm.to'!A67)</f>
        <v/>
      </c>
      <c r="B68" s="86" t="str">
        <f>IF($A68="","",VLOOKUP($A68,'sviluppo p. amm.to'!$B$6:$R$152,3,0))</f>
        <v/>
      </c>
      <c r="C68" s="86" t="str">
        <f>IF($A68="","",calcoli!$C$37)</f>
        <v/>
      </c>
      <c r="D68" s="86" t="str">
        <f>IF($A68="","",VLOOKUP($A68,'sviluppo p. amm.to'!$B$6:$R$152,5,0))</f>
        <v/>
      </c>
      <c r="E68" s="86" t="str">
        <f>IF($A68="","",VLOOKUP($A68,'sviluppo p. amm.to'!$B$6:$R$152,7,0))</f>
        <v/>
      </c>
      <c r="F68" s="87" t="str">
        <f>IF($A68="","",VLOOKUP($A68,'sviluppo p. amm.to'!$B$6:$R$152,9,0))</f>
        <v/>
      </c>
    </row>
    <row r="69" spans="1:6" ht="14.25">
      <c r="A69" s="85" t="str">
        <f>IF('sviluppo p. amm.to'!A68&gt;calcoli!$C$11,"",'sviluppo p. amm.to'!A68)</f>
        <v/>
      </c>
      <c r="B69" s="86" t="str">
        <f>IF($A69="","",VLOOKUP($A69,'sviluppo p. amm.to'!$B$6:$R$152,3,0))</f>
        <v/>
      </c>
      <c r="C69" s="86" t="str">
        <f>IF($A69="","",calcoli!$C$37)</f>
        <v/>
      </c>
      <c r="D69" s="86" t="str">
        <f>IF($A69="","",VLOOKUP($A69,'sviluppo p. amm.to'!$B$6:$R$152,5,0))</f>
        <v/>
      </c>
      <c r="E69" s="86" t="str">
        <f>IF($A69="","",VLOOKUP($A69,'sviluppo p. amm.to'!$B$6:$R$152,7,0))</f>
        <v/>
      </c>
      <c r="F69" s="87" t="str">
        <f>IF($A69="","",VLOOKUP($A69,'sviluppo p. amm.to'!$B$6:$R$152,9,0))</f>
        <v/>
      </c>
    </row>
    <row r="70" spans="1:6" ht="14.25">
      <c r="A70" s="85" t="str">
        <f>IF('sviluppo p. amm.to'!A69&gt;calcoli!$C$11,"",'sviluppo p. amm.to'!A69)</f>
        <v/>
      </c>
      <c r="B70" s="86" t="str">
        <f>IF($A70="","",VLOOKUP($A70,'sviluppo p. amm.to'!$B$6:$R$152,3,0))</f>
        <v/>
      </c>
      <c r="C70" s="86" t="str">
        <f>IF($A70="","",calcoli!$C$37)</f>
        <v/>
      </c>
      <c r="D70" s="86" t="str">
        <f>IF($A70="","",VLOOKUP($A70,'sviluppo p. amm.to'!$B$6:$R$152,5,0))</f>
        <v/>
      </c>
      <c r="E70" s="86" t="str">
        <f>IF($A70="","",VLOOKUP($A70,'sviluppo p. amm.to'!$B$6:$R$152,7,0))</f>
        <v/>
      </c>
      <c r="F70" s="87" t="str">
        <f>IF($A70="","",VLOOKUP($A70,'sviluppo p. amm.to'!$B$6:$R$152,9,0))</f>
        <v/>
      </c>
    </row>
    <row r="71" spans="1:6" ht="14.25">
      <c r="A71" s="85" t="str">
        <f>IF('sviluppo p. amm.to'!A70&gt;calcoli!$C$11,"",'sviluppo p. amm.to'!A70)</f>
        <v/>
      </c>
      <c r="B71" s="86" t="str">
        <f>IF($A71="","",VLOOKUP($A71,'sviluppo p. amm.to'!$B$6:$R$152,3,0))</f>
        <v/>
      </c>
      <c r="C71" s="86" t="str">
        <f>IF($A71="","",calcoli!$C$37)</f>
        <v/>
      </c>
      <c r="D71" s="86" t="str">
        <f>IF($A71="","",VLOOKUP($A71,'sviluppo p. amm.to'!$B$6:$R$152,5,0))</f>
        <v/>
      </c>
      <c r="E71" s="86" t="str">
        <f>IF($A71="","",VLOOKUP($A71,'sviluppo p. amm.to'!$B$6:$R$152,7,0))</f>
        <v/>
      </c>
      <c r="F71" s="87" t="str">
        <f>IF($A71="","",VLOOKUP($A71,'sviluppo p. amm.to'!$B$6:$R$152,9,0))</f>
        <v/>
      </c>
    </row>
    <row r="72" spans="1:6" ht="14.25">
      <c r="A72" s="85" t="str">
        <f>IF('sviluppo p. amm.to'!A71&gt;calcoli!$C$11,"",'sviluppo p. amm.to'!A71)</f>
        <v/>
      </c>
      <c r="B72" s="86" t="str">
        <f>IF($A72="","",VLOOKUP($A72,'sviluppo p. amm.to'!$B$6:$R$152,3,0))</f>
        <v/>
      </c>
      <c r="C72" s="86" t="str">
        <f>IF($A72="","",calcoli!$C$37)</f>
        <v/>
      </c>
      <c r="D72" s="86" t="str">
        <f>IF($A72="","",VLOOKUP($A72,'sviluppo p. amm.to'!$B$6:$R$152,5,0))</f>
        <v/>
      </c>
      <c r="E72" s="86" t="str">
        <f>IF($A72="","",VLOOKUP($A72,'sviluppo p. amm.to'!$B$6:$R$152,7,0))</f>
        <v/>
      </c>
      <c r="F72" s="87" t="str">
        <f>IF($A72="","",VLOOKUP($A72,'sviluppo p. amm.to'!$B$6:$R$152,9,0))</f>
        <v/>
      </c>
    </row>
    <row r="73" spans="1:6" ht="14.25">
      <c r="A73" s="85" t="str">
        <f>IF('sviluppo p. amm.to'!A72&gt;calcoli!$C$11,"",'sviluppo p. amm.to'!A72)</f>
        <v/>
      </c>
      <c r="B73" s="86" t="str">
        <f>IF($A73="","",VLOOKUP($A73,'sviluppo p. amm.to'!$B$6:$R$152,3,0))</f>
        <v/>
      </c>
      <c r="C73" s="86" t="str">
        <f>IF($A73="","",calcoli!$C$37)</f>
        <v/>
      </c>
      <c r="D73" s="86" t="str">
        <f>IF($A73="","",VLOOKUP($A73,'sviluppo p. amm.to'!$B$6:$R$152,5,0))</f>
        <v/>
      </c>
      <c r="E73" s="86" t="str">
        <f>IF($A73="","",VLOOKUP($A73,'sviluppo p. amm.to'!$B$6:$R$152,7,0))</f>
        <v/>
      </c>
      <c r="F73" s="87" t="str">
        <f>IF($A73="","",VLOOKUP($A73,'sviluppo p. amm.to'!$B$6:$R$152,9,0))</f>
        <v/>
      </c>
    </row>
    <row r="74" spans="1:6" ht="14.25">
      <c r="A74" s="85" t="str">
        <f>IF('sviluppo p. amm.to'!A73&gt;calcoli!$C$11,"",'sviluppo p. amm.to'!A73)</f>
        <v/>
      </c>
      <c r="B74" s="86" t="str">
        <f>IF($A74="","",VLOOKUP($A74,'sviluppo p. amm.to'!$B$6:$R$152,3,0))</f>
        <v/>
      </c>
      <c r="C74" s="86" t="str">
        <f>IF($A74="","",calcoli!$C$37)</f>
        <v/>
      </c>
      <c r="D74" s="86" t="str">
        <f>IF($A74="","",VLOOKUP($A74,'sviluppo p. amm.to'!$B$6:$R$152,5,0))</f>
        <v/>
      </c>
      <c r="E74" s="86" t="str">
        <f>IF($A74="","",VLOOKUP($A74,'sviluppo p. amm.to'!$B$6:$R$152,7,0))</f>
        <v/>
      </c>
      <c r="F74" s="87" t="str">
        <f>IF($A74="","",VLOOKUP($A74,'sviluppo p. amm.to'!$B$6:$R$152,9,0))</f>
        <v/>
      </c>
    </row>
    <row r="75" spans="1:6" ht="14.25">
      <c r="A75" s="85" t="str">
        <f>IF('sviluppo p. amm.to'!A74&gt;calcoli!$C$11,"",'sviluppo p. amm.to'!A74)</f>
        <v/>
      </c>
      <c r="B75" s="86" t="str">
        <f>IF($A75="","",VLOOKUP($A75,'sviluppo p. amm.to'!$B$6:$R$152,3,0))</f>
        <v/>
      </c>
      <c r="C75" s="86" t="str">
        <f>IF($A75="","",calcoli!$C$37)</f>
        <v/>
      </c>
      <c r="D75" s="86" t="str">
        <f>IF($A75="","",VLOOKUP($A75,'sviluppo p. amm.to'!$B$6:$R$152,5,0))</f>
        <v/>
      </c>
      <c r="E75" s="86" t="str">
        <f>IF($A75="","",VLOOKUP($A75,'sviluppo p. amm.to'!$B$6:$R$152,7,0))</f>
        <v/>
      </c>
      <c r="F75" s="87" t="str">
        <f>IF($A75="","",VLOOKUP($A75,'sviluppo p. amm.to'!$B$6:$R$152,9,0))</f>
        <v/>
      </c>
    </row>
    <row r="76" spans="1:6" ht="14.25">
      <c r="A76" s="85" t="str">
        <f>IF('sviluppo p. amm.to'!A75&gt;calcoli!$C$11,"",'sviluppo p. amm.to'!A75)</f>
        <v/>
      </c>
      <c r="B76" s="86" t="str">
        <f>IF($A76="","",VLOOKUP($A76,'sviluppo p. amm.to'!$B$6:$R$152,3,0))</f>
        <v/>
      </c>
      <c r="C76" s="86" t="str">
        <f>IF($A76="","",calcoli!$C$37)</f>
        <v/>
      </c>
      <c r="D76" s="86" t="str">
        <f>IF($A76="","",VLOOKUP($A76,'sviluppo p. amm.to'!$B$6:$R$152,5,0))</f>
        <v/>
      </c>
      <c r="E76" s="86" t="str">
        <f>IF($A76="","",VLOOKUP($A76,'sviluppo p. amm.to'!$B$6:$R$152,7,0))</f>
        <v/>
      </c>
      <c r="F76" s="87" t="str">
        <f>IF($A76="","",VLOOKUP($A76,'sviluppo p. amm.to'!$B$6:$R$152,9,0))</f>
        <v/>
      </c>
    </row>
    <row r="77" spans="1:6" ht="14.25">
      <c r="A77" s="85" t="str">
        <f>IF('sviluppo p. amm.to'!A76&gt;calcoli!$C$11,"",'sviluppo p. amm.to'!A76)</f>
        <v/>
      </c>
      <c r="B77" s="86" t="str">
        <f>IF($A77="","",VLOOKUP($A77,'sviluppo p. amm.to'!$B$6:$R$152,3,0))</f>
        <v/>
      </c>
      <c r="C77" s="86" t="str">
        <f>IF($A77="","",calcoli!$C$37)</f>
        <v/>
      </c>
      <c r="D77" s="86" t="str">
        <f>IF($A77="","",VLOOKUP($A77,'sviluppo p. amm.to'!$B$6:$R$152,5,0))</f>
        <v/>
      </c>
      <c r="E77" s="86" t="str">
        <f>IF($A77="","",VLOOKUP($A77,'sviluppo p. amm.to'!$B$6:$R$152,7,0))</f>
        <v/>
      </c>
      <c r="F77" s="87" t="str">
        <f>IF($A77="","",VLOOKUP($A77,'sviluppo p. amm.to'!$B$6:$R$152,9,0))</f>
        <v/>
      </c>
    </row>
    <row r="78" spans="1:6" ht="14.25">
      <c r="A78" s="85" t="str">
        <f>IF('sviluppo p. amm.to'!A77&gt;calcoli!$C$11,"",'sviluppo p. amm.to'!A77)</f>
        <v/>
      </c>
      <c r="B78" s="86" t="str">
        <f>IF($A78="","",VLOOKUP($A78,'sviluppo p. amm.to'!$B$6:$R$152,3,0))</f>
        <v/>
      </c>
      <c r="C78" s="86" t="str">
        <f>IF($A78="","",calcoli!$C$37)</f>
        <v/>
      </c>
      <c r="D78" s="86" t="str">
        <f>IF($A78="","",VLOOKUP($A78,'sviluppo p. amm.to'!$B$6:$R$152,5,0))</f>
        <v/>
      </c>
      <c r="E78" s="86" t="str">
        <f>IF($A78="","",VLOOKUP($A78,'sviluppo p. amm.to'!$B$6:$R$152,7,0))</f>
        <v/>
      </c>
      <c r="F78" s="87" t="str">
        <f>IF($A78="","",VLOOKUP($A78,'sviluppo p. amm.to'!$B$6:$R$152,9,0))</f>
        <v/>
      </c>
    </row>
    <row r="79" spans="1:6" ht="14.25">
      <c r="A79" s="85" t="str">
        <f>IF('sviluppo p. amm.to'!A78&gt;calcoli!$C$11,"",'sviluppo p. amm.to'!A78)</f>
        <v/>
      </c>
      <c r="B79" s="86" t="str">
        <f>IF($A79="","",VLOOKUP($A79,'sviluppo p. amm.to'!$B$6:$R$152,3,0))</f>
        <v/>
      </c>
      <c r="C79" s="86" t="str">
        <f>IF($A79="","",calcoli!$C$37)</f>
        <v/>
      </c>
      <c r="D79" s="86" t="str">
        <f>IF($A79="","",VLOOKUP($A79,'sviluppo p. amm.to'!$B$6:$R$152,5,0))</f>
        <v/>
      </c>
      <c r="E79" s="86" t="str">
        <f>IF($A79="","",VLOOKUP($A79,'sviluppo p. amm.to'!$B$6:$R$152,7,0))</f>
        <v/>
      </c>
      <c r="F79" s="87" t="str">
        <f>IF($A79="","",VLOOKUP($A79,'sviluppo p. amm.to'!$B$6:$R$152,9,0))</f>
        <v/>
      </c>
    </row>
    <row r="80" spans="1:6" ht="14.25">
      <c r="A80" s="85" t="str">
        <f>IF('sviluppo p. amm.to'!A79&gt;calcoli!$C$11,"",'sviluppo p. amm.to'!A79)</f>
        <v/>
      </c>
      <c r="B80" s="86" t="str">
        <f>IF($A80="","",VLOOKUP($A80,'sviluppo p. amm.to'!$B$6:$R$152,3,0))</f>
        <v/>
      </c>
      <c r="C80" s="86" t="str">
        <f>IF($A80="","",calcoli!$C$37)</f>
        <v/>
      </c>
      <c r="D80" s="86" t="str">
        <f>IF($A80="","",VLOOKUP($A80,'sviluppo p. amm.to'!$B$6:$R$152,5,0))</f>
        <v/>
      </c>
      <c r="E80" s="86" t="str">
        <f>IF($A80="","",VLOOKUP($A80,'sviluppo p. amm.to'!$B$6:$R$152,7,0))</f>
        <v/>
      </c>
      <c r="F80" s="87" t="str">
        <f>IF($A80="","",VLOOKUP($A80,'sviluppo p. amm.to'!$B$6:$R$152,9,0))</f>
        <v/>
      </c>
    </row>
    <row r="81" spans="1:6" ht="14.25">
      <c r="A81" s="85" t="str">
        <f>IF('sviluppo p. amm.to'!A80&gt;calcoli!$C$11,"",'sviluppo p. amm.to'!A80)</f>
        <v/>
      </c>
      <c r="B81" s="86" t="str">
        <f>IF($A81="","",VLOOKUP($A81,'sviluppo p. amm.to'!$B$6:$R$152,3,0))</f>
        <v/>
      </c>
      <c r="C81" s="86" t="str">
        <f>IF($A81="","",calcoli!$C$37)</f>
        <v/>
      </c>
      <c r="D81" s="86" t="str">
        <f>IF($A81="","",VLOOKUP($A81,'sviluppo p. amm.to'!$B$6:$R$152,5,0))</f>
        <v/>
      </c>
      <c r="E81" s="86" t="str">
        <f>IF($A81="","",VLOOKUP($A81,'sviluppo p. amm.to'!$B$6:$R$152,7,0))</f>
        <v/>
      </c>
      <c r="F81" s="87" t="str">
        <f>IF($A81="","",VLOOKUP($A81,'sviluppo p. amm.to'!$B$6:$R$152,9,0))</f>
        <v/>
      </c>
    </row>
    <row r="82" spans="1:6" ht="14.25">
      <c r="A82" s="85" t="str">
        <f>IF('sviluppo p. amm.to'!A81&gt;calcoli!$C$11,"",'sviluppo p. amm.to'!A81)</f>
        <v/>
      </c>
      <c r="B82" s="86" t="str">
        <f>IF($A82="","",VLOOKUP($A82,'sviluppo p. amm.to'!$B$6:$R$152,3,0))</f>
        <v/>
      </c>
      <c r="C82" s="86" t="str">
        <f>IF($A82="","",calcoli!$C$37)</f>
        <v/>
      </c>
      <c r="D82" s="86" t="str">
        <f>IF($A82="","",VLOOKUP($A82,'sviluppo p. amm.to'!$B$6:$R$152,5,0))</f>
        <v/>
      </c>
      <c r="E82" s="86" t="str">
        <f>IF($A82="","",VLOOKUP($A82,'sviluppo p. amm.to'!$B$6:$R$152,7,0))</f>
        <v/>
      </c>
      <c r="F82" s="87" t="str">
        <f>IF($A82="","",VLOOKUP($A82,'sviluppo p. amm.to'!$B$6:$R$152,9,0))</f>
        <v/>
      </c>
    </row>
    <row r="83" spans="1:6" ht="14.25">
      <c r="A83" s="85" t="str">
        <f>IF('sviluppo p. amm.to'!A82&gt;calcoli!$C$11,"",'sviluppo p. amm.to'!A82)</f>
        <v/>
      </c>
      <c r="B83" s="86" t="str">
        <f>IF($A83="","",VLOOKUP($A83,'sviluppo p. amm.to'!$B$6:$R$152,3,0))</f>
        <v/>
      </c>
      <c r="C83" s="86" t="str">
        <f>IF($A83="","",calcoli!$C$37)</f>
        <v/>
      </c>
      <c r="D83" s="86" t="str">
        <f>IF($A83="","",VLOOKUP($A83,'sviluppo p. amm.to'!$B$6:$R$152,5,0))</f>
        <v/>
      </c>
      <c r="E83" s="86" t="str">
        <f>IF($A83="","",VLOOKUP($A83,'sviluppo p. amm.to'!$B$6:$R$152,7,0))</f>
        <v/>
      </c>
      <c r="F83" s="87" t="str">
        <f>IF($A83="","",VLOOKUP($A83,'sviluppo p. amm.to'!$B$6:$R$152,9,0))</f>
        <v/>
      </c>
    </row>
    <row r="84" spans="1:6" ht="14.25">
      <c r="A84" s="85" t="str">
        <f>IF('sviluppo p. amm.to'!A83&gt;calcoli!$C$11,"",'sviluppo p. amm.to'!A83)</f>
        <v/>
      </c>
      <c r="B84" s="86" t="str">
        <f>IF($A84="","",VLOOKUP($A84,'sviluppo p. amm.to'!$B$6:$R$152,3,0))</f>
        <v/>
      </c>
      <c r="C84" s="86" t="str">
        <f>IF($A84="","",calcoli!$C$37)</f>
        <v/>
      </c>
      <c r="D84" s="86" t="str">
        <f>IF($A84="","",VLOOKUP($A84,'sviluppo p. amm.to'!$B$6:$R$152,5,0))</f>
        <v/>
      </c>
      <c r="E84" s="86" t="str">
        <f>IF($A84="","",VLOOKUP($A84,'sviluppo p. amm.to'!$B$6:$R$152,7,0))</f>
        <v/>
      </c>
      <c r="F84" s="87" t="str">
        <f>IF($A84="","",VLOOKUP($A84,'sviluppo p. amm.to'!$B$6:$R$152,9,0))</f>
        <v/>
      </c>
    </row>
    <row r="85" spans="1:6" ht="14.25">
      <c r="A85" s="85" t="str">
        <f>IF('sviluppo p. amm.to'!A84&gt;calcoli!$C$11,"",'sviluppo p. amm.to'!A84)</f>
        <v/>
      </c>
      <c r="B85" s="86" t="str">
        <f>IF($A85="","",VLOOKUP($A85,'sviluppo p. amm.to'!$B$6:$R$152,3,0))</f>
        <v/>
      </c>
      <c r="C85" s="86" t="str">
        <f>IF($A85="","",calcoli!$C$37)</f>
        <v/>
      </c>
      <c r="D85" s="86" t="str">
        <f>IF($A85="","",VLOOKUP($A85,'sviluppo p. amm.to'!$B$6:$R$152,5,0))</f>
        <v/>
      </c>
      <c r="E85" s="86" t="str">
        <f>IF($A85="","",VLOOKUP($A85,'sviluppo p. amm.to'!$B$6:$R$152,7,0))</f>
        <v/>
      </c>
      <c r="F85" s="87" t="str">
        <f>IF($A85="","",VLOOKUP($A85,'sviluppo p. amm.to'!$B$6:$R$152,9,0))</f>
        <v/>
      </c>
    </row>
    <row r="86" spans="1:6" ht="14.25">
      <c r="A86" s="85" t="str">
        <f>IF('sviluppo p. amm.to'!A85&gt;calcoli!$C$11,"",'sviluppo p. amm.to'!A85)</f>
        <v/>
      </c>
      <c r="B86" s="86" t="str">
        <f>IF($A86="","",VLOOKUP($A86,'sviluppo p. amm.to'!$B$6:$R$152,3,0))</f>
        <v/>
      </c>
      <c r="C86" s="86" t="str">
        <f>IF($A86="","",calcoli!$C$37)</f>
        <v/>
      </c>
      <c r="D86" s="86" t="str">
        <f>IF($A86="","",VLOOKUP($A86,'sviluppo p. amm.to'!$B$6:$R$152,5,0))</f>
        <v/>
      </c>
      <c r="E86" s="86" t="str">
        <f>IF($A86="","",VLOOKUP($A86,'sviluppo p. amm.to'!$B$6:$R$152,7,0))</f>
        <v/>
      </c>
      <c r="F86" s="87" t="str">
        <f>IF($A86="","",VLOOKUP($A86,'sviluppo p. amm.to'!$B$6:$R$152,9,0))</f>
        <v/>
      </c>
    </row>
    <row r="87" spans="1:6" ht="14.25">
      <c r="A87" s="85" t="str">
        <f>IF('sviluppo p. amm.to'!A86&gt;calcoli!$C$11,"",'sviluppo p. amm.to'!A86)</f>
        <v/>
      </c>
      <c r="B87" s="86" t="str">
        <f>IF($A87="","",VLOOKUP($A87,'sviluppo p. amm.to'!$B$6:$R$152,3,0))</f>
        <v/>
      </c>
      <c r="C87" s="86" t="str">
        <f>IF($A87="","",calcoli!$C$37)</f>
        <v/>
      </c>
      <c r="D87" s="86" t="str">
        <f>IF($A87="","",VLOOKUP($A87,'sviluppo p. amm.to'!$B$6:$R$152,5,0))</f>
        <v/>
      </c>
      <c r="E87" s="86" t="str">
        <f>IF($A87="","",VLOOKUP($A87,'sviluppo p. amm.to'!$B$6:$R$152,7,0))</f>
        <v/>
      </c>
      <c r="F87" s="87" t="str">
        <f>IF($A87="","",VLOOKUP($A87,'sviluppo p. amm.to'!$B$6:$R$152,9,0))</f>
        <v/>
      </c>
    </row>
    <row r="88" spans="1:6" ht="14.25">
      <c r="A88" s="85" t="str">
        <f>IF('sviluppo p. amm.to'!A87&gt;calcoli!$C$11,"",'sviluppo p. amm.to'!A87)</f>
        <v/>
      </c>
      <c r="B88" s="86" t="str">
        <f>IF($A88="","",VLOOKUP($A88,'sviluppo p. amm.to'!$B$6:$R$152,3,0))</f>
        <v/>
      </c>
      <c r="C88" s="86" t="str">
        <f>IF($A88="","",calcoli!$C$37)</f>
        <v/>
      </c>
      <c r="D88" s="86" t="str">
        <f>IF($A88="","",VLOOKUP($A88,'sviluppo p. amm.to'!$B$6:$R$152,5,0))</f>
        <v/>
      </c>
      <c r="E88" s="86" t="str">
        <f>IF($A88="","",VLOOKUP($A88,'sviluppo p. amm.to'!$B$6:$R$152,7,0))</f>
        <v/>
      </c>
      <c r="F88" s="87" t="str">
        <f>IF($A88="","",VLOOKUP($A88,'sviluppo p. amm.to'!$B$6:$R$152,9,0))</f>
        <v/>
      </c>
    </row>
    <row r="89" spans="1:6" ht="14.25">
      <c r="A89" s="85" t="str">
        <f>IF('sviluppo p. amm.to'!A88&gt;calcoli!$C$11,"",'sviluppo p. amm.to'!A88)</f>
        <v/>
      </c>
      <c r="B89" s="86" t="str">
        <f>IF($A89="","",VLOOKUP($A89,'sviluppo p. amm.to'!$B$6:$R$152,3,0))</f>
        <v/>
      </c>
      <c r="C89" s="86" t="str">
        <f>IF($A89="","",calcoli!$C$37)</f>
        <v/>
      </c>
      <c r="D89" s="86" t="str">
        <f>IF($A89="","",VLOOKUP($A89,'sviluppo p. amm.to'!$B$6:$R$152,5,0))</f>
        <v/>
      </c>
      <c r="E89" s="86" t="str">
        <f>IF($A89="","",VLOOKUP($A89,'sviluppo p. amm.to'!$B$6:$R$152,7,0))</f>
        <v/>
      </c>
      <c r="F89" s="87" t="str">
        <f>IF($A89="","",VLOOKUP($A89,'sviluppo p. amm.to'!$B$6:$R$152,9,0))</f>
        <v/>
      </c>
    </row>
    <row r="90" spans="1:6" ht="14.25">
      <c r="A90" s="85" t="str">
        <f>IF('sviluppo p. amm.to'!A89&gt;calcoli!$C$11,"",'sviluppo p. amm.to'!A89)</f>
        <v/>
      </c>
      <c r="B90" s="86" t="str">
        <f>IF($A90="","",VLOOKUP($A90,'sviluppo p. amm.to'!$B$6:$R$152,3,0))</f>
        <v/>
      </c>
      <c r="C90" s="86" t="str">
        <f>IF($A90="","",calcoli!$C$37)</f>
        <v/>
      </c>
      <c r="D90" s="86" t="str">
        <f>IF($A90="","",VLOOKUP($A90,'sviluppo p. amm.to'!$B$6:$R$152,5,0))</f>
        <v/>
      </c>
      <c r="E90" s="86" t="str">
        <f>IF($A90="","",VLOOKUP($A90,'sviluppo p. amm.to'!$B$6:$R$152,7,0))</f>
        <v/>
      </c>
      <c r="F90" s="87" t="str">
        <f>IF($A90="","",VLOOKUP($A90,'sviluppo p. amm.to'!$B$6:$R$152,9,0))</f>
        <v/>
      </c>
    </row>
    <row r="91" spans="1:6" ht="14.25">
      <c r="A91" s="85" t="str">
        <f>IF('sviluppo p. amm.to'!A90&gt;calcoli!$C$11,"",'sviluppo p. amm.to'!A90)</f>
        <v/>
      </c>
      <c r="B91" s="86" t="str">
        <f>IF($A91="","",VLOOKUP($A91,'sviluppo p. amm.to'!$B$6:$R$152,3,0))</f>
        <v/>
      </c>
      <c r="C91" s="86" t="str">
        <f>IF($A91="","",calcoli!$C$37)</f>
        <v/>
      </c>
      <c r="D91" s="86" t="str">
        <f>IF($A91="","",VLOOKUP($A91,'sviluppo p. amm.to'!$B$6:$R$152,5,0))</f>
        <v/>
      </c>
      <c r="E91" s="86" t="str">
        <f>IF($A91="","",VLOOKUP($A91,'sviluppo p. amm.to'!$B$6:$R$152,7,0))</f>
        <v/>
      </c>
      <c r="F91" s="87" t="str">
        <f>IF($A91="","",VLOOKUP($A91,'sviluppo p. amm.to'!$B$6:$R$152,9,0))</f>
        <v/>
      </c>
    </row>
    <row r="92" spans="1:6" ht="14.25">
      <c r="A92" s="85" t="str">
        <f>IF('sviluppo p. amm.to'!A91&gt;calcoli!$C$11,"",'sviluppo p. amm.to'!A91)</f>
        <v/>
      </c>
      <c r="B92" s="86" t="str">
        <f>IF($A92="","",VLOOKUP($A92,'sviluppo p. amm.to'!$B$6:$R$152,3,0))</f>
        <v/>
      </c>
      <c r="C92" s="86" t="str">
        <f>IF($A92="","",calcoli!$C$37)</f>
        <v/>
      </c>
      <c r="D92" s="86" t="str">
        <f>IF($A92="","",VLOOKUP($A92,'sviluppo p. amm.to'!$B$6:$R$152,5,0))</f>
        <v/>
      </c>
      <c r="E92" s="86" t="str">
        <f>IF($A92="","",VLOOKUP($A92,'sviluppo p. amm.to'!$B$6:$R$152,7,0))</f>
        <v/>
      </c>
      <c r="F92" s="87" t="str">
        <f>IF($A92="","",VLOOKUP($A92,'sviluppo p. amm.to'!$B$6:$R$152,9,0))</f>
        <v/>
      </c>
    </row>
    <row r="93" spans="1:6" ht="14.25">
      <c r="A93" s="85" t="str">
        <f>IF('sviluppo p. amm.to'!A92&gt;calcoli!$C$11,"",'sviluppo p. amm.to'!A92)</f>
        <v/>
      </c>
      <c r="B93" s="86" t="str">
        <f>IF($A93="","",VLOOKUP($A93,'sviluppo p. amm.to'!$B$6:$R$152,3,0))</f>
        <v/>
      </c>
      <c r="C93" s="86" t="str">
        <f>IF($A93="","",calcoli!$C$37)</f>
        <v/>
      </c>
      <c r="D93" s="86" t="str">
        <f>IF($A93="","",VLOOKUP($A93,'sviluppo p. amm.to'!$B$6:$R$152,5,0))</f>
        <v/>
      </c>
      <c r="E93" s="86" t="str">
        <f>IF($A93="","",VLOOKUP($A93,'sviluppo p. amm.to'!$B$6:$R$152,7,0))</f>
        <v/>
      </c>
      <c r="F93" s="87" t="str">
        <f>IF($A93="","",VLOOKUP($A93,'sviluppo p. amm.to'!$B$6:$R$152,9,0))</f>
        <v/>
      </c>
    </row>
    <row r="94" spans="1:6" ht="14.25">
      <c r="A94" s="85" t="str">
        <f>IF('sviluppo p. amm.to'!A93&gt;calcoli!$C$11,"",'sviluppo p. amm.to'!A93)</f>
        <v/>
      </c>
      <c r="B94" s="86" t="str">
        <f>IF($A94="","",VLOOKUP($A94,'sviluppo p. amm.to'!$B$6:$R$152,3,0))</f>
        <v/>
      </c>
      <c r="C94" s="86" t="str">
        <f>IF($A94="","",calcoli!$C$37)</f>
        <v/>
      </c>
      <c r="D94" s="86" t="str">
        <f>IF($A94="","",VLOOKUP($A94,'sviluppo p. amm.to'!$B$6:$R$152,5,0))</f>
        <v/>
      </c>
      <c r="E94" s="86" t="str">
        <f>IF($A94="","",VLOOKUP($A94,'sviluppo p. amm.to'!$B$6:$R$152,7,0))</f>
        <v/>
      </c>
      <c r="F94" s="87" t="str">
        <f>IF($A94="","",VLOOKUP($A94,'sviluppo p. amm.to'!$B$6:$R$152,9,0))</f>
        <v/>
      </c>
    </row>
    <row r="95" spans="1:6" ht="14.25">
      <c r="A95" s="85" t="str">
        <f>IF('sviluppo p. amm.to'!A94&gt;calcoli!$C$11,"",'sviluppo p. amm.to'!A94)</f>
        <v/>
      </c>
      <c r="B95" s="86" t="str">
        <f>IF($A95="","",VLOOKUP($A95,'sviluppo p. amm.to'!$B$6:$R$152,3,0))</f>
        <v/>
      </c>
      <c r="C95" s="86" t="str">
        <f>IF($A95="","",calcoli!$C$37)</f>
        <v/>
      </c>
      <c r="D95" s="86" t="str">
        <f>IF($A95="","",VLOOKUP($A95,'sviluppo p. amm.to'!$B$6:$R$152,5,0))</f>
        <v/>
      </c>
      <c r="E95" s="86" t="str">
        <f>IF($A95="","",VLOOKUP($A95,'sviluppo p. amm.to'!$B$6:$R$152,7,0))</f>
        <v/>
      </c>
      <c r="F95" s="87" t="str">
        <f>IF($A95="","",VLOOKUP($A95,'sviluppo p. amm.to'!$B$6:$R$152,9,0))</f>
        <v/>
      </c>
    </row>
    <row r="96" spans="1:6" ht="14.25">
      <c r="A96" s="85" t="str">
        <f>IF('sviluppo p. amm.to'!A95&gt;calcoli!$C$11,"",'sviluppo p. amm.to'!A95)</f>
        <v/>
      </c>
      <c r="B96" s="86" t="str">
        <f>IF($A96="","",VLOOKUP($A96,'sviluppo p. amm.to'!$B$6:$R$152,3,0))</f>
        <v/>
      </c>
      <c r="C96" s="86" t="str">
        <f>IF($A96="","",calcoli!$C$37)</f>
        <v/>
      </c>
      <c r="D96" s="86" t="str">
        <f>IF($A96="","",VLOOKUP($A96,'sviluppo p. amm.to'!$B$6:$R$152,5,0))</f>
        <v/>
      </c>
      <c r="E96" s="86" t="str">
        <f>IF($A96="","",VLOOKUP($A96,'sviluppo p. amm.to'!$B$6:$R$152,7,0))</f>
        <v/>
      </c>
      <c r="F96" s="87" t="str">
        <f>IF($A96="","",VLOOKUP($A96,'sviluppo p. amm.to'!$B$6:$R$152,9,0))</f>
        <v/>
      </c>
    </row>
    <row r="97" spans="1:6" ht="14.25">
      <c r="A97" s="85" t="str">
        <f>IF('sviluppo p. amm.to'!A96&gt;calcoli!$C$11,"",'sviluppo p. amm.to'!A96)</f>
        <v/>
      </c>
      <c r="B97" s="86" t="str">
        <f>IF($A97="","",VLOOKUP($A97,'sviluppo p. amm.to'!$B$6:$R$152,3,0))</f>
        <v/>
      </c>
      <c r="C97" s="86" t="str">
        <f>IF($A97="","",calcoli!$C$37)</f>
        <v/>
      </c>
      <c r="D97" s="86" t="str">
        <f>IF($A97="","",VLOOKUP($A97,'sviluppo p. amm.to'!$B$6:$R$152,5,0))</f>
        <v/>
      </c>
      <c r="E97" s="86" t="str">
        <f>IF($A97="","",VLOOKUP($A97,'sviluppo p. amm.to'!$B$6:$R$152,7,0))</f>
        <v/>
      </c>
      <c r="F97" s="87" t="str">
        <f>IF($A97="","",VLOOKUP($A97,'sviluppo p. amm.to'!$B$6:$R$152,9,0))</f>
        <v/>
      </c>
    </row>
    <row r="98" spans="1:6" ht="14.25">
      <c r="A98" s="85" t="str">
        <f>IF('sviluppo p. amm.to'!A97&gt;calcoli!$C$11,"",'sviluppo p. amm.to'!A97)</f>
        <v/>
      </c>
      <c r="B98" s="86" t="str">
        <f>IF($A98="","",VLOOKUP($A98,'sviluppo p. amm.to'!$B$6:$R$152,3,0))</f>
        <v/>
      </c>
      <c r="C98" s="86" t="str">
        <f>IF($A98="","",calcoli!$C$37)</f>
        <v/>
      </c>
      <c r="D98" s="86" t="str">
        <f>IF($A98="","",VLOOKUP($A98,'sviluppo p. amm.to'!$B$6:$R$152,5,0))</f>
        <v/>
      </c>
      <c r="E98" s="86" t="str">
        <f>IF($A98="","",VLOOKUP($A98,'sviluppo p. amm.to'!$B$6:$R$152,7,0))</f>
        <v/>
      </c>
      <c r="F98" s="87" t="str">
        <f>IF($A98="","",VLOOKUP($A98,'sviluppo p. amm.to'!$B$6:$R$152,9,0))</f>
        <v/>
      </c>
    </row>
    <row r="99" spans="1:6" ht="14.25">
      <c r="A99" s="85" t="str">
        <f>IF('sviluppo p. amm.to'!A98&gt;calcoli!$C$11,"",'sviluppo p. amm.to'!A98)</f>
        <v/>
      </c>
      <c r="B99" s="86" t="str">
        <f>IF($A99="","",VLOOKUP($A99,'sviluppo p. amm.to'!$B$6:$R$152,3,0))</f>
        <v/>
      </c>
      <c r="C99" s="86" t="str">
        <f>IF($A99="","",calcoli!$C$37)</f>
        <v/>
      </c>
      <c r="D99" s="86" t="str">
        <f>IF($A99="","",VLOOKUP($A99,'sviluppo p. amm.to'!$B$6:$R$152,5,0))</f>
        <v/>
      </c>
      <c r="E99" s="86" t="str">
        <f>IF($A99="","",VLOOKUP($A99,'sviluppo p. amm.to'!$B$6:$R$152,7,0))</f>
        <v/>
      </c>
      <c r="F99" s="87" t="str">
        <f>IF($A99="","",VLOOKUP($A99,'sviluppo p. amm.to'!$B$6:$R$152,9,0))</f>
        <v/>
      </c>
    </row>
    <row r="100" spans="1:6" ht="14.25">
      <c r="A100" s="85" t="str">
        <f>IF('sviluppo p. amm.to'!A99&gt;calcoli!$C$11,"",'sviluppo p. amm.to'!A99)</f>
        <v/>
      </c>
      <c r="B100" s="86" t="str">
        <f>IF($A100="","",VLOOKUP($A100,'sviluppo p. amm.to'!$B$6:$R$152,3,0))</f>
        <v/>
      </c>
      <c r="C100" s="86" t="str">
        <f>IF($A100="","",calcoli!$C$37)</f>
        <v/>
      </c>
      <c r="D100" s="86" t="str">
        <f>IF($A100="","",VLOOKUP($A100,'sviluppo p. amm.to'!$B$6:$R$152,5,0))</f>
        <v/>
      </c>
      <c r="E100" s="86" t="str">
        <f>IF($A100="","",VLOOKUP($A100,'sviluppo p. amm.to'!$B$6:$R$152,7,0))</f>
        <v/>
      </c>
      <c r="F100" s="87" t="str">
        <f>IF($A100="","",VLOOKUP($A100,'sviluppo p. amm.to'!$B$6:$R$152,9,0))</f>
        <v/>
      </c>
    </row>
    <row r="101" spans="1:6" ht="14.25">
      <c r="A101" s="85" t="str">
        <f>IF('sviluppo p. amm.to'!A100&gt;calcoli!$C$11,"",'sviluppo p. amm.to'!A100)</f>
        <v/>
      </c>
      <c r="B101" s="86" t="str">
        <f>IF($A101="","",VLOOKUP($A101,'sviluppo p. amm.to'!$B$6:$R$152,3,0))</f>
        <v/>
      </c>
      <c r="C101" s="86" t="str">
        <f>IF($A101="","",calcoli!$C$37)</f>
        <v/>
      </c>
      <c r="D101" s="86" t="str">
        <f>IF($A101="","",VLOOKUP($A101,'sviluppo p. amm.to'!$B$6:$R$152,5,0))</f>
        <v/>
      </c>
      <c r="E101" s="86" t="str">
        <f>IF($A101="","",VLOOKUP($A101,'sviluppo p. amm.to'!$B$6:$R$152,7,0))</f>
        <v/>
      </c>
      <c r="F101" s="87" t="str">
        <f>IF($A101="","",VLOOKUP($A101,'sviluppo p. amm.to'!$B$6:$R$152,9,0))</f>
        <v/>
      </c>
    </row>
    <row r="102" spans="1:6" ht="14.25">
      <c r="A102" s="85" t="str">
        <f>IF('sviluppo p. amm.to'!A101&gt;calcoli!$C$11,"",'sviluppo p. amm.to'!A101)</f>
        <v/>
      </c>
      <c r="B102" s="86" t="str">
        <f>IF($A102="","",VLOOKUP($A102,'sviluppo p. amm.to'!$B$6:$R$152,3,0))</f>
        <v/>
      </c>
      <c r="C102" s="86" t="str">
        <f>IF($A102="","",calcoli!$C$37)</f>
        <v/>
      </c>
      <c r="D102" s="86" t="str">
        <f>IF($A102="","",VLOOKUP($A102,'sviluppo p. amm.to'!$B$6:$R$152,5,0))</f>
        <v/>
      </c>
      <c r="E102" s="86" t="str">
        <f>IF($A102="","",VLOOKUP($A102,'sviluppo p. amm.to'!$B$6:$R$152,7,0))</f>
        <v/>
      </c>
      <c r="F102" s="87" t="str">
        <f>IF($A102="","",VLOOKUP($A102,'sviluppo p. amm.to'!$B$6:$R$152,9,0))</f>
        <v/>
      </c>
    </row>
    <row r="103" spans="1:6" ht="14.25">
      <c r="A103" s="85" t="str">
        <f>IF('sviluppo p. amm.to'!A102&gt;calcoli!$C$11,"",'sviluppo p. amm.to'!A102)</f>
        <v/>
      </c>
      <c r="B103" s="86" t="str">
        <f>IF($A103="","",VLOOKUP($A103,'sviluppo p. amm.to'!$B$6:$R$152,3,0))</f>
        <v/>
      </c>
      <c r="C103" s="86" t="str">
        <f>IF($A103="","",calcoli!$C$37)</f>
        <v/>
      </c>
      <c r="D103" s="86" t="str">
        <f>IF($A103="","",VLOOKUP($A103,'sviluppo p. amm.to'!$B$6:$R$152,5,0))</f>
        <v/>
      </c>
      <c r="E103" s="86" t="str">
        <f>IF($A103="","",VLOOKUP($A103,'sviluppo p. amm.to'!$B$6:$R$152,7,0))</f>
        <v/>
      </c>
      <c r="F103" s="87" t="str">
        <f>IF($A103="","",VLOOKUP($A103,'sviluppo p. amm.to'!$B$6:$R$152,9,0))</f>
        <v/>
      </c>
    </row>
    <row r="104" spans="1:6" ht="14.25">
      <c r="A104" s="85" t="str">
        <f>IF('sviluppo p. amm.to'!A103&gt;calcoli!$C$11,"",'sviluppo p. amm.to'!A103)</f>
        <v/>
      </c>
      <c r="B104" s="86" t="str">
        <f>IF($A104="","",VLOOKUP($A104,'sviluppo p. amm.to'!$B$6:$R$152,3,0))</f>
        <v/>
      </c>
      <c r="C104" s="86" t="str">
        <f>IF($A104="","",calcoli!$C$37)</f>
        <v/>
      </c>
      <c r="D104" s="86" t="str">
        <f>IF($A104="","",VLOOKUP($A104,'sviluppo p. amm.to'!$B$6:$R$152,5,0))</f>
        <v/>
      </c>
      <c r="E104" s="86" t="str">
        <f>IF($A104="","",VLOOKUP($A104,'sviluppo p. amm.to'!$B$6:$R$152,7,0))</f>
        <v/>
      </c>
      <c r="F104" s="87" t="str">
        <f>IF($A104="","",VLOOKUP($A104,'sviluppo p. amm.to'!$B$6:$R$152,9,0))</f>
        <v/>
      </c>
    </row>
    <row r="105" spans="1:6" ht="14.25">
      <c r="A105" s="85" t="str">
        <f>IF('sviluppo p. amm.to'!A104&gt;calcoli!$C$11,"",'sviluppo p. amm.to'!A104)</f>
        <v/>
      </c>
      <c r="B105" s="86" t="str">
        <f>IF($A105="","",VLOOKUP($A105,'sviluppo p. amm.to'!$B$6:$R$152,3,0))</f>
        <v/>
      </c>
      <c r="C105" s="86" t="str">
        <f>IF($A105="","",calcoli!$C$37)</f>
        <v/>
      </c>
      <c r="D105" s="86" t="str">
        <f>IF($A105="","",VLOOKUP($A105,'sviluppo p. amm.to'!$B$6:$R$152,5,0))</f>
        <v/>
      </c>
      <c r="E105" s="86" t="str">
        <f>IF($A105="","",VLOOKUP($A105,'sviluppo p. amm.to'!$B$6:$R$152,7,0))</f>
        <v/>
      </c>
      <c r="F105" s="87" t="str">
        <f>IF($A105="","",VLOOKUP($A105,'sviluppo p. amm.to'!$B$6:$R$152,9,0))</f>
        <v/>
      </c>
    </row>
    <row r="106" spans="1:6" ht="14.25">
      <c r="A106" s="85" t="str">
        <f>IF('sviluppo p. amm.to'!A105&gt;calcoli!$C$11,"",'sviluppo p. amm.to'!A105)</f>
        <v/>
      </c>
      <c r="B106" s="86" t="str">
        <f>IF($A106="","",VLOOKUP($A106,'sviluppo p. amm.to'!$B$6:$R$152,3,0))</f>
        <v/>
      </c>
      <c r="C106" s="86" t="str">
        <f>IF($A106="","",calcoli!$C$37)</f>
        <v/>
      </c>
      <c r="D106" s="86" t="str">
        <f>IF($A106="","",VLOOKUP($A106,'sviluppo p. amm.to'!$B$6:$R$152,5,0))</f>
        <v/>
      </c>
      <c r="E106" s="86" t="str">
        <f>IF($A106="","",VLOOKUP($A106,'sviluppo p. amm.to'!$B$6:$R$152,7,0))</f>
        <v/>
      </c>
      <c r="F106" s="87" t="str">
        <f>IF($A106="","",VLOOKUP($A106,'sviluppo p. amm.to'!$B$6:$R$152,9,0))</f>
        <v/>
      </c>
    </row>
    <row r="107" spans="1:6" ht="14.25">
      <c r="A107" s="85" t="str">
        <f>IF('sviluppo p. amm.to'!A106&gt;calcoli!$C$11,"",'sviluppo p. amm.to'!A106)</f>
        <v/>
      </c>
      <c r="B107" s="86" t="str">
        <f>IF($A107="","",VLOOKUP($A107,'sviluppo p. amm.to'!$B$6:$R$152,3,0))</f>
        <v/>
      </c>
      <c r="C107" s="86" t="str">
        <f>IF($A107="","",calcoli!$C$37)</f>
        <v/>
      </c>
      <c r="D107" s="86" t="str">
        <f>IF($A107="","",VLOOKUP($A107,'sviluppo p. amm.to'!$B$6:$R$152,5,0))</f>
        <v/>
      </c>
      <c r="E107" s="86" t="str">
        <f>IF($A107="","",VLOOKUP($A107,'sviluppo p. amm.to'!$B$6:$R$152,7,0))</f>
        <v/>
      </c>
      <c r="F107" s="87" t="str">
        <f>IF($A107="","",VLOOKUP($A107,'sviluppo p. amm.to'!$B$6:$R$152,9,0))</f>
        <v/>
      </c>
    </row>
    <row r="108" spans="1:6" ht="14.25">
      <c r="A108" s="85" t="str">
        <f>IF('sviluppo p. amm.to'!A107&gt;calcoli!$C$11,"",'sviluppo p. amm.to'!A107)</f>
        <v/>
      </c>
      <c r="B108" s="86" t="str">
        <f>IF($A108="","",VLOOKUP($A108,'sviluppo p. amm.to'!$B$6:$R$152,3,0))</f>
        <v/>
      </c>
      <c r="C108" s="86" t="str">
        <f>IF($A108="","",calcoli!$C$37)</f>
        <v/>
      </c>
      <c r="D108" s="86" t="str">
        <f>IF($A108="","",VLOOKUP($A108,'sviluppo p. amm.to'!$B$6:$R$152,5,0))</f>
        <v/>
      </c>
      <c r="E108" s="86" t="str">
        <f>IF($A108="","",VLOOKUP($A108,'sviluppo p. amm.to'!$B$6:$R$152,7,0))</f>
        <v/>
      </c>
      <c r="F108" s="87" t="str">
        <f>IF($A108="","",VLOOKUP($A108,'sviluppo p. amm.to'!$B$6:$R$152,9,0))</f>
        <v/>
      </c>
    </row>
    <row r="109" spans="1:6" ht="14.25">
      <c r="A109" s="85" t="str">
        <f>IF('sviluppo p. amm.to'!A108&gt;calcoli!$C$11,"",'sviluppo p. amm.to'!A108)</f>
        <v/>
      </c>
      <c r="B109" s="86" t="str">
        <f>IF($A109="","",VLOOKUP($A109,'sviluppo p. amm.to'!$B$6:$R$152,3,0))</f>
        <v/>
      </c>
      <c r="C109" s="86" t="str">
        <f>IF($A109="","",calcoli!$C$37)</f>
        <v/>
      </c>
      <c r="D109" s="86" t="str">
        <f>IF($A109="","",VLOOKUP($A109,'sviluppo p. amm.to'!$B$6:$R$152,5,0))</f>
        <v/>
      </c>
      <c r="E109" s="86" t="str">
        <f>IF($A109="","",VLOOKUP($A109,'sviluppo p. amm.to'!$B$6:$R$152,7,0))</f>
        <v/>
      </c>
      <c r="F109" s="87" t="str">
        <f>IF($A109="","",VLOOKUP($A109,'sviluppo p. amm.to'!$B$6:$R$152,9,0))</f>
        <v/>
      </c>
    </row>
    <row r="110" spans="1:6" ht="14.25">
      <c r="A110" s="85" t="str">
        <f>IF('sviluppo p. amm.to'!A109&gt;calcoli!$C$11,"",'sviluppo p. amm.to'!A109)</f>
        <v/>
      </c>
      <c r="B110" s="86" t="str">
        <f>IF($A110="","",VLOOKUP($A110,'sviluppo p. amm.to'!$B$6:$R$152,3,0))</f>
        <v/>
      </c>
      <c r="C110" s="86" t="str">
        <f>IF($A110="","",calcoli!$C$37)</f>
        <v/>
      </c>
      <c r="D110" s="86" t="str">
        <f>IF($A110="","",VLOOKUP($A110,'sviluppo p. amm.to'!$B$6:$R$152,5,0))</f>
        <v/>
      </c>
      <c r="E110" s="86" t="str">
        <f>IF($A110="","",VLOOKUP($A110,'sviluppo p. amm.to'!$B$6:$R$152,7,0))</f>
        <v/>
      </c>
      <c r="F110" s="87" t="str">
        <f>IF($A110="","",VLOOKUP($A110,'sviluppo p. amm.to'!$B$6:$R$152,9,0))</f>
        <v/>
      </c>
    </row>
    <row r="111" spans="1:6" ht="14.25">
      <c r="A111" s="85" t="str">
        <f>IF('sviluppo p. amm.to'!A110&gt;calcoli!$C$11,"",'sviluppo p. amm.to'!A110)</f>
        <v/>
      </c>
      <c r="B111" s="86" t="str">
        <f>IF($A111="","",VLOOKUP($A111,'sviluppo p. amm.to'!$B$6:$R$152,3,0))</f>
        <v/>
      </c>
      <c r="C111" s="86" t="str">
        <f>IF($A111="","",calcoli!$C$37)</f>
        <v/>
      </c>
      <c r="D111" s="86" t="str">
        <f>IF($A111="","",VLOOKUP($A111,'sviluppo p. amm.to'!$B$6:$R$152,5,0))</f>
        <v/>
      </c>
      <c r="E111" s="86" t="str">
        <f>IF($A111="","",VLOOKUP($A111,'sviluppo p. amm.to'!$B$6:$R$152,7,0))</f>
        <v/>
      </c>
      <c r="F111" s="87" t="str">
        <f>IF($A111="","",VLOOKUP($A111,'sviluppo p. amm.to'!$B$6:$R$152,9,0))</f>
        <v/>
      </c>
    </row>
    <row r="112" spans="1:6" ht="14.25">
      <c r="A112" s="85" t="str">
        <f>IF('sviluppo p. amm.to'!A111&gt;calcoli!$C$11,"",'sviluppo p. amm.to'!A111)</f>
        <v/>
      </c>
      <c r="B112" s="86" t="str">
        <f>IF($A112="","",VLOOKUP($A112,'sviluppo p. amm.to'!$B$6:$R$152,3,0))</f>
        <v/>
      </c>
      <c r="C112" s="86" t="str">
        <f>IF($A112="","",calcoli!$C$37)</f>
        <v/>
      </c>
      <c r="D112" s="86" t="str">
        <f>IF($A112="","",VLOOKUP($A112,'sviluppo p. amm.to'!$B$6:$R$152,5,0))</f>
        <v/>
      </c>
      <c r="E112" s="86" t="str">
        <f>IF($A112="","",VLOOKUP($A112,'sviluppo p. amm.to'!$B$6:$R$152,7,0))</f>
        <v/>
      </c>
      <c r="F112" s="87" t="str">
        <f>IF($A112="","",VLOOKUP($A112,'sviluppo p. amm.to'!$B$6:$R$152,9,0))</f>
        <v/>
      </c>
    </row>
    <row r="113" spans="1:6" ht="14.25">
      <c r="A113" s="85" t="str">
        <f>IF('sviluppo p. amm.to'!A112&gt;calcoli!$C$11,"",'sviluppo p. amm.to'!A112)</f>
        <v/>
      </c>
      <c r="B113" s="86" t="str">
        <f>IF($A113="","",VLOOKUP($A113,'sviluppo p. amm.to'!$B$6:$R$152,3,0))</f>
        <v/>
      </c>
      <c r="C113" s="86" t="str">
        <f>IF($A113="","",calcoli!$C$37)</f>
        <v/>
      </c>
      <c r="D113" s="86" t="str">
        <f>IF($A113="","",VLOOKUP($A113,'sviluppo p. amm.to'!$B$6:$R$152,5,0))</f>
        <v/>
      </c>
      <c r="E113" s="86" t="str">
        <f>IF($A113="","",VLOOKUP($A113,'sviluppo p. amm.to'!$B$6:$R$152,7,0))</f>
        <v/>
      </c>
      <c r="F113" s="87" t="str">
        <f>IF($A113="","",VLOOKUP($A113,'sviluppo p. amm.to'!$B$6:$R$152,9,0))</f>
        <v/>
      </c>
    </row>
    <row r="114" spans="1:6" ht="14.25">
      <c r="A114" s="85" t="str">
        <f>IF('sviluppo p. amm.to'!A113&gt;calcoli!$C$11,"",'sviluppo p. amm.to'!A113)</f>
        <v/>
      </c>
      <c r="B114" s="86" t="str">
        <f>IF($A114="","",VLOOKUP($A114,'sviluppo p. amm.to'!$B$6:$R$152,3,0))</f>
        <v/>
      </c>
      <c r="C114" s="86" t="str">
        <f>IF($A114="","",calcoli!$C$37)</f>
        <v/>
      </c>
      <c r="D114" s="86" t="str">
        <f>IF($A114="","",VLOOKUP($A114,'sviluppo p. amm.to'!$B$6:$R$152,5,0))</f>
        <v/>
      </c>
      <c r="E114" s="86" t="str">
        <f>IF($A114="","",VLOOKUP($A114,'sviluppo p. amm.to'!$B$6:$R$152,7,0))</f>
        <v/>
      </c>
      <c r="F114" s="87" t="str">
        <f>IF($A114="","",VLOOKUP($A114,'sviluppo p. amm.to'!$B$6:$R$152,9,0))</f>
        <v/>
      </c>
    </row>
    <row r="115" spans="1:6" ht="14.25">
      <c r="A115" s="85" t="str">
        <f>IF('sviluppo p. amm.to'!A114&gt;calcoli!$C$11,"",'sviluppo p. amm.to'!A114)</f>
        <v/>
      </c>
      <c r="B115" s="86" t="str">
        <f>IF($A115="","",VLOOKUP($A115,'sviluppo p. amm.to'!$B$6:$R$152,3,0))</f>
        <v/>
      </c>
      <c r="C115" s="86" t="str">
        <f>IF($A115="","",calcoli!$C$37)</f>
        <v/>
      </c>
      <c r="D115" s="86" t="str">
        <f>IF($A115="","",VLOOKUP($A115,'sviluppo p. amm.to'!$B$6:$R$152,5,0))</f>
        <v/>
      </c>
      <c r="E115" s="86" t="str">
        <f>IF($A115="","",VLOOKUP($A115,'sviluppo p. amm.to'!$B$6:$R$152,7,0))</f>
        <v/>
      </c>
      <c r="F115" s="87" t="str">
        <f>IF($A115="","",VLOOKUP($A115,'sviluppo p. amm.to'!$B$6:$R$152,9,0))</f>
        <v/>
      </c>
    </row>
    <row r="116" spans="1:6" ht="14.25">
      <c r="A116" s="85" t="str">
        <f>IF('sviluppo p. amm.to'!A115&gt;calcoli!$C$11,"",'sviluppo p. amm.to'!A115)</f>
        <v/>
      </c>
      <c r="B116" s="86" t="str">
        <f>IF($A116="","",VLOOKUP($A116,'sviluppo p. amm.to'!$B$6:$R$152,3,0))</f>
        <v/>
      </c>
      <c r="C116" s="86" t="str">
        <f>IF($A116="","",calcoli!$C$37)</f>
        <v/>
      </c>
      <c r="D116" s="86" t="str">
        <f>IF($A116="","",VLOOKUP($A116,'sviluppo p. amm.to'!$B$6:$R$152,5,0))</f>
        <v/>
      </c>
      <c r="E116" s="86" t="str">
        <f>IF($A116="","",VLOOKUP($A116,'sviluppo p. amm.to'!$B$6:$R$152,7,0))</f>
        <v/>
      </c>
      <c r="F116" s="87" t="str">
        <f>IF($A116="","",VLOOKUP($A116,'sviluppo p. amm.to'!$B$6:$R$152,9,0))</f>
        <v/>
      </c>
    </row>
    <row r="117" spans="1:6" ht="14.25">
      <c r="A117" s="85" t="str">
        <f>IF('sviluppo p. amm.to'!A116&gt;calcoli!$C$11,"",'sviluppo p. amm.to'!A116)</f>
        <v/>
      </c>
      <c r="B117" s="86" t="str">
        <f>IF($A117="","",VLOOKUP($A117,'sviluppo p. amm.to'!$B$6:$R$152,3,0))</f>
        <v/>
      </c>
      <c r="C117" s="86" t="str">
        <f>IF($A117="","",calcoli!$C$37)</f>
        <v/>
      </c>
      <c r="D117" s="86" t="str">
        <f>IF($A117="","",VLOOKUP($A117,'sviluppo p. amm.to'!$B$6:$R$152,5,0))</f>
        <v/>
      </c>
      <c r="E117" s="86" t="str">
        <f>IF($A117="","",VLOOKUP($A117,'sviluppo p. amm.to'!$B$6:$R$152,7,0))</f>
        <v/>
      </c>
      <c r="F117" s="87" t="str">
        <f>IF($A117="","",VLOOKUP($A117,'sviluppo p. amm.to'!$B$6:$R$152,9,0))</f>
        <v/>
      </c>
    </row>
    <row r="118" spans="1:6" ht="14.25">
      <c r="A118" s="85" t="str">
        <f>IF('sviluppo p. amm.to'!A117&gt;calcoli!$C$11,"",'sviluppo p. amm.to'!A117)</f>
        <v/>
      </c>
      <c r="B118" s="86" t="str">
        <f>IF($A118="","",VLOOKUP($A118,'sviluppo p. amm.to'!$B$6:$R$152,3,0))</f>
        <v/>
      </c>
      <c r="C118" s="86" t="str">
        <f>IF($A118="","",calcoli!$C$37)</f>
        <v/>
      </c>
      <c r="D118" s="86" t="str">
        <f>IF($A118="","",VLOOKUP($A118,'sviluppo p. amm.to'!$B$6:$R$152,5,0))</f>
        <v/>
      </c>
      <c r="E118" s="86" t="str">
        <f>IF($A118="","",VLOOKUP($A118,'sviluppo p. amm.to'!$B$6:$R$152,7,0))</f>
        <v/>
      </c>
      <c r="F118" s="87" t="str">
        <f>IF($A118="","",VLOOKUP($A118,'sviluppo p. amm.to'!$B$6:$R$152,9,0))</f>
        <v/>
      </c>
    </row>
    <row r="119" spans="1:6" ht="14.25">
      <c r="A119" s="85" t="str">
        <f>IF('sviluppo p. amm.to'!A118&gt;calcoli!$C$11,"",'sviluppo p. amm.to'!A118)</f>
        <v/>
      </c>
      <c r="B119" s="86" t="str">
        <f>IF($A119="","",VLOOKUP($A119,'sviluppo p. amm.to'!$B$6:$R$152,3,0))</f>
        <v/>
      </c>
      <c r="C119" s="86" t="str">
        <f>IF($A119="","",calcoli!$C$37)</f>
        <v/>
      </c>
      <c r="D119" s="86" t="str">
        <f>IF($A119="","",VLOOKUP($A119,'sviluppo p. amm.to'!$B$6:$R$152,5,0))</f>
        <v/>
      </c>
      <c r="E119" s="86" t="str">
        <f>IF($A119="","",VLOOKUP($A119,'sviluppo p. amm.to'!$B$6:$R$152,7,0))</f>
        <v/>
      </c>
      <c r="F119" s="87" t="str">
        <f>IF($A119="","",VLOOKUP($A119,'sviluppo p. amm.to'!$B$6:$R$152,9,0))</f>
        <v/>
      </c>
    </row>
    <row r="120" spans="1:6" ht="14.25">
      <c r="A120" s="85" t="str">
        <f>IF('sviluppo p. amm.to'!A119&gt;calcoli!$C$11,"",'sviluppo p. amm.to'!A119)</f>
        <v/>
      </c>
      <c r="B120" s="86" t="str">
        <f>IF($A120="","",VLOOKUP($A120,'sviluppo p. amm.to'!$B$6:$R$152,3,0))</f>
        <v/>
      </c>
      <c r="C120" s="86" t="str">
        <f>IF($A120="","",calcoli!$C$37)</f>
        <v/>
      </c>
      <c r="D120" s="86" t="str">
        <f>IF($A120="","",VLOOKUP($A120,'sviluppo p. amm.to'!$B$6:$R$152,5,0))</f>
        <v/>
      </c>
      <c r="E120" s="86" t="str">
        <f>IF($A120="","",VLOOKUP($A120,'sviluppo p. amm.to'!$B$6:$R$152,7,0))</f>
        <v/>
      </c>
      <c r="F120" s="87" t="str">
        <f>IF($A120="","",VLOOKUP($A120,'sviluppo p. amm.to'!$B$6:$R$152,9,0))</f>
        <v/>
      </c>
    </row>
    <row r="121" spans="1:6" ht="14.25">
      <c r="A121" s="85" t="str">
        <f>IF('sviluppo p. amm.to'!A120&gt;calcoli!$C$11,"",'sviluppo p. amm.to'!A120)</f>
        <v/>
      </c>
      <c r="B121" s="86" t="str">
        <f>IF($A121="","",VLOOKUP($A121,'sviluppo p. amm.to'!$B$6:$R$152,3,0))</f>
        <v/>
      </c>
      <c r="C121" s="86" t="str">
        <f>IF($A121="","",calcoli!$C$37)</f>
        <v/>
      </c>
      <c r="D121" s="86" t="str">
        <f>IF($A121="","",VLOOKUP($A121,'sviluppo p. amm.to'!$B$6:$R$152,5,0))</f>
        <v/>
      </c>
      <c r="E121" s="86" t="str">
        <f>IF($A121="","",VLOOKUP($A121,'sviluppo p. amm.to'!$B$6:$R$152,7,0))</f>
        <v/>
      </c>
      <c r="F121" s="87" t="str">
        <f>IF($A121="","",VLOOKUP($A121,'sviluppo p. amm.to'!$B$6:$R$152,9,0))</f>
        <v/>
      </c>
    </row>
    <row r="122" spans="1:6" ht="14.25">
      <c r="A122" s="85" t="str">
        <f>IF('sviluppo p. amm.to'!A121&gt;calcoli!$C$11,"",'sviluppo p. amm.to'!A121)</f>
        <v/>
      </c>
      <c r="B122" s="86" t="str">
        <f>IF($A122="","",VLOOKUP($A122,'sviluppo p. amm.to'!$B$6:$R$152,3,0))</f>
        <v/>
      </c>
      <c r="C122" s="86" t="str">
        <f>IF($A122="","",calcoli!$C$37)</f>
        <v/>
      </c>
      <c r="D122" s="86" t="str">
        <f>IF($A122="","",VLOOKUP($A122,'sviluppo p. amm.to'!$B$6:$R$152,5,0))</f>
        <v/>
      </c>
      <c r="E122" s="86" t="str">
        <f>IF($A122="","",VLOOKUP($A122,'sviluppo p. amm.to'!$B$6:$R$152,7,0))</f>
        <v/>
      </c>
      <c r="F122" s="87" t="str">
        <f>IF($A122="","",VLOOKUP($A122,'sviluppo p. amm.to'!$B$6:$R$152,9,0))</f>
        <v/>
      </c>
    </row>
    <row r="123" spans="1:6" ht="14.25">
      <c r="A123" s="85" t="str">
        <f>IF('sviluppo p. amm.to'!A122&gt;calcoli!$C$11,"",'sviluppo p. amm.to'!A122)</f>
        <v/>
      </c>
      <c r="B123" s="86" t="str">
        <f>IF($A123="","",VLOOKUP($A123,'sviluppo p. amm.to'!$B$6:$R$152,3,0))</f>
        <v/>
      </c>
      <c r="C123" s="86" t="str">
        <f>IF($A123="","",calcoli!$C$37)</f>
        <v/>
      </c>
      <c r="D123" s="86" t="str">
        <f>IF($A123="","",VLOOKUP($A123,'sviluppo p. amm.to'!$B$6:$R$152,5,0))</f>
        <v/>
      </c>
      <c r="E123" s="86" t="str">
        <f>IF($A123="","",VLOOKUP($A123,'sviluppo p. amm.to'!$B$6:$R$152,7,0))</f>
        <v/>
      </c>
      <c r="F123" s="87" t="str">
        <f>IF($A123="","",VLOOKUP($A123,'sviluppo p. amm.to'!$B$6:$R$152,9,0))</f>
        <v/>
      </c>
    </row>
    <row r="124" spans="1:6" ht="14.25">
      <c r="A124" s="85" t="str">
        <f>IF('sviluppo p. amm.to'!A123&gt;calcoli!$C$11,"",'sviluppo p. amm.to'!A123)</f>
        <v/>
      </c>
      <c r="B124" s="86" t="str">
        <f>IF($A124="","",VLOOKUP($A124,'sviluppo p. amm.to'!$B$6:$R$152,3,0))</f>
        <v/>
      </c>
      <c r="C124" s="86" t="str">
        <f>IF($A124="","",calcoli!$C$37)</f>
        <v/>
      </c>
      <c r="D124" s="86" t="str">
        <f>IF($A124="","",VLOOKUP($A124,'sviluppo p. amm.to'!$B$6:$R$152,5,0))</f>
        <v/>
      </c>
      <c r="E124" s="86" t="str">
        <f>IF($A124="","",VLOOKUP($A124,'sviluppo p. amm.to'!$B$6:$R$152,7,0))</f>
        <v/>
      </c>
      <c r="F124" s="87" t="str">
        <f>IF($A124="","",VLOOKUP($A124,'sviluppo p. amm.to'!$B$6:$R$152,9,0))</f>
        <v/>
      </c>
    </row>
    <row r="125" spans="1:6" ht="14.25">
      <c r="A125" s="85" t="str">
        <f>IF('sviluppo p. amm.to'!A124&gt;calcoli!$C$11,"",'sviluppo p. amm.to'!A124)</f>
        <v/>
      </c>
      <c r="B125" s="86" t="str">
        <f>IF($A125="","",VLOOKUP($A125,'sviluppo p. amm.to'!$B$6:$R$152,3,0))</f>
        <v/>
      </c>
      <c r="C125" s="86" t="str">
        <f>IF($A125="","",calcoli!$C$37)</f>
        <v/>
      </c>
      <c r="D125" s="86" t="str">
        <f>IF($A125="","",VLOOKUP($A125,'sviluppo p. amm.to'!$B$6:$R$152,5,0))</f>
        <v/>
      </c>
      <c r="E125" s="86" t="str">
        <f>IF($A125="","",VLOOKUP($A125,'sviluppo p. amm.to'!$B$6:$R$152,7,0))</f>
        <v/>
      </c>
      <c r="F125" s="87" t="str">
        <f>IF($A125="","",VLOOKUP($A125,'sviluppo p. amm.to'!$B$6:$R$152,9,0))</f>
        <v/>
      </c>
    </row>
    <row r="126" spans="1:6" ht="14.25">
      <c r="A126" s="85" t="str">
        <f>IF('sviluppo p. amm.to'!A125&gt;calcoli!$C$11,"",'sviluppo p. amm.to'!A125)</f>
        <v/>
      </c>
      <c r="B126" s="86" t="str">
        <f>IF($A126="","",VLOOKUP($A126,'sviluppo p. amm.to'!$B$6:$R$152,3,0))</f>
        <v/>
      </c>
      <c r="C126" s="86" t="str">
        <f>IF($A126="","",calcoli!$C$37)</f>
        <v/>
      </c>
      <c r="D126" s="86" t="str">
        <f>IF($A126="","",VLOOKUP($A126,'sviluppo p. amm.to'!$B$6:$R$152,5,0))</f>
        <v/>
      </c>
      <c r="E126" s="86" t="str">
        <f>IF($A126="","",VLOOKUP($A126,'sviluppo p. amm.to'!$B$6:$R$152,7,0))</f>
        <v/>
      </c>
      <c r="F126" s="87" t="str">
        <f>IF($A126="","",VLOOKUP($A126,'sviluppo p. amm.to'!$B$6:$R$152,9,0))</f>
        <v/>
      </c>
    </row>
    <row r="127" spans="1:6" ht="14.25">
      <c r="A127" s="85" t="str">
        <f>IF('sviluppo p. amm.to'!A126&gt;calcoli!$C$11,"",'sviluppo p. amm.to'!A126)</f>
        <v/>
      </c>
      <c r="B127" s="86" t="str">
        <f>IF($A127="","",VLOOKUP($A127,'sviluppo p. amm.to'!$B$6:$R$152,3,0))</f>
        <v/>
      </c>
      <c r="C127" s="86" t="str">
        <f>IF($A127="","",calcoli!$C$37)</f>
        <v/>
      </c>
      <c r="D127" s="86" t="str">
        <f>IF($A127="","",VLOOKUP($A127,'sviluppo p. amm.to'!$B$6:$R$152,5,0))</f>
        <v/>
      </c>
      <c r="E127" s="86" t="str">
        <f>IF($A127="","",VLOOKUP($A127,'sviluppo p. amm.to'!$B$6:$R$152,7,0))</f>
        <v/>
      </c>
      <c r="F127" s="87" t="str">
        <f>IF($A127="","",VLOOKUP($A127,'sviluppo p. amm.to'!$B$6:$R$152,9,0))</f>
        <v/>
      </c>
    </row>
    <row r="128" spans="1:6" ht="14.25">
      <c r="A128" s="85" t="str">
        <f>IF('sviluppo p. amm.to'!A127&gt;calcoli!$C$11,"",'sviluppo p. amm.to'!A127)</f>
        <v/>
      </c>
      <c r="B128" s="86" t="str">
        <f>IF($A128="","",VLOOKUP($A128,'sviluppo p. amm.to'!$B$6:$R$152,3,0))</f>
        <v/>
      </c>
      <c r="C128" s="86" t="str">
        <f>IF($A128="","",calcoli!$C$37)</f>
        <v/>
      </c>
      <c r="D128" s="86" t="str">
        <f>IF($A128="","",VLOOKUP($A128,'sviluppo p. amm.to'!$B$6:$R$152,5,0))</f>
        <v/>
      </c>
      <c r="E128" s="86" t="str">
        <f>IF($A128="","",VLOOKUP($A128,'sviluppo p. amm.to'!$B$6:$R$152,7,0))</f>
        <v/>
      </c>
      <c r="F128" s="87" t="str">
        <f>IF($A128="","",VLOOKUP($A128,'sviluppo p. amm.to'!$B$6:$R$152,9,0))</f>
        <v/>
      </c>
    </row>
    <row r="129" spans="1:6" ht="14.25">
      <c r="A129" s="85" t="str">
        <f>IF('sviluppo p. amm.to'!A128&gt;calcoli!$C$11,"",'sviluppo p. amm.to'!A128)</f>
        <v/>
      </c>
      <c r="B129" s="86" t="str">
        <f>IF($A129="","",VLOOKUP($A129,'sviluppo p. amm.to'!$B$6:$R$152,3,0))</f>
        <v/>
      </c>
      <c r="C129" s="86" t="str">
        <f>IF($A129="","",calcoli!$C$37)</f>
        <v/>
      </c>
      <c r="D129" s="86" t="str">
        <f>IF($A129="","",VLOOKUP($A129,'sviluppo p. amm.to'!$B$6:$R$152,5,0))</f>
        <v/>
      </c>
      <c r="E129" s="86" t="str">
        <f>IF($A129="","",VLOOKUP($A129,'sviluppo p. amm.to'!$B$6:$R$152,7,0))</f>
        <v/>
      </c>
      <c r="F129" s="87" t="str">
        <f>IF($A129="","",VLOOKUP($A129,'sviluppo p. amm.to'!$B$6:$R$152,9,0))</f>
        <v/>
      </c>
    </row>
    <row r="130" spans="1:6" ht="14.25">
      <c r="A130" s="85" t="str">
        <f>IF('sviluppo p. amm.to'!A129&gt;calcoli!$C$11,"",'sviluppo p. amm.to'!A129)</f>
        <v/>
      </c>
      <c r="B130" s="86" t="str">
        <f>IF($A130="","",VLOOKUP($A130,'sviluppo p. amm.to'!$B$6:$R$152,3,0))</f>
        <v/>
      </c>
      <c r="C130" s="86" t="str">
        <f>IF($A130="","",calcoli!$C$37)</f>
        <v/>
      </c>
      <c r="D130" s="86" t="str">
        <f>IF($A130="","",VLOOKUP($A130,'sviluppo p. amm.to'!$B$6:$R$152,5,0))</f>
        <v/>
      </c>
      <c r="E130" s="86" t="str">
        <f>IF($A130="","",VLOOKUP($A130,'sviluppo p. amm.to'!$B$6:$R$152,7,0))</f>
        <v/>
      </c>
      <c r="F130" s="87" t="str">
        <f>IF($A130="","",VLOOKUP($A130,'sviluppo p. amm.to'!$B$6:$R$152,9,0))</f>
        <v/>
      </c>
    </row>
    <row r="131" spans="1:6" ht="14.25">
      <c r="A131" s="85" t="str">
        <f>IF('sviluppo p. amm.to'!A130&gt;calcoli!$C$11,"",'sviluppo p. amm.to'!A130)</f>
        <v/>
      </c>
      <c r="B131" s="86" t="str">
        <f>IF($A131="","",VLOOKUP($A131,'sviluppo p. amm.to'!$B$6:$R$152,3,0))</f>
        <v/>
      </c>
      <c r="C131" s="86" t="str">
        <f>IF($A131="","",calcoli!$C$37)</f>
        <v/>
      </c>
      <c r="D131" s="86" t="str">
        <f>IF($A131="","",VLOOKUP($A131,'sviluppo p. amm.to'!$B$6:$R$152,5,0))</f>
        <v/>
      </c>
      <c r="E131" s="86" t="str">
        <f>IF($A131="","",VLOOKUP($A131,'sviluppo p. amm.to'!$B$6:$R$152,7,0))</f>
        <v/>
      </c>
      <c r="F131" s="87" t="str">
        <f>IF($A131="","",VLOOKUP($A131,'sviluppo p. amm.to'!$B$6:$R$152,9,0))</f>
        <v/>
      </c>
    </row>
    <row r="132" spans="1:6" ht="14.25">
      <c r="A132" s="85" t="str">
        <f>IF('sviluppo p. amm.to'!A131&gt;calcoli!$C$11,"",'sviluppo p. amm.to'!A131)</f>
        <v/>
      </c>
      <c r="B132" s="86" t="str">
        <f>IF($A132="","",VLOOKUP($A132,'sviluppo p. amm.to'!$B$6:$R$152,3,0))</f>
        <v/>
      </c>
      <c r="C132" s="86" t="str">
        <f>IF($A132="","",calcoli!$C$37)</f>
        <v/>
      </c>
      <c r="D132" s="86" t="str">
        <f>IF($A132="","",VLOOKUP($A132,'sviluppo p. amm.to'!$B$6:$R$152,5,0))</f>
        <v/>
      </c>
      <c r="E132" s="86" t="str">
        <f>IF($A132="","",VLOOKUP($A132,'sviluppo p. amm.to'!$B$6:$R$152,7,0))</f>
        <v/>
      </c>
      <c r="F132" s="87" t="str">
        <f>IF($A132="","",VLOOKUP($A132,'sviluppo p. amm.to'!$B$6:$R$152,9,0))</f>
        <v/>
      </c>
    </row>
    <row r="133" spans="1:6" ht="14.25">
      <c r="A133" s="85" t="str">
        <f>IF('sviluppo p. amm.to'!A132&gt;calcoli!$C$11,"",'sviluppo p. amm.to'!A132)</f>
        <v/>
      </c>
      <c r="B133" s="86" t="str">
        <f>IF($A133="","",VLOOKUP($A133,'sviluppo p. amm.to'!$B$6:$R$152,3,0))</f>
        <v/>
      </c>
      <c r="C133" s="86" t="str">
        <f>IF($A133="","",calcoli!$C$37)</f>
        <v/>
      </c>
      <c r="D133" s="86" t="str">
        <f>IF($A133="","",VLOOKUP($A133,'sviluppo p. amm.to'!$B$6:$R$152,5,0))</f>
        <v/>
      </c>
      <c r="E133" s="86" t="str">
        <f>IF($A133="","",VLOOKUP($A133,'sviluppo p. amm.to'!$B$6:$R$152,7,0))</f>
        <v/>
      </c>
      <c r="F133" s="87" t="str">
        <f>IF($A133="","",VLOOKUP($A133,'sviluppo p. amm.to'!$B$6:$R$152,9,0))</f>
        <v/>
      </c>
    </row>
    <row r="134" spans="1:6" ht="14.25">
      <c r="A134" s="85" t="str">
        <f>IF('sviluppo p. amm.to'!A133&gt;calcoli!$C$11,"",'sviluppo p. amm.to'!A133)</f>
        <v/>
      </c>
      <c r="B134" s="86" t="str">
        <f>IF($A134="","",VLOOKUP($A134,'sviluppo p. amm.to'!$B$6:$R$152,3,0))</f>
        <v/>
      </c>
      <c r="C134" s="86" t="str">
        <f>IF($A134="","",calcoli!$C$37)</f>
        <v/>
      </c>
      <c r="D134" s="86" t="str">
        <f>IF($A134="","",VLOOKUP($A134,'sviluppo p. amm.to'!$B$6:$R$152,5,0))</f>
        <v/>
      </c>
      <c r="E134" s="86" t="str">
        <f>IF($A134="","",VLOOKUP($A134,'sviluppo p. amm.to'!$B$6:$R$152,7,0))</f>
        <v/>
      </c>
      <c r="F134" s="87" t="str">
        <f>IF($A134="","",VLOOKUP($A134,'sviluppo p. amm.to'!$B$6:$R$152,9,0))</f>
        <v/>
      </c>
    </row>
    <row r="135" spans="1:6" ht="14.25">
      <c r="A135" s="85" t="str">
        <f>IF('sviluppo p. amm.to'!A134&gt;calcoli!$C$11,"",'sviluppo p. amm.to'!A134)</f>
        <v/>
      </c>
      <c r="B135" s="86" t="str">
        <f>IF($A135="","",VLOOKUP($A135,'sviluppo p. amm.to'!$B$6:$R$152,3,0))</f>
        <v/>
      </c>
      <c r="C135" s="86" t="str">
        <f>IF($A135="","",calcoli!$C$37)</f>
        <v/>
      </c>
      <c r="D135" s="86" t="str">
        <f>IF($A135="","",VLOOKUP($A135,'sviluppo p. amm.to'!$B$6:$R$152,5,0))</f>
        <v/>
      </c>
      <c r="E135" s="86" t="str">
        <f>IF($A135="","",VLOOKUP($A135,'sviluppo p. amm.to'!$B$6:$R$152,7,0))</f>
        <v/>
      </c>
      <c r="F135" s="87" t="str">
        <f>IF($A135="","",VLOOKUP($A135,'sviluppo p. amm.to'!$B$6:$R$152,9,0))</f>
        <v/>
      </c>
    </row>
    <row r="136" spans="1:6" ht="14.25">
      <c r="A136" s="85" t="str">
        <f>IF('sviluppo p. amm.to'!A135&gt;calcoli!$C$11,"",'sviluppo p. amm.to'!A135)</f>
        <v/>
      </c>
      <c r="B136" s="86" t="str">
        <f>IF($A136="","",VLOOKUP($A136,'sviluppo p. amm.to'!$B$6:$R$152,3,0))</f>
        <v/>
      </c>
      <c r="C136" s="86" t="str">
        <f>IF($A136="","",calcoli!$C$37)</f>
        <v/>
      </c>
      <c r="D136" s="86" t="str">
        <f>IF($A136="","",VLOOKUP($A136,'sviluppo p. amm.to'!$B$6:$R$152,5,0))</f>
        <v/>
      </c>
      <c r="E136" s="86" t="str">
        <f>IF($A136="","",VLOOKUP($A136,'sviluppo p. amm.to'!$B$6:$R$152,7,0))</f>
        <v/>
      </c>
      <c r="F136" s="87" t="str">
        <f>IF($A136="","",VLOOKUP($A136,'sviluppo p. amm.to'!$B$6:$R$152,9,0))</f>
        <v/>
      </c>
    </row>
    <row r="137" spans="1:6" ht="14.25">
      <c r="A137" s="85" t="str">
        <f>IF('sviluppo p. amm.to'!A136&gt;calcoli!$C$11,"",'sviluppo p. amm.to'!A136)</f>
        <v/>
      </c>
      <c r="B137" s="86" t="str">
        <f>IF($A137="","",VLOOKUP($A137,'sviluppo p. amm.to'!$B$6:$R$152,3,0))</f>
        <v/>
      </c>
      <c r="C137" s="86" t="str">
        <f>IF($A137="","",calcoli!$C$37)</f>
        <v/>
      </c>
      <c r="D137" s="86" t="str">
        <f>IF($A137="","",VLOOKUP($A137,'sviluppo p. amm.to'!$B$6:$R$152,5,0))</f>
        <v/>
      </c>
      <c r="E137" s="86" t="str">
        <f>IF($A137="","",VLOOKUP($A137,'sviluppo p. amm.to'!$B$6:$R$152,7,0))</f>
        <v/>
      </c>
      <c r="F137" s="87" t="str">
        <f>IF($A137="","",VLOOKUP($A137,'sviluppo p. amm.to'!$B$6:$R$152,9,0))</f>
        <v/>
      </c>
    </row>
    <row r="138" spans="1:6" ht="14.25">
      <c r="A138" s="85" t="str">
        <f>IF('sviluppo p. amm.to'!A137&gt;calcoli!$C$11,"",'sviluppo p. amm.to'!A137)</f>
        <v/>
      </c>
      <c r="B138" s="86" t="str">
        <f>IF($A138="","",VLOOKUP($A138,'sviluppo p. amm.to'!$B$6:$R$152,3,0))</f>
        <v/>
      </c>
      <c r="C138" s="86" t="str">
        <f>IF($A138="","",calcoli!$C$37)</f>
        <v/>
      </c>
      <c r="D138" s="86" t="str">
        <f>IF($A138="","",VLOOKUP($A138,'sviluppo p. amm.to'!$B$6:$R$152,5,0))</f>
        <v/>
      </c>
      <c r="E138" s="86" t="str">
        <f>IF($A138="","",VLOOKUP($A138,'sviluppo p. amm.to'!$B$6:$R$152,7,0))</f>
        <v/>
      </c>
      <c r="F138" s="87" t="str">
        <f>IF($A138="","",VLOOKUP($A138,'sviluppo p. amm.to'!$B$6:$R$152,9,0))</f>
        <v/>
      </c>
    </row>
    <row r="139" spans="1:6" ht="14.25">
      <c r="A139" s="85" t="str">
        <f>IF('sviluppo p. amm.to'!A138&gt;calcoli!$C$11,"",'sviluppo p. amm.to'!A138)</f>
        <v/>
      </c>
      <c r="B139" s="86" t="str">
        <f>IF($A139="","",VLOOKUP($A139,'sviluppo p. amm.to'!$B$6:$R$152,3,0))</f>
        <v/>
      </c>
      <c r="C139" s="86" t="str">
        <f>IF($A139="","",calcoli!$C$37)</f>
        <v/>
      </c>
      <c r="D139" s="86" t="str">
        <f>IF($A139="","",VLOOKUP($A139,'sviluppo p. amm.to'!$B$6:$R$152,5,0))</f>
        <v/>
      </c>
      <c r="E139" s="86" t="str">
        <f>IF($A139="","",VLOOKUP($A139,'sviluppo p. amm.to'!$B$6:$R$152,7,0))</f>
        <v/>
      </c>
      <c r="F139" s="87" t="str">
        <f>IF($A139="","",VLOOKUP($A139,'sviluppo p. amm.to'!$B$6:$R$152,9,0))</f>
        <v/>
      </c>
    </row>
    <row r="140" spans="1:6" ht="14.25">
      <c r="A140" s="85" t="str">
        <f>IF('sviluppo p. amm.to'!A139&gt;calcoli!$C$11,"",'sviluppo p. amm.to'!A139)</f>
        <v/>
      </c>
      <c r="B140" s="86" t="str">
        <f>IF($A140="","",VLOOKUP($A140,'sviluppo p. amm.to'!$B$6:$R$152,3,0))</f>
        <v/>
      </c>
      <c r="C140" s="86" t="str">
        <f>IF($A140="","",calcoli!$C$37)</f>
        <v/>
      </c>
      <c r="D140" s="86" t="str">
        <f>IF($A140="","",VLOOKUP($A140,'sviluppo p. amm.to'!$B$6:$R$152,5,0))</f>
        <v/>
      </c>
      <c r="E140" s="86" t="str">
        <f>IF($A140="","",VLOOKUP($A140,'sviluppo p. amm.to'!$B$6:$R$152,7,0))</f>
        <v/>
      </c>
      <c r="F140" s="87" t="str">
        <f>IF($A140="","",VLOOKUP($A140,'sviluppo p. amm.to'!$B$6:$R$152,9,0))</f>
        <v/>
      </c>
    </row>
    <row r="141" spans="1:6" ht="14.25">
      <c r="A141" s="85" t="str">
        <f>IF('sviluppo p. amm.to'!A140&gt;calcoli!$C$11,"",'sviluppo p. amm.to'!A140)</f>
        <v/>
      </c>
      <c r="B141" s="86" t="str">
        <f>IF($A141="","",VLOOKUP($A141,'sviluppo p. amm.to'!$B$6:$R$152,3,0))</f>
        <v/>
      </c>
      <c r="C141" s="86" t="str">
        <f>IF($A141="","",calcoli!$C$37)</f>
        <v/>
      </c>
      <c r="D141" s="86" t="str">
        <f>IF($A141="","",VLOOKUP($A141,'sviluppo p. amm.to'!$B$6:$R$152,5,0))</f>
        <v/>
      </c>
      <c r="E141" s="86" t="str">
        <f>IF($A141="","",VLOOKUP($A141,'sviluppo p. amm.to'!$B$6:$R$152,7,0))</f>
        <v/>
      </c>
      <c r="F141" s="87" t="str">
        <f>IF($A141="","",VLOOKUP($A141,'sviluppo p. amm.to'!$B$6:$R$152,9,0))</f>
        <v/>
      </c>
    </row>
    <row r="142" spans="1:6" ht="14.25">
      <c r="A142" s="85" t="str">
        <f>IF('sviluppo p. amm.to'!A141&gt;calcoli!$C$11,"",'sviluppo p. amm.to'!A141)</f>
        <v/>
      </c>
      <c r="B142" s="86" t="str">
        <f>IF($A142="","",VLOOKUP($A142,'sviluppo p. amm.to'!$B$6:$R$152,3,0))</f>
        <v/>
      </c>
      <c r="C142" s="86" t="str">
        <f>IF($A142="","",calcoli!$C$37)</f>
        <v/>
      </c>
      <c r="D142" s="86" t="str">
        <f>IF($A142="","",VLOOKUP($A142,'sviluppo p. amm.to'!$B$6:$R$152,5,0))</f>
        <v/>
      </c>
      <c r="E142" s="86" t="str">
        <f>IF($A142="","",VLOOKUP($A142,'sviluppo p. amm.to'!$B$6:$R$152,7,0))</f>
        <v/>
      </c>
      <c r="F142" s="87" t="str">
        <f>IF($A142="","",VLOOKUP($A142,'sviluppo p. amm.to'!$B$6:$R$152,9,0))</f>
        <v/>
      </c>
    </row>
    <row r="143" spans="1:6" ht="14.25">
      <c r="A143" s="85" t="str">
        <f>IF('sviluppo p. amm.to'!A142&gt;calcoli!$C$11,"",'sviluppo p. amm.to'!A142)</f>
        <v/>
      </c>
      <c r="B143" s="86" t="str">
        <f>IF($A143="","",VLOOKUP($A143,'sviluppo p. amm.to'!$B$6:$R$152,3,0))</f>
        <v/>
      </c>
      <c r="C143" s="86" t="str">
        <f>IF($A143="","",calcoli!$C$37)</f>
        <v/>
      </c>
      <c r="D143" s="86" t="str">
        <f>IF($A143="","",VLOOKUP($A143,'sviluppo p. amm.to'!$B$6:$R$152,5,0))</f>
        <v/>
      </c>
      <c r="E143" s="86" t="str">
        <f>IF($A143="","",VLOOKUP($A143,'sviluppo p. amm.to'!$B$6:$R$152,7,0))</f>
        <v/>
      </c>
      <c r="F143" s="87" t="str">
        <f>IF($A143="","",VLOOKUP($A143,'sviluppo p. amm.to'!$B$6:$R$152,9,0))</f>
        <v/>
      </c>
    </row>
    <row r="144" spans="1:6" ht="14.25">
      <c r="A144" s="85" t="str">
        <f>IF('sviluppo p. amm.to'!A143&gt;calcoli!$C$11,"",'sviluppo p. amm.to'!A143)</f>
        <v/>
      </c>
      <c r="B144" s="86" t="str">
        <f>IF($A144="","",VLOOKUP($A144,'sviluppo p. amm.to'!$B$6:$R$152,3,0))</f>
        <v/>
      </c>
      <c r="C144" s="86" t="str">
        <f>IF($A144="","",calcoli!$C$37)</f>
        <v/>
      </c>
      <c r="D144" s="86" t="str">
        <f>IF($A144="","",VLOOKUP($A144,'sviluppo p. amm.to'!$B$6:$R$152,5,0))</f>
        <v/>
      </c>
      <c r="E144" s="86" t="str">
        <f>IF($A144="","",VLOOKUP($A144,'sviluppo p. amm.to'!$B$6:$R$152,7,0))</f>
        <v/>
      </c>
      <c r="F144" s="87" t="str">
        <f>IF($A144="","",VLOOKUP($A144,'sviluppo p. amm.to'!$B$6:$R$152,9,0))</f>
        <v/>
      </c>
    </row>
    <row r="145" spans="1:6" ht="14.25">
      <c r="A145" s="85" t="str">
        <f>IF('sviluppo p. amm.to'!A144&gt;calcoli!$C$11,"",'sviluppo p. amm.to'!A144)</f>
        <v/>
      </c>
      <c r="B145" s="86" t="str">
        <f>IF($A145="","",VLOOKUP($A145,'sviluppo p. amm.to'!$B$6:$R$152,3,0))</f>
        <v/>
      </c>
      <c r="C145" s="86" t="str">
        <f>IF($A145="","",calcoli!$C$37)</f>
        <v/>
      </c>
      <c r="D145" s="86" t="str">
        <f>IF($A145="","",VLOOKUP($A145,'sviluppo p. amm.to'!$B$6:$R$152,5,0))</f>
        <v/>
      </c>
      <c r="E145" s="86" t="str">
        <f>IF($A145="","",VLOOKUP($A145,'sviluppo p. amm.to'!$B$6:$R$152,7,0))</f>
        <v/>
      </c>
      <c r="F145" s="87" t="str">
        <f>IF($A145="","",VLOOKUP($A145,'sviluppo p. amm.to'!$B$6:$R$152,9,0))</f>
        <v/>
      </c>
    </row>
    <row r="146" spans="1:6" ht="14.25">
      <c r="A146" s="85" t="str">
        <f>IF('sviluppo p. amm.to'!A145&gt;calcoli!$C$11,"",'sviluppo p. amm.to'!A145)</f>
        <v/>
      </c>
      <c r="B146" s="86" t="str">
        <f>IF($A146="","",VLOOKUP($A146,'sviluppo p. amm.to'!$B$6:$R$152,3,0))</f>
        <v/>
      </c>
      <c r="C146" s="86" t="str">
        <f>IF($A146="","",calcoli!$C$37)</f>
        <v/>
      </c>
      <c r="D146" s="86" t="str">
        <f>IF($A146="","",VLOOKUP($A146,'sviluppo p. amm.to'!$B$6:$R$152,5,0))</f>
        <v/>
      </c>
      <c r="E146" s="86" t="str">
        <f>IF($A146="","",VLOOKUP($A146,'sviluppo p. amm.to'!$B$6:$R$152,7,0))</f>
        <v/>
      </c>
      <c r="F146" s="87" t="str">
        <f>IF($A146="","",VLOOKUP($A146,'sviluppo p. amm.to'!$B$6:$R$152,9,0))</f>
        <v/>
      </c>
    </row>
    <row r="147" spans="1:6" ht="14.25">
      <c r="A147" s="85" t="str">
        <f>IF('sviluppo p. amm.to'!A146&gt;calcoli!$C$11,"",'sviluppo p. amm.to'!A146)</f>
        <v/>
      </c>
      <c r="B147" s="86" t="str">
        <f>IF($A147="","",VLOOKUP($A147,'sviluppo p. amm.to'!$B$6:$R$152,3,0))</f>
        <v/>
      </c>
      <c r="C147" s="86" t="str">
        <f>IF($A147="","",calcoli!$C$37)</f>
        <v/>
      </c>
      <c r="D147" s="86" t="str">
        <f>IF($A147="","",VLOOKUP($A147,'sviluppo p. amm.to'!$B$6:$R$152,5,0))</f>
        <v/>
      </c>
      <c r="E147" s="86" t="str">
        <f>IF($A147="","",VLOOKUP($A147,'sviluppo p. amm.to'!$B$6:$R$152,7,0))</f>
        <v/>
      </c>
      <c r="F147" s="87" t="str">
        <f>IF($A147="","",VLOOKUP($A147,'sviluppo p. amm.to'!$B$6:$R$152,9,0))</f>
        <v/>
      </c>
    </row>
    <row r="148" spans="1:6" ht="14.25">
      <c r="A148" s="85" t="str">
        <f>IF('sviluppo p. amm.to'!A147&gt;calcoli!$C$11,"",'sviluppo p. amm.to'!A147)</f>
        <v/>
      </c>
      <c r="B148" s="86" t="str">
        <f>IF($A148="","",VLOOKUP($A148,'sviluppo p. amm.to'!$B$6:$R$152,3,0))</f>
        <v/>
      </c>
      <c r="C148" s="85"/>
      <c r="D148" s="86" t="str">
        <f>IF($A148="","",VLOOKUP($A148,'sviluppo p. amm.to'!$B$6:$R$152,5,0))</f>
        <v/>
      </c>
      <c r="E148" s="86" t="str">
        <f>IF($A148="","",VLOOKUP($A148,'sviluppo p. amm.to'!$B$6:$R$152,7,0))</f>
        <v/>
      </c>
      <c r="F148" s="87" t="str">
        <f>IF($A148="","",VLOOKUP($A148,'sviluppo p. amm.to'!$B$6:$R$152,9,0))</f>
        <v/>
      </c>
    </row>
    <row r="149" spans="1:6" ht="14.25">
      <c r="A149" s="85" t="str">
        <f>IF('sviluppo p. amm.to'!A148&gt;calcoli!$C$11,"",'sviluppo p. amm.to'!A148)</f>
        <v/>
      </c>
      <c r="B149" s="86" t="str">
        <f>IF($A149="","",VLOOKUP($A149,'sviluppo p. amm.to'!$B$6:$R$152,3,0))</f>
        <v/>
      </c>
      <c r="C149" s="85"/>
      <c r="D149" s="86" t="str">
        <f>IF($A149="","",VLOOKUP($A149,'sviluppo p. amm.to'!$B$6:$R$152,5,0))</f>
        <v/>
      </c>
      <c r="E149" s="86" t="str">
        <f>IF($A149="","",VLOOKUP($A149,'sviluppo p. amm.to'!$B$6:$R$152,7,0))</f>
        <v/>
      </c>
      <c r="F149" s="87" t="str">
        <f>IF($A149="","",VLOOKUP($A149,'sviluppo p. amm.to'!$B$6:$R$152,9,0))</f>
        <v/>
      </c>
    </row>
    <row r="150" spans="1:6" ht="14.25">
      <c r="A150" s="85" t="str">
        <f>IF('sviluppo p. amm.to'!A149&gt;calcoli!$C$11,"",'sviluppo p. amm.to'!A149)</f>
        <v/>
      </c>
      <c r="B150" s="86" t="str">
        <f>IF($A150="","",VLOOKUP($A150,'sviluppo p. amm.to'!$B$6:$R$152,3,0))</f>
        <v/>
      </c>
      <c r="C150" s="85"/>
      <c r="D150" s="86" t="str">
        <f>IF($A150="","",VLOOKUP($A150,'sviluppo p. amm.to'!$B$6:$R$152,5,0))</f>
        <v/>
      </c>
      <c r="E150" s="86" t="str">
        <f>IF($A150="","",VLOOKUP($A150,'sviluppo p. amm.to'!$B$6:$R$152,7,0))</f>
        <v/>
      </c>
      <c r="F150" s="87" t="str">
        <f>IF($A150="","",VLOOKUP($A150,'sviluppo p. amm.to'!$B$6:$R$152,9,0))</f>
        <v/>
      </c>
    </row>
    <row r="151" spans="1:6" ht="14.25">
      <c r="A151" s="85" t="str">
        <f>IF('sviluppo p. amm.to'!A150&gt;calcoli!$C$11,"",'sviluppo p. amm.to'!A150)</f>
        <v/>
      </c>
      <c r="B151" s="86" t="str">
        <f>IF($A151="","",VLOOKUP($A151,'sviluppo p. amm.to'!$B$6:$R$152,3,0))</f>
        <v/>
      </c>
      <c r="C151" s="85"/>
      <c r="D151" s="86" t="str">
        <f>IF($A151="","",VLOOKUP($A151,'sviluppo p. amm.to'!$B$6:$R$152,5,0))</f>
        <v/>
      </c>
      <c r="E151" s="86" t="str">
        <f>IF($A151="","",VLOOKUP($A151,'sviluppo p. amm.to'!$B$6:$R$152,7,0))</f>
        <v/>
      </c>
      <c r="F151" s="87" t="str">
        <f>IF($A151="","",VLOOKUP($A151,'sviluppo p. amm.to'!$B$6:$R$152,9,0))</f>
        <v/>
      </c>
    </row>
    <row r="152" spans="1:6" ht="14.25">
      <c r="A152" s="85" t="str">
        <f>IF('sviluppo p. amm.to'!A151&gt;calcoli!$C$11,"",'sviluppo p. amm.to'!A151)</f>
        <v/>
      </c>
      <c r="B152" s="86" t="str">
        <f>IF($A152="","",VLOOKUP($A152,'sviluppo p. amm.to'!$B$6:$R$152,3,0))</f>
        <v/>
      </c>
      <c r="C152" s="85"/>
      <c r="D152" s="86" t="str">
        <f>IF($A152="","",VLOOKUP($A152,'sviluppo p. amm.to'!$B$6:$R$152,5,0))</f>
        <v/>
      </c>
      <c r="E152" s="86" t="str">
        <f>IF($A152="","",VLOOKUP($A152,'sviluppo p. amm.to'!$B$6:$R$152,7,0))</f>
        <v/>
      </c>
      <c r="F152" s="87" t="str">
        <f>IF($A152="","",VLOOKUP($A152,'sviluppo p. amm.to'!$B$6:$R$152,9,0))</f>
        <v/>
      </c>
    </row>
    <row r="153" spans="1:6" ht="14.25">
      <c r="A153" s="85" t="str">
        <f>IF('sviluppo p. amm.to'!A152&gt;calcoli!$C$11,"",'sviluppo p. amm.to'!A152)</f>
        <v/>
      </c>
      <c r="B153" s="86" t="str">
        <f>IF($A153="","",VLOOKUP($A153,'sviluppo p. amm.to'!$B$6:$R$152,3,0))</f>
        <v/>
      </c>
      <c r="C153" s="85"/>
      <c r="D153" s="86" t="str">
        <f>IF($A153="","",VLOOKUP($A153,'sviluppo p. amm.to'!$B$6:$R$152,5,0))</f>
        <v/>
      </c>
      <c r="E153" s="86" t="str">
        <f>IF($A153="","",VLOOKUP($A153,'sviluppo p. amm.to'!$B$6:$R$152,7,0))</f>
        <v/>
      </c>
      <c r="F153" s="87" t="str">
        <f>IF($A153="","",VLOOKUP($A153,'sviluppo p. amm.to'!$B$6:$R$152,9,0))</f>
        <v/>
      </c>
    </row>
  </sheetData>
  <sheetProtection algorithmName="SHA-512" hashValue="O8Lgq3hcQIjP2rbN6t/Y8vLhQvZwjWeh4wXUu+2K5EM6+SDcwnl+Zkb8/94tpioPauxsB16l7+38m45q+RUJuQ==" saltValue="J6ZbySHu4JgbqzkzhpMLVw==" spinCount="100000" sheet="1" selectLockedCells="1" selectUnlockedCells="1"/>
  <mergeCells count="2">
    <mergeCell ref="A2:F3"/>
    <mergeCell ref="A4:F4"/>
  </mergeCells>
  <pageMargins left="0.7" right="0.7" top="0.75" bottom="0.75" header="0.3" footer="0.3"/>
  <pageSetup paperSize="9" scale="89" fitToHeight="0" orientation="portrait" r:id="rId1"/>
  <headerFooter>
    <oddFooter>&amp;C&amp;1#&amp;"Calibri"&amp;10&amp;K000000 For internal use only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Q1:W16"/>
  <sheetViews>
    <sheetView workbookViewId="0">
      <selection activeCell="X20" sqref="X20"/>
    </sheetView>
  </sheetViews>
  <sheetFormatPr defaultColWidth="9.140625" defaultRowHeight="15"/>
  <cols>
    <col min="1" max="1" width="8.42578125" style="73" customWidth="1"/>
    <col min="2" max="15" width="9.140625" style="73"/>
    <col min="16" max="16" width="13.7109375" style="73" customWidth="1"/>
    <col min="17" max="17" width="6.42578125" style="73" customWidth="1"/>
    <col min="18" max="19" width="9.7109375" style="73" customWidth="1"/>
    <col min="20" max="20" width="7.85546875" style="73" customWidth="1"/>
    <col min="21" max="21" width="8.28515625" style="73" customWidth="1"/>
    <col min="22" max="23" width="7" style="73" customWidth="1"/>
    <col min="24" max="16384" width="9.140625" style="73"/>
  </cols>
  <sheetData>
    <row r="1" spans="17:23" ht="18" customHeight="1" thickBot="1"/>
    <row r="2" spans="17:23" ht="18" customHeight="1" thickTop="1">
      <c r="Q2" s="760" t="s">
        <v>260</v>
      </c>
      <c r="R2" s="761"/>
      <c r="S2" s="761"/>
      <c r="T2" s="761"/>
      <c r="U2" s="761"/>
      <c r="V2" s="761"/>
      <c r="W2" s="762"/>
    </row>
    <row r="3" spans="17:23" ht="18" customHeight="1" thickBot="1">
      <c r="Q3" s="763"/>
      <c r="R3" s="764"/>
      <c r="S3" s="764"/>
      <c r="T3" s="764"/>
      <c r="U3" s="764"/>
      <c r="V3" s="764"/>
      <c r="W3" s="765"/>
    </row>
    <row r="4" spans="17:23" ht="24.6" customHeight="1" thickTop="1"/>
    <row r="5" spans="17:23" ht="24.6" customHeight="1"/>
    <row r="6" spans="17:23" ht="24.6" customHeight="1">
      <c r="R6" s="766" t="s">
        <v>261</v>
      </c>
      <c r="S6" s="766"/>
      <c r="T6" s="766"/>
      <c r="U6" s="766"/>
      <c r="V6" s="766"/>
      <c r="W6" s="766"/>
    </row>
    <row r="7" spans="17:23" ht="24.6" customHeight="1"/>
    <row r="8" spans="17:23" ht="24.6" customHeight="1">
      <c r="R8" s="766" t="s">
        <v>262</v>
      </c>
      <c r="S8" s="766"/>
      <c r="T8" s="766"/>
      <c r="U8" s="766"/>
      <c r="V8" s="766"/>
      <c r="W8" s="766"/>
    </row>
    <row r="9" spans="17:23" ht="24.6" customHeight="1"/>
    <row r="10" spans="17:23" ht="24.6" customHeight="1">
      <c r="R10" s="766" t="s">
        <v>263</v>
      </c>
      <c r="S10" s="766"/>
      <c r="T10" s="766"/>
      <c r="U10" s="766"/>
      <c r="V10" s="766"/>
      <c r="W10" s="766"/>
    </row>
    <row r="11" spans="17:23" ht="24.6" customHeight="1"/>
    <row r="12" spans="17:23" ht="24.6" customHeight="1"/>
    <row r="13" spans="17:23" ht="24.6" customHeight="1"/>
    <row r="14" spans="17:23" ht="24.6" customHeight="1"/>
    <row r="15" spans="17:23" ht="24.6" customHeight="1"/>
    <row r="16" spans="17:23" ht="24.6" customHeight="1"/>
  </sheetData>
  <sheetProtection algorithmName="SHA-512" hashValue="2H8S2M83yBg62pF4tvV9bK4q6xzkZXm8eY00fZR0wwXQPHZx96NTeAZMDphrcaHs8qOanYphaw+aJtDMH9O/gg==" saltValue="rLSVd0ufqytG01015A5Geg==" spinCount="100000" sheet="1" objects="1" scenarios="1"/>
  <mergeCells count="4">
    <mergeCell ref="Q2:W3"/>
    <mergeCell ref="R6:W6"/>
    <mergeCell ref="R8:W8"/>
    <mergeCell ref="R10:W10"/>
  </mergeCells>
  <hyperlinks>
    <hyperlink ref="R8" r:id="rId1" display="https://www.dbeasy.it/files/documents/AC4-CL20809-Deutsche-Bank-Set-Informativo-CPI-2023.pdf"/>
    <hyperlink ref="R6" r:id="rId2" tooltip=" – opens in new window" display="https://www.dbeasy.it/files/documents/AC1-CL20808-Deutsche-Bank-Set-Informativo-CPI-2023.pdf"/>
    <hyperlink ref="R10" r:id="rId3" display="https://www.dbeasy.it/files/documents/AC9-CL20810-Deutsche-Bank-Set-Informativo-CPI-2023.pdf"/>
  </hyperlinks>
  <pageMargins left="0.7" right="0.7" top="0.75" bottom="0.75" header="0.3" footer="0.3"/>
  <pageSetup paperSize="9" orientation="portrait" r:id="rId4"/>
  <headerFooter>
    <oddFooter>&amp;C&amp;1#&amp;"Calibri"&amp;10&amp;K000000 For internal use only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rgb="FFFF0000"/>
  </sheetPr>
  <dimension ref="A1:AI364"/>
  <sheetViews>
    <sheetView zoomScale="82" zoomScaleNormal="82" workbookViewId="0">
      <selection activeCell="A2" sqref="A2:XFD364"/>
    </sheetView>
  </sheetViews>
  <sheetFormatPr defaultColWidth="8.85546875" defaultRowHeight="15"/>
  <cols>
    <col min="1" max="1" width="8.85546875" style="2"/>
    <col min="2" max="2" width="14.140625" style="2" bestFit="1" customWidth="1"/>
    <col min="3" max="3" width="7" style="1" customWidth="1"/>
    <col min="4" max="4" width="0.5703125" style="1" customWidth="1"/>
    <col min="5" max="5" width="11.7109375" style="75" customWidth="1"/>
    <col min="6" max="6" width="25.42578125" style="6" customWidth="1"/>
    <col min="7" max="7" width="25.28515625" style="6" bestFit="1" customWidth="1"/>
    <col min="8" max="9" width="8.85546875" style="2"/>
    <col min="10" max="10" width="18.85546875" style="2" bestFit="1" customWidth="1"/>
    <col min="11" max="11" width="18.85546875" style="2" customWidth="1"/>
    <col min="12" max="12" width="8.85546875" style="6"/>
    <col min="13" max="13" width="19.28515625" style="6" bestFit="1" customWidth="1"/>
    <col min="14" max="14" width="17.5703125" style="6" bestFit="1" customWidth="1"/>
    <col min="15" max="15" width="12" style="6" bestFit="1" customWidth="1"/>
    <col min="16" max="16" width="20.42578125" style="6" bestFit="1" customWidth="1"/>
    <col min="17" max="17" width="6.42578125" style="75" bestFit="1" customWidth="1"/>
    <col min="18" max="18" width="0.7109375" style="1" customWidth="1"/>
    <col min="19" max="20" width="11.28515625" style="1" customWidth="1"/>
    <col min="21" max="21" width="0.5703125" style="1" customWidth="1"/>
    <col min="22" max="22" width="10.42578125" style="1" bestFit="1" customWidth="1"/>
    <col min="23" max="24" width="8.85546875" style="1"/>
    <col min="25" max="25" width="0.7109375" style="1" customWidth="1"/>
    <col min="26" max="26" width="8.85546875" style="1"/>
    <col min="27" max="28" width="8.85546875" style="2"/>
    <col min="29" max="29" width="0.7109375" style="1" customWidth="1"/>
    <col min="30" max="16384" width="8.85546875" style="2"/>
  </cols>
  <sheetData>
    <row r="1" spans="1:35">
      <c r="E1" s="287"/>
      <c r="F1" s="287"/>
      <c r="G1" s="287"/>
      <c r="H1" s="288"/>
      <c r="I1" s="288"/>
      <c r="J1" s="288"/>
      <c r="K1" s="288"/>
      <c r="L1" s="287"/>
      <c r="M1" s="287"/>
      <c r="N1" s="287"/>
      <c r="O1" s="287"/>
      <c r="P1" s="287"/>
      <c r="Q1" s="287"/>
      <c r="R1" s="288"/>
      <c r="S1" s="288"/>
      <c r="T1" s="288"/>
      <c r="U1" s="288"/>
      <c r="V1" s="288"/>
      <c r="W1" s="288"/>
      <c r="X1" s="288"/>
      <c r="Y1" s="288"/>
      <c r="AC1" s="288"/>
    </row>
    <row r="2" spans="1:35" s="4" customFormat="1" ht="27.6" hidden="1" customHeight="1" thickBot="1">
      <c r="A2" s="772" t="s">
        <v>166</v>
      </c>
      <c r="B2" s="772"/>
      <c r="C2" s="772"/>
      <c r="D2" s="74"/>
      <c r="E2" s="773" t="s">
        <v>165</v>
      </c>
      <c r="F2" s="774"/>
      <c r="G2" s="774"/>
      <c r="H2" s="774"/>
      <c r="I2" s="774"/>
      <c r="J2" s="774"/>
      <c r="K2" s="774"/>
      <c r="L2" s="775"/>
      <c r="M2" s="776" t="s">
        <v>164</v>
      </c>
      <c r="N2" s="776"/>
      <c r="O2" s="776"/>
      <c r="P2" s="776"/>
      <c r="Q2" s="776"/>
      <c r="R2" s="289"/>
      <c r="S2" s="770" t="s">
        <v>167</v>
      </c>
      <c r="T2" s="770"/>
      <c r="U2" s="289"/>
      <c r="V2" s="771" t="s">
        <v>172</v>
      </c>
      <c r="W2" s="771"/>
      <c r="X2" s="771"/>
      <c r="Y2" s="289"/>
      <c r="Z2" s="767" t="s">
        <v>339</v>
      </c>
      <c r="AA2" s="767"/>
      <c r="AB2" s="767"/>
      <c r="AC2" s="289"/>
      <c r="AD2" s="767" t="s">
        <v>344</v>
      </c>
      <c r="AE2" s="767"/>
      <c r="AF2" s="767"/>
    </row>
    <row r="3" spans="1:35" ht="15.75" hidden="1" thickBot="1">
      <c r="A3" s="402" t="s">
        <v>16</v>
      </c>
      <c r="B3" s="403" t="s">
        <v>179</v>
      </c>
      <c r="C3" s="404"/>
      <c r="D3" s="5"/>
      <c r="E3" s="290" t="s">
        <v>174</v>
      </c>
      <c r="F3" s="291" t="s">
        <v>160</v>
      </c>
      <c r="G3" s="292"/>
      <c r="H3" s="293" t="s">
        <v>19</v>
      </c>
      <c r="I3" s="293" t="s">
        <v>21</v>
      </c>
      <c r="J3" s="293"/>
      <c r="K3" s="293" t="s">
        <v>20</v>
      </c>
      <c r="L3" s="294" t="s">
        <v>22</v>
      </c>
      <c r="M3" s="295" t="s">
        <v>173</v>
      </c>
      <c r="N3" s="296" t="s">
        <v>160</v>
      </c>
      <c r="O3" s="297" t="s">
        <v>37</v>
      </c>
      <c r="P3" s="298" t="s">
        <v>161</v>
      </c>
      <c r="Q3" s="299" t="s">
        <v>38</v>
      </c>
      <c r="R3" s="300"/>
      <c r="S3" s="768" t="s">
        <v>192</v>
      </c>
      <c r="T3" s="769"/>
      <c r="U3" s="300"/>
      <c r="V3" s="301" t="s">
        <v>173</v>
      </c>
      <c r="W3" s="302" t="s">
        <v>170</v>
      </c>
      <c r="X3" s="303" t="s">
        <v>171</v>
      </c>
      <c r="Y3" s="300"/>
      <c r="Z3" s="365" t="s">
        <v>340</v>
      </c>
      <c r="AA3" s="366" t="s">
        <v>178</v>
      </c>
      <c r="AB3" s="367">
        <v>1.7999999999999999E-2</v>
      </c>
      <c r="AC3" s="300"/>
      <c r="AD3" s="371" t="s">
        <v>344</v>
      </c>
      <c r="AE3" s="373" t="s">
        <v>179</v>
      </c>
      <c r="AF3" s="374">
        <v>0</v>
      </c>
    </row>
    <row r="4" spans="1:35" ht="15.75" hidden="1" thickBot="1">
      <c r="A4" s="405"/>
      <c r="B4" s="406" t="s">
        <v>264</v>
      </c>
      <c r="C4" s="407">
        <v>1.2999999999999999E-3</v>
      </c>
      <c r="D4" s="5"/>
      <c r="E4" s="304" t="s">
        <v>107</v>
      </c>
      <c r="F4" s="305"/>
      <c r="G4" s="306"/>
      <c r="H4" s="307" t="s">
        <v>23</v>
      </c>
      <c r="I4" s="307" t="s">
        <v>25</v>
      </c>
      <c r="J4" s="298" t="s">
        <v>161</v>
      </c>
      <c r="K4" s="307" t="s">
        <v>24</v>
      </c>
      <c r="L4" s="308" t="s">
        <v>26</v>
      </c>
      <c r="M4" s="309" t="s">
        <v>107</v>
      </c>
      <c r="N4" s="310" t="s">
        <v>149</v>
      </c>
      <c r="O4" s="310" t="s">
        <v>51</v>
      </c>
      <c r="P4" s="310" t="str">
        <f t="shared" ref="P4:P67" si="0">CONCATENATE(N4," ",O4)</f>
        <v>EUROPASSISTANCE AG</v>
      </c>
      <c r="Q4" s="311">
        <v>3</v>
      </c>
      <c r="R4" s="300"/>
      <c r="S4" s="312" t="s">
        <v>29</v>
      </c>
      <c r="T4" s="313">
        <v>0.124</v>
      </c>
      <c r="U4" s="300"/>
      <c r="V4" s="314" t="s">
        <v>168</v>
      </c>
      <c r="W4" s="315" t="s">
        <v>107</v>
      </c>
      <c r="X4" s="314">
        <v>0</v>
      </c>
      <c r="Y4" s="300"/>
      <c r="Z4" s="368"/>
      <c r="AA4" s="369" t="s">
        <v>179</v>
      </c>
      <c r="AB4" s="370">
        <v>0</v>
      </c>
      <c r="AC4" s="300"/>
      <c r="AD4" s="372"/>
      <c r="AE4" s="373">
        <v>12</v>
      </c>
      <c r="AF4" s="374">
        <v>4.7100000000000003E-2</v>
      </c>
    </row>
    <row r="5" spans="1:35" ht="15.75" hidden="1" thickBot="1">
      <c r="A5" s="405"/>
      <c r="B5" s="406" t="s">
        <v>365</v>
      </c>
      <c r="C5" s="407">
        <v>4.0000000000000002E-4</v>
      </c>
      <c r="D5" s="5"/>
      <c r="E5" s="316" t="s">
        <v>153</v>
      </c>
      <c r="F5" s="317" t="s">
        <v>149</v>
      </c>
      <c r="G5" s="318" t="s">
        <v>153</v>
      </c>
      <c r="H5" s="319">
        <v>1</v>
      </c>
      <c r="I5" s="319">
        <v>12</v>
      </c>
      <c r="J5" s="319" t="str">
        <f t="shared" ref="J5:J68" si="1">CONCATENATE(G5," ",H5," ",I5)</f>
        <v>EAB - EUROPASSISTANCE 1 12</v>
      </c>
      <c r="K5" s="320">
        <v>100000</v>
      </c>
      <c r="L5" s="321">
        <v>0.11778</v>
      </c>
      <c r="M5" s="322" t="s">
        <v>149</v>
      </c>
      <c r="N5" s="310" t="s">
        <v>149</v>
      </c>
      <c r="O5" s="310" t="s">
        <v>76</v>
      </c>
      <c r="P5" s="310" t="str">
        <f t="shared" si="0"/>
        <v>EUROPASSISTANCE AL</v>
      </c>
      <c r="Q5" s="311">
        <v>5</v>
      </c>
      <c r="R5" s="300"/>
      <c r="S5" s="312" t="s">
        <v>30</v>
      </c>
      <c r="T5" s="313">
        <v>0.124</v>
      </c>
      <c r="U5" s="300"/>
      <c r="V5" s="323" t="s">
        <v>168</v>
      </c>
      <c r="W5" s="323">
        <v>12</v>
      </c>
      <c r="X5" s="323">
        <v>110</v>
      </c>
      <c r="Y5" s="300"/>
      <c r="Z5" s="2"/>
      <c r="AC5" s="300"/>
      <c r="AD5" s="372"/>
      <c r="AE5" s="373">
        <v>24</v>
      </c>
      <c r="AF5" s="374">
        <v>9.4200000000000006E-2</v>
      </c>
    </row>
    <row r="6" spans="1:35" ht="15.75" hidden="1" thickBot="1">
      <c r="A6" s="405"/>
      <c r="B6" s="406" t="s">
        <v>265</v>
      </c>
      <c r="C6" s="407">
        <v>8.9999999999999998E-4</v>
      </c>
      <c r="D6" s="5"/>
      <c r="E6" s="324" t="s">
        <v>154</v>
      </c>
      <c r="F6" s="325" t="s">
        <v>149</v>
      </c>
      <c r="G6" s="318" t="s">
        <v>153</v>
      </c>
      <c r="H6" s="319">
        <v>1</v>
      </c>
      <c r="I6" s="319">
        <v>24</v>
      </c>
      <c r="J6" s="319" t="str">
        <f t="shared" si="1"/>
        <v>EAB - EUROPASSISTANCE 1 24</v>
      </c>
      <c r="K6" s="320">
        <v>100000</v>
      </c>
      <c r="L6" s="321">
        <v>0.22379999999999997</v>
      </c>
      <c r="M6" s="309" t="s">
        <v>147</v>
      </c>
      <c r="N6" s="310" t="s">
        <v>149</v>
      </c>
      <c r="O6" s="310" t="s">
        <v>77</v>
      </c>
      <c r="P6" s="310" t="str">
        <f t="shared" si="0"/>
        <v>EUROPASSISTANCE AN</v>
      </c>
      <c r="Q6" s="311">
        <v>5</v>
      </c>
      <c r="R6" s="300"/>
      <c r="S6" s="312" t="s">
        <v>28</v>
      </c>
      <c r="T6" s="313">
        <v>0.1056</v>
      </c>
      <c r="U6" s="300"/>
      <c r="V6" s="323" t="s">
        <v>168</v>
      </c>
      <c r="W6" s="323">
        <v>24</v>
      </c>
      <c r="X6" s="323">
        <v>200</v>
      </c>
      <c r="Y6" s="300"/>
      <c r="Z6" s="2"/>
      <c r="AC6" s="300"/>
      <c r="AD6" s="372"/>
      <c r="AE6" s="373">
        <v>36</v>
      </c>
      <c r="AF6" s="374">
        <v>0.14130000000000001</v>
      </c>
      <c r="AI6" s="2">
        <f>706.5/5000</f>
        <v>0.14130000000000001</v>
      </c>
    </row>
    <row r="7" spans="1:35" ht="15.75" hidden="1" thickBot="1">
      <c r="A7" s="408"/>
      <c r="B7" s="409" t="s">
        <v>266</v>
      </c>
      <c r="C7" s="410">
        <v>5.9999999999999995E-4</v>
      </c>
      <c r="D7" s="5"/>
      <c r="E7" s="324" t="s">
        <v>152</v>
      </c>
      <c r="F7" s="325" t="s">
        <v>149</v>
      </c>
      <c r="G7" s="318" t="s">
        <v>153</v>
      </c>
      <c r="H7" s="319">
        <v>1</v>
      </c>
      <c r="I7" s="319">
        <v>36</v>
      </c>
      <c r="J7" s="319" t="str">
        <f t="shared" si="1"/>
        <v>EAB - EUROPASSISTANCE 1 36</v>
      </c>
      <c r="K7" s="320">
        <v>100000</v>
      </c>
      <c r="L7" s="321">
        <v>0.3357</v>
      </c>
      <c r="M7" s="309" t="s">
        <v>148</v>
      </c>
      <c r="N7" s="310" t="s">
        <v>149</v>
      </c>
      <c r="O7" s="310" t="s">
        <v>78</v>
      </c>
      <c r="P7" s="310" t="str">
        <f t="shared" si="0"/>
        <v>EUROPASSISTANCE AO</v>
      </c>
      <c r="Q7" s="311">
        <v>5</v>
      </c>
      <c r="R7" s="300"/>
      <c r="S7" s="312" t="s">
        <v>27</v>
      </c>
      <c r="T7" s="313">
        <v>0.17599999999999999</v>
      </c>
      <c r="U7" s="300"/>
      <c r="V7" s="323" t="s">
        <v>168</v>
      </c>
      <c r="W7" s="323">
        <v>36</v>
      </c>
      <c r="X7" s="323">
        <v>300</v>
      </c>
      <c r="Y7" s="300"/>
      <c r="Z7" s="2"/>
      <c r="AC7" s="300"/>
    </row>
    <row r="8" spans="1:35" hidden="1">
      <c r="C8" s="2"/>
      <c r="D8" s="5"/>
      <c r="E8" s="324" t="s">
        <v>151</v>
      </c>
      <c r="F8" s="325" t="s">
        <v>149</v>
      </c>
      <c r="G8" s="318" t="s">
        <v>153</v>
      </c>
      <c r="H8" s="319">
        <v>1</v>
      </c>
      <c r="I8" s="319">
        <v>48</v>
      </c>
      <c r="J8" s="319" t="str">
        <f t="shared" si="1"/>
        <v>EAB - EUROPASSISTANCE 1 48</v>
      </c>
      <c r="K8" s="320">
        <v>100000</v>
      </c>
      <c r="L8" s="321">
        <v>0.44759999999999994</v>
      </c>
      <c r="M8" s="326"/>
      <c r="N8" s="310" t="s">
        <v>149</v>
      </c>
      <c r="O8" s="310" t="s">
        <v>79</v>
      </c>
      <c r="P8" s="310" t="str">
        <f t="shared" si="0"/>
        <v>EUROPASSISTANCE AP</v>
      </c>
      <c r="Q8" s="311">
        <v>5</v>
      </c>
      <c r="R8" s="300"/>
      <c r="S8" s="312" t="s">
        <v>32</v>
      </c>
      <c r="T8" s="313">
        <v>5.5E-2</v>
      </c>
      <c r="U8" s="300"/>
      <c r="V8" s="323" t="s">
        <v>168</v>
      </c>
      <c r="W8" s="323">
        <v>48</v>
      </c>
      <c r="X8" s="323">
        <v>400</v>
      </c>
      <c r="Y8" s="300"/>
      <c r="Z8" s="2"/>
      <c r="AC8" s="300"/>
    </row>
    <row r="9" spans="1:35" hidden="1">
      <c r="C9" s="2"/>
      <c r="D9" s="5"/>
      <c r="E9" s="324" t="s">
        <v>156</v>
      </c>
      <c r="F9" s="325" t="s">
        <v>147</v>
      </c>
      <c r="G9" s="318" t="s">
        <v>153</v>
      </c>
      <c r="H9" s="319">
        <v>1</v>
      </c>
      <c r="I9" s="319">
        <v>60</v>
      </c>
      <c r="J9" s="319" t="str">
        <f t="shared" si="1"/>
        <v>EAB - EUROPASSISTANCE 1 60</v>
      </c>
      <c r="K9" s="320">
        <v>100000</v>
      </c>
      <c r="L9" s="321">
        <v>0.5595</v>
      </c>
      <c r="M9" s="326"/>
      <c r="N9" s="310" t="s">
        <v>149</v>
      </c>
      <c r="O9" s="310" t="s">
        <v>65</v>
      </c>
      <c r="P9" s="310" t="str">
        <f t="shared" si="0"/>
        <v>EUROPASSISTANCE AQ</v>
      </c>
      <c r="Q9" s="311">
        <v>4</v>
      </c>
      <c r="R9" s="300"/>
      <c r="S9" s="312" t="s">
        <v>31</v>
      </c>
      <c r="T9" s="313">
        <v>0.14000000000000001</v>
      </c>
      <c r="U9" s="300"/>
      <c r="V9" s="323" t="s">
        <v>168</v>
      </c>
      <c r="W9" s="323">
        <v>60</v>
      </c>
      <c r="X9" s="323">
        <v>500</v>
      </c>
      <c r="Y9" s="300"/>
      <c r="Z9" s="2"/>
      <c r="AC9" s="300"/>
    </row>
    <row r="10" spans="1:35" hidden="1">
      <c r="C10" s="2"/>
      <c r="D10" s="5"/>
      <c r="E10" s="324" t="s">
        <v>155</v>
      </c>
      <c r="F10" s="325" t="s">
        <v>147</v>
      </c>
      <c r="G10" s="318" t="s">
        <v>153</v>
      </c>
      <c r="H10" s="319">
        <v>1</v>
      </c>
      <c r="I10" s="319">
        <v>72</v>
      </c>
      <c r="J10" s="319" t="str">
        <f t="shared" si="1"/>
        <v>EAB - EUROPASSISTANCE 1 72</v>
      </c>
      <c r="K10" s="320">
        <v>100000</v>
      </c>
      <c r="L10" s="327">
        <v>0</v>
      </c>
      <c r="M10" s="326"/>
      <c r="N10" s="310" t="s">
        <v>149</v>
      </c>
      <c r="O10" s="310" t="s">
        <v>80</v>
      </c>
      <c r="P10" s="310" t="str">
        <f t="shared" si="0"/>
        <v>EUROPASSISTANCE AR</v>
      </c>
      <c r="Q10" s="311">
        <v>5</v>
      </c>
      <c r="R10" s="300"/>
      <c r="S10" s="312" t="s">
        <v>34</v>
      </c>
      <c r="T10" s="313">
        <v>8.1000000000000003E-2</v>
      </c>
      <c r="U10" s="300"/>
      <c r="V10" s="323" t="s">
        <v>169</v>
      </c>
      <c r="W10" s="328" t="s">
        <v>107</v>
      </c>
      <c r="X10" s="323">
        <v>0</v>
      </c>
      <c r="Y10" s="300"/>
      <c r="Z10" s="2"/>
      <c r="AC10" s="300"/>
    </row>
    <row r="11" spans="1:35" hidden="1">
      <c r="C11" s="2"/>
      <c r="D11" s="5"/>
      <c r="E11" s="324" t="s">
        <v>158</v>
      </c>
      <c r="F11" s="325" t="s">
        <v>148</v>
      </c>
      <c r="G11" s="304" t="s">
        <v>153</v>
      </c>
      <c r="H11" s="329">
        <v>2</v>
      </c>
      <c r="I11" s="330">
        <v>12</v>
      </c>
      <c r="J11" s="330" t="str">
        <f t="shared" si="1"/>
        <v>EAB - EUROPASSISTANCE 2 12</v>
      </c>
      <c r="K11" s="331">
        <v>100000</v>
      </c>
      <c r="L11" s="332">
        <v>0.10153999999999999</v>
      </c>
      <c r="M11" s="326"/>
      <c r="N11" s="310" t="s">
        <v>149</v>
      </c>
      <c r="O11" s="310" t="s">
        <v>66</v>
      </c>
      <c r="P11" s="310" t="str">
        <f t="shared" si="0"/>
        <v>EUROPASSISTANCE AT</v>
      </c>
      <c r="Q11" s="311">
        <v>4</v>
      </c>
      <c r="R11" s="300"/>
      <c r="S11" s="312" t="s">
        <v>33</v>
      </c>
      <c r="T11" s="313">
        <v>0.21199999999999999</v>
      </c>
      <c r="U11" s="300"/>
      <c r="V11" s="323" t="s">
        <v>169</v>
      </c>
      <c r="W11" s="323">
        <v>12</v>
      </c>
      <c r="X11" s="323">
        <v>215</v>
      </c>
      <c r="Y11" s="300"/>
      <c r="Z11" s="2"/>
      <c r="AC11" s="300"/>
    </row>
    <row r="12" spans="1:35" ht="15.75" hidden="1" thickBot="1">
      <c r="C12" s="2"/>
      <c r="D12" s="5"/>
      <c r="E12" s="333" t="s">
        <v>157</v>
      </c>
      <c r="F12" s="334" t="s">
        <v>148</v>
      </c>
      <c r="G12" s="335" t="s">
        <v>153</v>
      </c>
      <c r="H12" s="336">
        <v>2</v>
      </c>
      <c r="I12" s="336">
        <v>24</v>
      </c>
      <c r="J12" s="336" t="str">
        <f t="shared" si="1"/>
        <v>EAB - EUROPASSISTANCE 2 24</v>
      </c>
      <c r="K12" s="337">
        <v>100000</v>
      </c>
      <c r="L12" s="332">
        <v>0.19294</v>
      </c>
      <c r="M12" s="326"/>
      <c r="N12" s="310" t="s">
        <v>149</v>
      </c>
      <c r="O12" s="310" t="s">
        <v>52</v>
      </c>
      <c r="P12" s="310" t="str">
        <f t="shared" si="0"/>
        <v>EUROPASSISTANCE AV</v>
      </c>
      <c r="Q12" s="311">
        <v>3</v>
      </c>
      <c r="R12" s="300"/>
      <c r="S12" s="288"/>
      <c r="T12" s="338"/>
      <c r="U12" s="300"/>
      <c r="V12" s="323" t="s">
        <v>169</v>
      </c>
      <c r="W12" s="323">
        <v>24</v>
      </c>
      <c r="X12" s="323">
        <v>390</v>
      </c>
      <c r="Y12" s="300"/>
      <c r="Z12" s="2"/>
      <c r="AC12" s="300"/>
    </row>
    <row r="13" spans="1:35" hidden="1">
      <c r="C13" s="2"/>
      <c r="D13" s="5"/>
      <c r="E13" s="339"/>
      <c r="F13" s="340"/>
      <c r="G13" s="341" t="s">
        <v>153</v>
      </c>
      <c r="H13" s="336">
        <v>2</v>
      </c>
      <c r="I13" s="336">
        <v>36</v>
      </c>
      <c r="J13" s="336" t="str">
        <f t="shared" si="1"/>
        <v>EAB - EUROPASSISTANCE 2 36</v>
      </c>
      <c r="K13" s="337">
        <v>100000</v>
      </c>
      <c r="L13" s="332">
        <v>0.28940999999999995</v>
      </c>
      <c r="M13" s="326"/>
      <c r="N13" s="310" t="s">
        <v>149</v>
      </c>
      <c r="O13" s="310" t="s">
        <v>41</v>
      </c>
      <c r="P13" s="310" t="str">
        <f t="shared" si="0"/>
        <v>EUROPASSISTANCE BA</v>
      </c>
      <c r="Q13" s="311">
        <v>2</v>
      </c>
      <c r="R13" s="300"/>
      <c r="S13" s="288"/>
      <c r="T13" s="288"/>
      <c r="U13" s="300"/>
      <c r="V13" s="323" t="s">
        <v>169</v>
      </c>
      <c r="W13" s="323">
        <v>36</v>
      </c>
      <c r="X13" s="323">
        <v>585</v>
      </c>
      <c r="Y13" s="300"/>
      <c r="Z13" s="2"/>
      <c r="AC13" s="300"/>
    </row>
    <row r="14" spans="1:35" hidden="1">
      <c r="C14" s="2"/>
      <c r="D14" s="5"/>
      <c r="E14" s="339"/>
      <c r="F14" s="340"/>
      <c r="G14" s="341" t="s">
        <v>153</v>
      </c>
      <c r="H14" s="336">
        <v>2</v>
      </c>
      <c r="I14" s="336">
        <v>48</v>
      </c>
      <c r="J14" s="336" t="str">
        <f t="shared" si="1"/>
        <v>EAB - EUROPASSISTANCE 2 48</v>
      </c>
      <c r="K14" s="337">
        <v>100000</v>
      </c>
      <c r="L14" s="332">
        <v>0.38588</v>
      </c>
      <c r="M14" s="326"/>
      <c r="N14" s="310" t="s">
        <v>149</v>
      </c>
      <c r="O14" s="310" t="s">
        <v>81</v>
      </c>
      <c r="P14" s="310" t="str">
        <f t="shared" si="0"/>
        <v>EUROPASSISTANCE BG</v>
      </c>
      <c r="Q14" s="311">
        <v>5</v>
      </c>
      <c r="R14" s="300"/>
      <c r="S14" s="288"/>
      <c r="T14" s="288"/>
      <c r="U14" s="300"/>
      <c r="V14" s="323" t="s">
        <v>169</v>
      </c>
      <c r="W14" s="323">
        <v>48</v>
      </c>
      <c r="X14" s="323">
        <v>780</v>
      </c>
      <c r="Y14" s="300"/>
      <c r="Z14" s="2"/>
      <c r="AC14" s="300"/>
    </row>
    <row r="15" spans="1:35" hidden="1">
      <c r="C15" s="2"/>
      <c r="D15" s="5"/>
      <c r="E15" s="339"/>
      <c r="F15" s="340"/>
      <c r="G15" s="341" t="s">
        <v>153</v>
      </c>
      <c r="H15" s="336">
        <v>2</v>
      </c>
      <c r="I15" s="336">
        <v>60</v>
      </c>
      <c r="J15" s="336" t="str">
        <f t="shared" ref="J15:J22" si="2">CONCATENATE(G15," ",H15," ",I15)</f>
        <v>EAB - EUROPASSISTANCE 2 60</v>
      </c>
      <c r="K15" s="337">
        <v>100000</v>
      </c>
      <c r="L15" s="332">
        <v>0.48235</v>
      </c>
      <c r="M15" s="326"/>
      <c r="N15" s="310" t="s">
        <v>149</v>
      </c>
      <c r="O15" s="310" t="s">
        <v>82</v>
      </c>
      <c r="P15" s="310" t="str">
        <f t="shared" si="0"/>
        <v>EUROPASSISTANCE BI</v>
      </c>
      <c r="Q15" s="311">
        <v>5</v>
      </c>
      <c r="R15" s="300"/>
      <c r="S15" s="288"/>
      <c r="T15" s="288"/>
      <c r="U15" s="300"/>
      <c r="V15" s="323" t="s">
        <v>169</v>
      </c>
      <c r="W15" s="323">
        <v>60</v>
      </c>
      <c r="X15" s="323">
        <v>975</v>
      </c>
      <c r="Y15" s="300"/>
      <c r="Z15" s="2"/>
      <c r="AC15" s="300"/>
    </row>
    <row r="16" spans="1:35" hidden="1">
      <c r="C16" s="2"/>
      <c r="D16" s="5"/>
      <c r="E16" s="339"/>
      <c r="F16" s="340"/>
      <c r="G16" s="341" t="s">
        <v>153</v>
      </c>
      <c r="H16" s="336">
        <v>2</v>
      </c>
      <c r="I16" s="336">
        <v>72</v>
      </c>
      <c r="J16" s="336" t="str">
        <f t="shared" si="2"/>
        <v>EAB - EUROPASSISTANCE 2 72</v>
      </c>
      <c r="K16" s="337">
        <v>100000</v>
      </c>
      <c r="L16" s="327">
        <v>0</v>
      </c>
      <c r="M16" s="326"/>
      <c r="N16" s="310" t="s">
        <v>149</v>
      </c>
      <c r="O16" s="310" t="s">
        <v>83</v>
      </c>
      <c r="P16" s="310" t="str">
        <f t="shared" si="0"/>
        <v>EUROPASSISTANCE BL</v>
      </c>
      <c r="Q16" s="311">
        <v>5</v>
      </c>
      <c r="R16" s="300"/>
      <c r="S16" s="288"/>
      <c r="T16" s="288"/>
      <c r="U16" s="300"/>
      <c r="V16" s="288"/>
      <c r="W16" s="288"/>
      <c r="X16" s="288"/>
      <c r="Y16" s="300"/>
      <c r="Z16" s="2"/>
      <c r="AC16" s="300"/>
    </row>
    <row r="17" spans="3:29" hidden="1">
      <c r="C17" s="2"/>
      <c r="D17" s="5"/>
      <c r="E17" s="339"/>
      <c r="F17" s="340"/>
      <c r="G17" s="341" t="s">
        <v>153</v>
      </c>
      <c r="H17" s="319">
        <v>3</v>
      </c>
      <c r="I17" s="319">
        <v>12</v>
      </c>
      <c r="J17" s="319" t="str">
        <f t="shared" si="2"/>
        <v>EAB - EUROPASSISTANCE 3 12</v>
      </c>
      <c r="K17" s="320">
        <v>100000</v>
      </c>
      <c r="L17" s="321">
        <v>7.4859999999999996E-2</v>
      </c>
      <c r="M17" s="326"/>
      <c r="N17" s="310" t="s">
        <v>149</v>
      </c>
      <c r="O17" s="310" t="s">
        <v>53</v>
      </c>
      <c r="P17" s="310" t="str">
        <f t="shared" si="0"/>
        <v>EUROPASSISTANCE BN</v>
      </c>
      <c r="Q17" s="311">
        <v>3</v>
      </c>
      <c r="R17" s="300"/>
      <c r="S17" s="288"/>
      <c r="T17" s="288"/>
      <c r="U17" s="300"/>
      <c r="V17" s="288"/>
      <c r="W17" s="288"/>
      <c r="X17" s="288"/>
      <c r="Y17" s="300"/>
      <c r="Z17" s="2"/>
      <c r="AC17" s="300"/>
    </row>
    <row r="18" spans="3:29" hidden="1">
      <c r="C18" s="2"/>
      <c r="D18" s="5"/>
      <c r="E18" s="339"/>
      <c r="F18" s="340"/>
      <c r="G18" s="341" t="s">
        <v>153</v>
      </c>
      <c r="H18" s="319">
        <v>3</v>
      </c>
      <c r="I18" s="319">
        <v>24</v>
      </c>
      <c r="J18" s="319" t="str">
        <f t="shared" si="2"/>
        <v>EAB - EUROPASSISTANCE 3 24</v>
      </c>
      <c r="K18" s="320">
        <v>100000</v>
      </c>
      <c r="L18" s="321">
        <v>0.14221999999999999</v>
      </c>
      <c r="M18" s="326"/>
      <c r="N18" s="310" t="s">
        <v>149</v>
      </c>
      <c r="O18" s="310" t="s">
        <v>84</v>
      </c>
      <c r="P18" s="310" t="str">
        <f t="shared" si="0"/>
        <v>EUROPASSISTANCE BO</v>
      </c>
      <c r="Q18" s="311">
        <v>5</v>
      </c>
      <c r="R18" s="300"/>
      <c r="S18" s="288"/>
      <c r="T18" s="288"/>
      <c r="U18" s="300"/>
      <c r="V18" s="288"/>
      <c r="W18" s="288"/>
      <c r="X18" s="288"/>
      <c r="Y18" s="300"/>
      <c r="Z18" s="2"/>
      <c r="AC18" s="300"/>
    </row>
    <row r="19" spans="3:29" hidden="1">
      <c r="C19" s="2"/>
      <c r="D19" s="5"/>
      <c r="E19" s="339"/>
      <c r="F19" s="340"/>
      <c r="G19" s="341" t="s">
        <v>153</v>
      </c>
      <c r="H19" s="319">
        <v>3</v>
      </c>
      <c r="I19" s="319">
        <v>36</v>
      </c>
      <c r="J19" s="319" t="str">
        <f t="shared" si="2"/>
        <v>EAB - EUROPASSISTANCE 3 36</v>
      </c>
      <c r="K19" s="320">
        <v>100000</v>
      </c>
      <c r="L19" s="321">
        <v>0.21332999999999999</v>
      </c>
      <c r="M19" s="326"/>
      <c r="N19" s="310" t="s">
        <v>149</v>
      </c>
      <c r="O19" s="310" t="s">
        <v>42</v>
      </c>
      <c r="P19" s="310" t="str">
        <f t="shared" si="0"/>
        <v>EUROPASSISTANCE BR</v>
      </c>
      <c r="Q19" s="311">
        <v>2</v>
      </c>
      <c r="R19" s="300"/>
      <c r="S19" s="288"/>
      <c r="T19" s="288"/>
      <c r="U19" s="300"/>
      <c r="V19" s="288"/>
      <c r="W19" s="288"/>
      <c r="X19" s="288"/>
      <c r="Y19" s="300"/>
      <c r="Z19" s="2"/>
      <c r="AC19" s="300"/>
    </row>
    <row r="20" spans="3:29" hidden="1">
      <c r="C20" s="2"/>
      <c r="D20" s="5"/>
      <c r="E20" s="339"/>
      <c r="F20" s="340"/>
      <c r="G20" s="341" t="s">
        <v>153</v>
      </c>
      <c r="H20" s="319">
        <v>3</v>
      </c>
      <c r="I20" s="319">
        <v>48</v>
      </c>
      <c r="J20" s="319" t="str">
        <f t="shared" si="2"/>
        <v>EAB - EUROPASSISTANCE 3 48</v>
      </c>
      <c r="K20" s="320">
        <v>100000</v>
      </c>
      <c r="L20" s="321">
        <v>0.28443999999999997</v>
      </c>
      <c r="M20" s="326"/>
      <c r="N20" s="310" t="s">
        <v>149</v>
      </c>
      <c r="O20" s="310" t="s">
        <v>85</v>
      </c>
      <c r="P20" s="310" t="str">
        <f t="shared" si="0"/>
        <v>EUROPASSISTANCE BS</v>
      </c>
      <c r="Q20" s="311">
        <v>5</v>
      </c>
      <c r="R20" s="300"/>
      <c r="S20" s="288"/>
      <c r="T20" s="288"/>
      <c r="U20" s="300"/>
      <c r="V20" s="288"/>
      <c r="W20" s="288"/>
      <c r="X20" s="288"/>
      <c r="Y20" s="300"/>
      <c r="Z20" s="2"/>
      <c r="AC20" s="300"/>
    </row>
    <row r="21" spans="3:29" hidden="1">
      <c r="C21" s="2"/>
      <c r="D21" s="5"/>
      <c r="E21" s="339"/>
      <c r="F21" s="340"/>
      <c r="G21" s="341" t="s">
        <v>153</v>
      </c>
      <c r="H21" s="319">
        <v>3</v>
      </c>
      <c r="I21" s="319">
        <v>60</v>
      </c>
      <c r="J21" s="319" t="str">
        <f t="shared" si="2"/>
        <v>EAB - EUROPASSISTANCE 3 60</v>
      </c>
      <c r="K21" s="320">
        <v>100000</v>
      </c>
      <c r="L21" s="321">
        <v>0.35555000000000003</v>
      </c>
      <c r="M21" s="326"/>
      <c r="N21" s="310" t="s">
        <v>149</v>
      </c>
      <c r="O21" s="310" t="s">
        <v>39</v>
      </c>
      <c r="P21" s="310" t="str">
        <f t="shared" si="0"/>
        <v>EUROPASSISTANCE BT</v>
      </c>
      <c r="Q21" s="311">
        <v>1</v>
      </c>
      <c r="R21" s="300"/>
      <c r="S21" s="288"/>
      <c r="T21" s="288"/>
      <c r="U21" s="300"/>
      <c r="V21" s="288"/>
      <c r="W21" s="288"/>
      <c r="X21" s="288"/>
      <c r="Y21" s="300"/>
      <c r="Z21" s="2"/>
      <c r="AC21" s="300"/>
    </row>
    <row r="22" spans="3:29" hidden="1">
      <c r="C22" s="2"/>
      <c r="D22" s="5"/>
      <c r="E22" s="339"/>
      <c r="F22" s="340"/>
      <c r="G22" s="341" t="s">
        <v>153</v>
      </c>
      <c r="H22" s="319">
        <v>3</v>
      </c>
      <c r="I22" s="319">
        <v>72</v>
      </c>
      <c r="J22" s="319" t="str">
        <f t="shared" si="2"/>
        <v>EAB - EUROPASSISTANCE 3 72</v>
      </c>
      <c r="K22" s="320">
        <v>100000</v>
      </c>
      <c r="L22" s="327">
        <v>0</v>
      </c>
      <c r="M22" s="326"/>
      <c r="N22" s="310" t="s">
        <v>149</v>
      </c>
      <c r="O22" s="310" t="s">
        <v>145</v>
      </c>
      <c r="P22" s="310" t="str">
        <f t="shared" si="0"/>
        <v>EUROPASSISTANCE BZ</v>
      </c>
      <c r="Q22" s="311">
        <v>7</v>
      </c>
      <c r="R22" s="300"/>
      <c r="S22" s="288"/>
      <c r="T22" s="288"/>
      <c r="U22" s="300"/>
      <c r="V22" s="288"/>
      <c r="W22" s="288"/>
      <c r="X22" s="288"/>
      <c r="Y22" s="300"/>
      <c r="Z22" s="2"/>
      <c r="AC22" s="300"/>
    </row>
    <row r="23" spans="3:29" hidden="1">
      <c r="C23" s="2"/>
      <c r="D23" s="5"/>
      <c r="E23" s="339"/>
      <c r="F23" s="340"/>
      <c r="G23" s="341" t="s">
        <v>153</v>
      </c>
      <c r="H23" s="336">
        <v>4</v>
      </c>
      <c r="I23" s="336">
        <v>12</v>
      </c>
      <c r="J23" s="336" t="str">
        <f t="shared" si="1"/>
        <v>EAB - EUROPASSISTANCE 4 12</v>
      </c>
      <c r="K23" s="337">
        <v>100000</v>
      </c>
      <c r="L23" s="332">
        <v>7.1370000000000003E-2</v>
      </c>
      <c r="M23" s="326"/>
      <c r="N23" s="310" t="s">
        <v>149</v>
      </c>
      <c r="O23" s="310" t="s">
        <v>86</v>
      </c>
      <c r="P23" s="310" t="str">
        <f t="shared" si="0"/>
        <v>EUROPASSISTANCE CA</v>
      </c>
      <c r="Q23" s="311">
        <v>5</v>
      </c>
      <c r="R23" s="300"/>
      <c r="S23" s="288"/>
      <c r="T23" s="288"/>
      <c r="U23" s="300"/>
      <c r="V23" s="288"/>
      <c r="W23" s="288"/>
      <c r="X23" s="288"/>
      <c r="Y23" s="300"/>
      <c r="Z23" s="2"/>
      <c r="AC23" s="300"/>
    </row>
    <row r="24" spans="3:29" hidden="1">
      <c r="C24" s="2"/>
      <c r="D24" s="5"/>
      <c r="E24" s="339"/>
      <c r="F24" s="340"/>
      <c r="G24" s="341" t="s">
        <v>153</v>
      </c>
      <c r="H24" s="336">
        <v>4</v>
      </c>
      <c r="I24" s="336">
        <v>24</v>
      </c>
      <c r="J24" s="336" t="str">
        <f t="shared" si="1"/>
        <v>EAB - EUROPASSISTANCE 4 24</v>
      </c>
      <c r="K24" s="337">
        <v>100000</v>
      </c>
      <c r="L24" s="332">
        <v>0.1356</v>
      </c>
      <c r="M24" s="326"/>
      <c r="N24" s="310" t="s">
        <v>149</v>
      </c>
      <c r="O24" s="310" t="s">
        <v>87</v>
      </c>
      <c r="P24" s="310" t="str">
        <f t="shared" si="0"/>
        <v>EUROPASSISTANCE CB</v>
      </c>
      <c r="Q24" s="311">
        <v>5</v>
      </c>
      <c r="R24" s="300"/>
      <c r="S24" s="288"/>
      <c r="T24" s="288"/>
      <c r="U24" s="300"/>
      <c r="V24" s="288"/>
      <c r="W24" s="288"/>
      <c r="X24" s="288"/>
      <c r="Y24" s="300"/>
      <c r="Z24" s="2"/>
      <c r="AC24" s="300"/>
    </row>
    <row r="25" spans="3:29" hidden="1">
      <c r="C25" s="2"/>
      <c r="D25" s="5"/>
      <c r="E25" s="339"/>
      <c r="F25" s="340"/>
      <c r="G25" s="341" t="s">
        <v>153</v>
      </c>
      <c r="H25" s="336">
        <v>4</v>
      </c>
      <c r="I25" s="336">
        <v>36</v>
      </c>
      <c r="J25" s="336" t="str">
        <f t="shared" si="1"/>
        <v>EAB - EUROPASSISTANCE 4 36</v>
      </c>
      <c r="K25" s="337">
        <v>100000</v>
      </c>
      <c r="L25" s="332">
        <v>0.20339999999999997</v>
      </c>
      <c r="M25" s="326"/>
      <c r="N25" s="310" t="s">
        <v>149</v>
      </c>
      <c r="O25" s="310" t="s">
        <v>144</v>
      </c>
      <c r="P25" s="310" t="str">
        <f t="shared" si="0"/>
        <v>EUROPASSISTANCE CE</v>
      </c>
      <c r="Q25" s="311">
        <v>6</v>
      </c>
      <c r="R25" s="300"/>
      <c r="S25" s="288"/>
      <c r="T25" s="288"/>
      <c r="U25" s="300"/>
      <c r="V25" s="288"/>
      <c r="W25" s="288"/>
      <c r="X25" s="288"/>
      <c r="Y25" s="300"/>
      <c r="Z25" s="2"/>
      <c r="AC25" s="300"/>
    </row>
    <row r="26" spans="3:29" hidden="1">
      <c r="C26" s="2"/>
      <c r="D26" s="5"/>
      <c r="E26" s="339"/>
      <c r="F26" s="340"/>
      <c r="G26" s="341" t="s">
        <v>153</v>
      </c>
      <c r="H26" s="336">
        <v>4</v>
      </c>
      <c r="I26" s="336">
        <v>48</v>
      </c>
      <c r="J26" s="336" t="str">
        <f t="shared" si="1"/>
        <v>EAB - EUROPASSISTANCE 4 48</v>
      </c>
      <c r="K26" s="337">
        <v>100000</v>
      </c>
      <c r="L26" s="332">
        <v>0.2712</v>
      </c>
      <c r="M26" s="326"/>
      <c r="N26" s="310" t="s">
        <v>149</v>
      </c>
      <c r="O26" s="310" t="s">
        <v>67</v>
      </c>
      <c r="P26" s="310" t="str">
        <f t="shared" si="0"/>
        <v>EUROPASSISTANCE CH</v>
      </c>
      <c r="Q26" s="311">
        <v>4</v>
      </c>
      <c r="R26" s="300"/>
      <c r="S26" s="288"/>
      <c r="T26" s="288"/>
      <c r="U26" s="300"/>
      <c r="V26" s="288"/>
      <c r="W26" s="288"/>
      <c r="X26" s="288"/>
      <c r="Y26" s="300"/>
      <c r="Z26" s="2"/>
      <c r="AC26" s="300"/>
    </row>
    <row r="27" spans="3:29" hidden="1">
      <c r="C27" s="2"/>
      <c r="D27" s="5"/>
      <c r="E27" s="339"/>
      <c r="F27" s="340"/>
      <c r="G27" s="341" t="s">
        <v>153</v>
      </c>
      <c r="H27" s="336">
        <v>4</v>
      </c>
      <c r="I27" s="336">
        <v>60</v>
      </c>
      <c r="J27" s="336" t="str">
        <f t="shared" si="1"/>
        <v>EAB - EUROPASSISTANCE 4 60</v>
      </c>
      <c r="K27" s="337">
        <v>100000</v>
      </c>
      <c r="L27" s="332">
        <v>0.33900000000000002</v>
      </c>
      <c r="M27" s="326"/>
      <c r="N27" s="310" t="s">
        <v>149</v>
      </c>
      <c r="O27" s="310" t="s">
        <v>88</v>
      </c>
      <c r="P27" s="310" t="str">
        <f t="shared" si="0"/>
        <v>EUROPASSISTANCE CL</v>
      </c>
      <c r="Q27" s="311">
        <v>5</v>
      </c>
      <c r="R27" s="300"/>
      <c r="S27" s="288"/>
      <c r="T27" s="288"/>
      <c r="U27" s="300"/>
      <c r="V27" s="288"/>
      <c r="W27" s="288"/>
      <c r="X27" s="288"/>
      <c r="Y27" s="300"/>
      <c r="Z27" s="2"/>
      <c r="AC27" s="300"/>
    </row>
    <row r="28" spans="3:29" hidden="1">
      <c r="C28" s="2"/>
      <c r="D28" s="5"/>
      <c r="E28" s="339"/>
      <c r="F28" s="340"/>
      <c r="G28" s="341" t="s">
        <v>153</v>
      </c>
      <c r="H28" s="336">
        <v>4</v>
      </c>
      <c r="I28" s="336">
        <v>72</v>
      </c>
      <c r="J28" s="336" t="str">
        <f t="shared" si="1"/>
        <v>EAB - EUROPASSISTANCE 4 72</v>
      </c>
      <c r="K28" s="337">
        <v>100000</v>
      </c>
      <c r="L28" s="327">
        <v>0</v>
      </c>
      <c r="M28" s="326"/>
      <c r="N28" s="310" t="s">
        <v>149</v>
      </c>
      <c r="O28" s="310" t="s">
        <v>89</v>
      </c>
      <c r="P28" s="310" t="str">
        <f t="shared" si="0"/>
        <v>EUROPASSISTANCE CN</v>
      </c>
      <c r="Q28" s="311">
        <v>5</v>
      </c>
      <c r="R28" s="300"/>
      <c r="S28" s="288"/>
      <c r="T28" s="288"/>
      <c r="U28" s="300"/>
      <c r="V28" s="288"/>
      <c r="W28" s="288"/>
      <c r="X28" s="288"/>
      <c r="Y28" s="300"/>
      <c r="Z28" s="2"/>
      <c r="AC28" s="300"/>
    </row>
    <row r="29" spans="3:29" hidden="1">
      <c r="C29" s="2"/>
      <c r="D29" s="5"/>
      <c r="E29" s="339"/>
      <c r="F29" s="340"/>
      <c r="G29" s="341" t="s">
        <v>153</v>
      </c>
      <c r="H29" s="319">
        <v>5</v>
      </c>
      <c r="I29" s="319">
        <v>12</v>
      </c>
      <c r="J29" s="319" t="str">
        <f t="shared" si="1"/>
        <v>EAB - EUROPASSISTANCE 5 12</v>
      </c>
      <c r="K29" s="320">
        <v>100000</v>
      </c>
      <c r="L29" s="321">
        <v>6.3250000000000001E-2</v>
      </c>
      <c r="M29" s="326"/>
      <c r="N29" s="310" t="s">
        <v>149</v>
      </c>
      <c r="O29" s="310" t="s">
        <v>90</v>
      </c>
      <c r="P29" s="310" t="str">
        <f t="shared" si="0"/>
        <v>EUROPASSISTANCE CO</v>
      </c>
      <c r="Q29" s="311">
        <v>5</v>
      </c>
      <c r="R29" s="300"/>
      <c r="S29" s="288"/>
      <c r="T29" s="288"/>
      <c r="U29" s="300"/>
      <c r="V29" s="288"/>
      <c r="W29" s="288"/>
      <c r="X29" s="288"/>
      <c r="Y29" s="300"/>
      <c r="Z29" s="2"/>
      <c r="AC29" s="300"/>
    </row>
    <row r="30" spans="3:29" hidden="1">
      <c r="C30" s="2"/>
      <c r="D30" s="5"/>
      <c r="E30" s="339"/>
      <c r="F30" s="340"/>
      <c r="G30" s="341" t="s">
        <v>153</v>
      </c>
      <c r="H30" s="319">
        <v>5</v>
      </c>
      <c r="I30" s="319">
        <v>24</v>
      </c>
      <c r="J30" s="319" t="str">
        <f t="shared" si="1"/>
        <v>EAB - EUROPASSISTANCE 5 24</v>
      </c>
      <c r="K30" s="320">
        <v>100000</v>
      </c>
      <c r="L30" s="321">
        <v>0.12018</v>
      </c>
      <c r="M30" s="326"/>
      <c r="N30" s="310" t="s">
        <v>149</v>
      </c>
      <c r="O30" s="310" t="s">
        <v>91</v>
      </c>
      <c r="P30" s="310" t="str">
        <f t="shared" si="0"/>
        <v>EUROPASSISTANCE CR</v>
      </c>
      <c r="Q30" s="311">
        <v>5</v>
      </c>
      <c r="R30" s="300"/>
      <c r="S30" s="288"/>
      <c r="T30" s="288"/>
      <c r="U30" s="300"/>
      <c r="V30" s="288"/>
      <c r="W30" s="288"/>
      <c r="X30" s="288"/>
      <c r="Y30" s="300"/>
      <c r="Z30" s="2"/>
      <c r="AC30" s="300"/>
    </row>
    <row r="31" spans="3:29" hidden="1">
      <c r="C31" s="2"/>
      <c r="D31" s="5"/>
      <c r="E31" s="339"/>
      <c r="F31" s="340"/>
      <c r="G31" s="341" t="s">
        <v>153</v>
      </c>
      <c r="H31" s="319">
        <v>5</v>
      </c>
      <c r="I31" s="319">
        <v>36</v>
      </c>
      <c r="J31" s="319" t="str">
        <f t="shared" si="1"/>
        <v>EAB - EUROPASSISTANCE 5 36</v>
      </c>
      <c r="K31" s="320">
        <v>100000</v>
      </c>
      <c r="L31" s="321">
        <v>0.18026999999999999</v>
      </c>
      <c r="M31" s="326"/>
      <c r="N31" s="310" t="s">
        <v>149</v>
      </c>
      <c r="O31" s="310" t="s">
        <v>54</v>
      </c>
      <c r="P31" s="310" t="str">
        <f t="shared" si="0"/>
        <v>EUROPASSISTANCE CS</v>
      </c>
      <c r="Q31" s="311">
        <v>3</v>
      </c>
      <c r="R31" s="300"/>
      <c r="S31" s="288"/>
      <c r="T31" s="288"/>
      <c r="U31" s="300"/>
      <c r="V31" s="288"/>
      <c r="W31" s="288"/>
      <c r="X31" s="288"/>
      <c r="Y31" s="300"/>
      <c r="Z31" s="2"/>
      <c r="AC31" s="300"/>
    </row>
    <row r="32" spans="3:29" hidden="1">
      <c r="C32" s="2"/>
      <c r="D32" s="5"/>
      <c r="E32" s="339"/>
      <c r="F32" s="340"/>
      <c r="G32" s="341" t="s">
        <v>153</v>
      </c>
      <c r="H32" s="319">
        <v>5</v>
      </c>
      <c r="I32" s="319">
        <v>48</v>
      </c>
      <c r="J32" s="319" t="str">
        <f t="shared" si="1"/>
        <v>EAB - EUROPASSISTANCE 5 48</v>
      </c>
      <c r="K32" s="320">
        <v>100000</v>
      </c>
      <c r="L32" s="321">
        <v>0.24035999999999999</v>
      </c>
      <c r="M32" s="326"/>
      <c r="N32" s="310" t="s">
        <v>149</v>
      </c>
      <c r="O32" s="310" t="s">
        <v>55</v>
      </c>
      <c r="P32" s="310" t="str">
        <f t="shared" si="0"/>
        <v>EUROPASSISTANCE CT</v>
      </c>
      <c r="Q32" s="311">
        <v>3</v>
      </c>
      <c r="R32" s="300"/>
      <c r="S32" s="288"/>
      <c r="T32" s="288"/>
      <c r="U32" s="300"/>
      <c r="V32" s="288"/>
      <c r="W32" s="288"/>
      <c r="X32" s="288"/>
      <c r="Y32" s="300"/>
      <c r="Z32" s="2"/>
      <c r="AC32" s="300"/>
    </row>
    <row r="33" spans="3:29" hidden="1">
      <c r="C33" s="2"/>
      <c r="D33" s="5"/>
      <c r="E33" s="339"/>
      <c r="F33" s="340"/>
      <c r="G33" s="341" t="s">
        <v>153</v>
      </c>
      <c r="H33" s="319">
        <v>5</v>
      </c>
      <c r="I33" s="319">
        <v>60</v>
      </c>
      <c r="J33" s="319" t="str">
        <f t="shared" si="1"/>
        <v>EAB - EUROPASSISTANCE 5 60</v>
      </c>
      <c r="K33" s="320">
        <v>100000</v>
      </c>
      <c r="L33" s="321">
        <v>0.30044999999999999</v>
      </c>
      <c r="M33" s="326"/>
      <c r="N33" s="310" t="s">
        <v>149</v>
      </c>
      <c r="O33" s="310" t="s">
        <v>56</v>
      </c>
      <c r="P33" s="310" t="str">
        <f t="shared" si="0"/>
        <v>EUROPASSISTANCE CZ</v>
      </c>
      <c r="Q33" s="311">
        <v>3</v>
      </c>
      <c r="R33" s="300"/>
      <c r="S33" s="288"/>
      <c r="T33" s="288"/>
      <c r="U33" s="300"/>
      <c r="V33" s="288"/>
      <c r="W33" s="288"/>
      <c r="X33" s="288"/>
      <c r="Y33" s="300"/>
      <c r="Z33" s="2"/>
      <c r="AC33" s="300"/>
    </row>
    <row r="34" spans="3:29" hidden="1">
      <c r="C34" s="2"/>
      <c r="D34" s="5"/>
      <c r="E34" s="339"/>
      <c r="F34" s="340"/>
      <c r="G34" s="341" t="s">
        <v>153</v>
      </c>
      <c r="H34" s="319">
        <v>5</v>
      </c>
      <c r="I34" s="319">
        <v>72</v>
      </c>
      <c r="J34" s="319" t="str">
        <f t="shared" si="1"/>
        <v>EAB - EUROPASSISTANCE 5 72</v>
      </c>
      <c r="K34" s="320">
        <v>100000</v>
      </c>
      <c r="L34" s="327">
        <v>0</v>
      </c>
      <c r="M34" s="326"/>
      <c r="N34" s="310" t="s">
        <v>149</v>
      </c>
      <c r="O34" s="310" t="s">
        <v>68</v>
      </c>
      <c r="P34" s="310" t="str">
        <f t="shared" si="0"/>
        <v>EUROPASSISTANCE EN</v>
      </c>
      <c r="Q34" s="311">
        <v>4</v>
      </c>
      <c r="R34" s="300"/>
      <c r="S34" s="288"/>
      <c r="T34" s="288"/>
      <c r="U34" s="300"/>
      <c r="V34" s="288"/>
      <c r="W34" s="288"/>
      <c r="X34" s="288"/>
      <c r="Y34" s="300"/>
      <c r="Z34" s="2"/>
      <c r="AC34" s="300"/>
    </row>
    <row r="35" spans="3:29" hidden="1">
      <c r="C35" s="2"/>
      <c r="D35" s="5"/>
      <c r="E35" s="339"/>
      <c r="F35" s="340"/>
      <c r="G35" s="341" t="s">
        <v>153</v>
      </c>
      <c r="H35" s="336">
        <v>6</v>
      </c>
      <c r="I35" s="336">
        <v>12</v>
      </c>
      <c r="J35" s="336" t="str">
        <f t="shared" si="1"/>
        <v>EAB - EUROPASSISTANCE 6 12</v>
      </c>
      <c r="K35" s="337">
        <v>35000</v>
      </c>
      <c r="L35" s="332">
        <v>0.11778</v>
      </c>
      <c r="M35" s="326"/>
      <c r="N35" s="310" t="s">
        <v>149</v>
      </c>
      <c r="O35" s="310" t="s">
        <v>92</v>
      </c>
      <c r="P35" s="310" t="str">
        <f t="shared" si="0"/>
        <v>EUROPASSISTANCE FC</v>
      </c>
      <c r="Q35" s="311">
        <v>5</v>
      </c>
      <c r="R35" s="300"/>
      <c r="S35" s="288"/>
      <c r="T35" s="288"/>
      <c r="U35" s="300"/>
      <c r="V35" s="288"/>
      <c r="W35" s="288"/>
      <c r="X35" s="288"/>
      <c r="Y35" s="300"/>
      <c r="Z35" s="2"/>
      <c r="AC35" s="300"/>
    </row>
    <row r="36" spans="3:29" hidden="1">
      <c r="C36" s="2"/>
      <c r="D36" s="5"/>
      <c r="E36" s="339"/>
      <c r="F36" s="340"/>
      <c r="G36" s="341" t="s">
        <v>153</v>
      </c>
      <c r="H36" s="336">
        <v>6</v>
      </c>
      <c r="I36" s="336">
        <v>24</v>
      </c>
      <c r="J36" s="336" t="str">
        <f t="shared" si="1"/>
        <v>EAB - EUROPASSISTANCE 6 24</v>
      </c>
      <c r="K36" s="337">
        <v>35000</v>
      </c>
      <c r="L36" s="332">
        <v>0.22379999999999997</v>
      </c>
      <c r="M36" s="326"/>
      <c r="N36" s="310" t="s">
        <v>149</v>
      </c>
      <c r="O36" s="310" t="s">
        <v>69</v>
      </c>
      <c r="P36" s="310" t="str">
        <f t="shared" si="0"/>
        <v>EUROPASSISTANCE FE</v>
      </c>
      <c r="Q36" s="311">
        <v>4</v>
      </c>
      <c r="R36" s="300"/>
      <c r="S36" s="288"/>
      <c r="T36" s="288"/>
      <c r="U36" s="300"/>
      <c r="V36" s="288"/>
      <c r="W36" s="288"/>
      <c r="X36" s="288"/>
      <c r="Y36" s="300"/>
      <c r="Z36" s="2"/>
      <c r="AC36" s="300"/>
    </row>
    <row r="37" spans="3:29" hidden="1">
      <c r="C37" s="2"/>
      <c r="D37" s="5"/>
      <c r="E37" s="339"/>
      <c r="F37" s="340"/>
      <c r="G37" s="341" t="s">
        <v>153</v>
      </c>
      <c r="H37" s="336">
        <v>6</v>
      </c>
      <c r="I37" s="336">
        <v>36</v>
      </c>
      <c r="J37" s="336" t="str">
        <f t="shared" si="1"/>
        <v>EAB - EUROPASSISTANCE 6 36</v>
      </c>
      <c r="K37" s="337">
        <v>35000</v>
      </c>
      <c r="L37" s="332">
        <v>0.3357</v>
      </c>
      <c r="M37" s="326"/>
      <c r="N37" s="310" t="s">
        <v>149</v>
      </c>
      <c r="O37" s="310" t="s">
        <v>40</v>
      </c>
      <c r="P37" s="310" t="str">
        <f t="shared" si="0"/>
        <v>EUROPASSISTANCE FG</v>
      </c>
      <c r="Q37" s="311">
        <v>1</v>
      </c>
      <c r="R37" s="300"/>
      <c r="S37" s="288"/>
      <c r="T37" s="288"/>
      <c r="U37" s="300"/>
      <c r="V37" s="288"/>
      <c r="W37" s="288"/>
      <c r="X37" s="288"/>
      <c r="Y37" s="300"/>
      <c r="Z37" s="2"/>
      <c r="AC37" s="300"/>
    </row>
    <row r="38" spans="3:29" hidden="1">
      <c r="C38" s="2"/>
      <c r="D38" s="5"/>
      <c r="E38" s="339"/>
      <c r="F38" s="340"/>
      <c r="G38" s="341" t="s">
        <v>153</v>
      </c>
      <c r="H38" s="336">
        <v>6</v>
      </c>
      <c r="I38" s="336">
        <v>48</v>
      </c>
      <c r="J38" s="336" t="str">
        <f t="shared" si="1"/>
        <v>EAB - EUROPASSISTANCE 6 48</v>
      </c>
      <c r="K38" s="337">
        <v>35000</v>
      </c>
      <c r="L38" s="332">
        <v>0.44759999999999994</v>
      </c>
      <c r="M38" s="326"/>
      <c r="N38" s="310" t="s">
        <v>149</v>
      </c>
      <c r="O38" s="310" t="s">
        <v>93</v>
      </c>
      <c r="P38" s="310" t="str">
        <f t="shared" si="0"/>
        <v>EUROPASSISTANCE FI</v>
      </c>
      <c r="Q38" s="311">
        <v>5</v>
      </c>
      <c r="R38" s="300"/>
      <c r="S38" s="288"/>
      <c r="T38" s="288"/>
      <c r="U38" s="300"/>
      <c r="V38" s="288"/>
      <c r="W38" s="288"/>
      <c r="X38" s="288"/>
      <c r="Y38" s="300"/>
      <c r="Z38" s="2"/>
      <c r="AC38" s="300"/>
    </row>
    <row r="39" spans="3:29" hidden="1">
      <c r="C39" s="2"/>
      <c r="D39" s="5"/>
      <c r="E39" s="339"/>
      <c r="F39" s="340"/>
      <c r="G39" s="341" t="s">
        <v>153</v>
      </c>
      <c r="H39" s="336">
        <v>6</v>
      </c>
      <c r="I39" s="336">
        <v>60</v>
      </c>
      <c r="J39" s="336" t="str">
        <f t="shared" si="1"/>
        <v>EAB - EUROPASSISTANCE 6 60</v>
      </c>
      <c r="K39" s="337">
        <v>35000</v>
      </c>
      <c r="L39" s="332">
        <v>0.5595</v>
      </c>
      <c r="M39" s="326"/>
      <c r="N39" s="310" t="s">
        <v>149</v>
      </c>
      <c r="O39" s="310" t="s">
        <v>94</v>
      </c>
      <c r="P39" s="310" t="str">
        <f t="shared" si="0"/>
        <v>EUROPASSISTANCE FM</v>
      </c>
      <c r="Q39" s="311">
        <v>5</v>
      </c>
      <c r="R39" s="300"/>
      <c r="S39" s="288"/>
      <c r="T39" s="288"/>
      <c r="U39" s="300"/>
      <c r="V39" s="288"/>
      <c r="W39" s="288"/>
      <c r="X39" s="288"/>
      <c r="Y39" s="300"/>
      <c r="Z39" s="2"/>
      <c r="AC39" s="300"/>
    </row>
    <row r="40" spans="3:29" hidden="1">
      <c r="C40" s="2"/>
      <c r="D40" s="5"/>
      <c r="E40" s="339"/>
      <c r="F40" s="340"/>
      <c r="G40" s="341" t="s">
        <v>153</v>
      </c>
      <c r="H40" s="336">
        <v>6</v>
      </c>
      <c r="I40" s="336">
        <v>72</v>
      </c>
      <c r="J40" s="336" t="str">
        <f t="shared" si="1"/>
        <v>EAB - EUROPASSISTANCE 6 72</v>
      </c>
      <c r="K40" s="337">
        <v>35000</v>
      </c>
      <c r="L40" s="327">
        <v>0</v>
      </c>
      <c r="M40" s="326"/>
      <c r="N40" s="310" t="s">
        <v>149</v>
      </c>
      <c r="O40" s="310" t="s">
        <v>57</v>
      </c>
      <c r="P40" s="310" t="str">
        <f t="shared" si="0"/>
        <v>EUROPASSISTANCE FR</v>
      </c>
      <c r="Q40" s="311">
        <v>3</v>
      </c>
      <c r="R40" s="300"/>
      <c r="S40" s="288"/>
      <c r="T40" s="288"/>
      <c r="U40" s="300"/>
      <c r="V40" s="288"/>
      <c r="W40" s="288"/>
      <c r="X40" s="288"/>
      <c r="Y40" s="300"/>
      <c r="Z40" s="2"/>
      <c r="AC40" s="300"/>
    </row>
    <row r="41" spans="3:29" hidden="1">
      <c r="C41" s="2"/>
      <c r="D41" s="5"/>
      <c r="E41" s="339"/>
      <c r="F41" s="340"/>
      <c r="G41" s="341" t="s">
        <v>153</v>
      </c>
      <c r="H41" s="319">
        <v>7</v>
      </c>
      <c r="I41" s="319">
        <v>12</v>
      </c>
      <c r="J41" s="319" t="str">
        <f t="shared" si="1"/>
        <v>EAB - EUROPASSISTANCE 7 12</v>
      </c>
      <c r="K41" s="320">
        <v>100000</v>
      </c>
      <c r="L41" s="321">
        <v>5.7149999999999999E-2</v>
      </c>
      <c r="M41" s="326"/>
      <c r="N41" s="310" t="s">
        <v>149</v>
      </c>
      <c r="O41" s="310" t="s">
        <v>95</v>
      </c>
      <c r="P41" s="310" t="str">
        <f t="shared" si="0"/>
        <v>EUROPASSISTANCE GE</v>
      </c>
      <c r="Q41" s="311">
        <v>5</v>
      </c>
      <c r="R41" s="300"/>
      <c r="S41" s="288"/>
      <c r="T41" s="288"/>
      <c r="U41" s="300"/>
      <c r="V41" s="288"/>
      <c r="W41" s="288"/>
      <c r="X41" s="288"/>
      <c r="Y41" s="300"/>
      <c r="Z41" s="2"/>
      <c r="AC41" s="300"/>
    </row>
    <row r="42" spans="3:29" hidden="1">
      <c r="C42" s="2"/>
      <c r="D42" s="5"/>
      <c r="E42" s="339"/>
      <c r="F42" s="340"/>
      <c r="G42" s="341" t="s">
        <v>153</v>
      </c>
      <c r="H42" s="319">
        <v>7</v>
      </c>
      <c r="I42" s="319">
        <v>24</v>
      </c>
      <c r="J42" s="319" t="str">
        <f t="shared" si="1"/>
        <v>EAB - EUROPASSISTANCE 7 24</v>
      </c>
      <c r="K42" s="320">
        <v>100000</v>
      </c>
      <c r="L42" s="321">
        <v>0.10856</v>
      </c>
      <c r="M42" s="326"/>
      <c r="N42" s="310" t="s">
        <v>149</v>
      </c>
      <c r="O42" s="310" t="s">
        <v>96</v>
      </c>
      <c r="P42" s="310" t="str">
        <f t="shared" si="0"/>
        <v>EUROPASSISTANCE GO</v>
      </c>
      <c r="Q42" s="311">
        <v>5</v>
      </c>
      <c r="R42" s="300"/>
      <c r="S42" s="288"/>
      <c r="T42" s="288"/>
      <c r="U42" s="300"/>
      <c r="V42" s="288"/>
      <c r="W42" s="288"/>
      <c r="X42" s="288"/>
      <c r="Y42" s="300"/>
      <c r="Z42" s="2"/>
      <c r="AC42" s="300"/>
    </row>
    <row r="43" spans="3:29" hidden="1">
      <c r="C43" s="2"/>
      <c r="D43" s="5"/>
      <c r="E43" s="339"/>
      <c r="F43" s="340"/>
      <c r="G43" s="341" t="s">
        <v>153</v>
      </c>
      <c r="H43" s="319">
        <v>7</v>
      </c>
      <c r="I43" s="319">
        <v>36</v>
      </c>
      <c r="J43" s="319" t="str">
        <f t="shared" si="1"/>
        <v>EAB - EUROPASSISTANCE 7 36</v>
      </c>
      <c r="K43" s="320">
        <v>100000</v>
      </c>
      <c r="L43" s="321">
        <v>0.16284000000000001</v>
      </c>
      <c r="M43" s="326"/>
      <c r="N43" s="310" t="s">
        <v>149</v>
      </c>
      <c r="O43" s="310" t="s">
        <v>97</v>
      </c>
      <c r="P43" s="310" t="str">
        <f t="shared" si="0"/>
        <v>EUROPASSISTANCE GR</v>
      </c>
      <c r="Q43" s="311">
        <v>5</v>
      </c>
      <c r="R43" s="300"/>
      <c r="S43" s="288"/>
      <c r="T43" s="288"/>
      <c r="U43" s="300"/>
      <c r="V43" s="288"/>
      <c r="W43" s="288"/>
      <c r="X43" s="288"/>
      <c r="Y43" s="300"/>
      <c r="Z43" s="2"/>
      <c r="AC43" s="300"/>
    </row>
    <row r="44" spans="3:29" hidden="1">
      <c r="C44" s="2"/>
      <c r="D44" s="5"/>
      <c r="E44" s="339"/>
      <c r="F44" s="340"/>
      <c r="G44" s="341" t="s">
        <v>153</v>
      </c>
      <c r="H44" s="319">
        <v>7</v>
      </c>
      <c r="I44" s="319">
        <v>48</v>
      </c>
      <c r="J44" s="319" t="str">
        <f t="shared" si="1"/>
        <v>EAB - EUROPASSISTANCE 7 48</v>
      </c>
      <c r="K44" s="320">
        <v>100000</v>
      </c>
      <c r="L44" s="321">
        <v>0.21712000000000001</v>
      </c>
      <c r="M44" s="326"/>
      <c r="N44" s="310" t="s">
        <v>149</v>
      </c>
      <c r="O44" s="310" t="s">
        <v>70</v>
      </c>
      <c r="P44" s="310" t="str">
        <f t="shared" si="0"/>
        <v>EUROPASSISTANCE IM</v>
      </c>
      <c r="Q44" s="311">
        <v>4</v>
      </c>
      <c r="R44" s="300"/>
      <c r="S44" s="288"/>
      <c r="T44" s="288"/>
      <c r="U44" s="300"/>
      <c r="V44" s="288"/>
      <c r="W44" s="288"/>
      <c r="X44" s="288"/>
      <c r="Y44" s="300"/>
      <c r="Z44" s="2"/>
      <c r="AC44" s="300"/>
    </row>
    <row r="45" spans="3:29" hidden="1">
      <c r="C45" s="2"/>
      <c r="D45" s="5"/>
      <c r="E45" s="339"/>
      <c r="F45" s="340"/>
      <c r="G45" s="341" t="s">
        <v>153</v>
      </c>
      <c r="H45" s="319">
        <v>7</v>
      </c>
      <c r="I45" s="319">
        <v>60</v>
      </c>
      <c r="J45" s="319" t="str">
        <f t="shared" si="1"/>
        <v>EAB - EUROPASSISTANCE 7 60</v>
      </c>
      <c r="K45" s="320">
        <v>100000</v>
      </c>
      <c r="L45" s="321">
        <v>0.27139999999999997</v>
      </c>
      <c r="M45" s="326"/>
      <c r="N45" s="310" t="s">
        <v>149</v>
      </c>
      <c r="O45" s="310" t="s">
        <v>71</v>
      </c>
      <c r="P45" s="310" t="str">
        <f t="shared" si="0"/>
        <v>EUROPASSISTANCE IS</v>
      </c>
      <c r="Q45" s="311">
        <v>4</v>
      </c>
      <c r="R45" s="300"/>
      <c r="S45" s="288"/>
      <c r="T45" s="288"/>
      <c r="U45" s="300"/>
      <c r="V45" s="288"/>
      <c r="W45" s="288"/>
      <c r="X45" s="288"/>
      <c r="Y45" s="300"/>
      <c r="Z45" s="2"/>
      <c r="AC45" s="300"/>
    </row>
    <row r="46" spans="3:29" hidden="1">
      <c r="C46" s="2"/>
      <c r="D46" s="5"/>
      <c r="E46" s="339"/>
      <c r="F46" s="340"/>
      <c r="G46" s="341" t="s">
        <v>153</v>
      </c>
      <c r="H46" s="319">
        <v>7</v>
      </c>
      <c r="I46" s="319">
        <v>72</v>
      </c>
      <c r="J46" s="319" t="str">
        <f t="shared" si="1"/>
        <v>EAB - EUROPASSISTANCE 7 72</v>
      </c>
      <c r="K46" s="342">
        <v>100000</v>
      </c>
      <c r="L46" s="327">
        <v>0</v>
      </c>
      <c r="M46" s="326"/>
      <c r="N46" s="310" t="s">
        <v>149</v>
      </c>
      <c r="O46" s="310" t="s">
        <v>43</v>
      </c>
      <c r="P46" s="310" t="str">
        <f t="shared" si="0"/>
        <v>EUROPASSISTANCE KR</v>
      </c>
      <c r="Q46" s="311">
        <v>2</v>
      </c>
      <c r="R46" s="300"/>
      <c r="S46" s="288"/>
      <c r="T46" s="288"/>
      <c r="U46" s="300"/>
      <c r="V46" s="288"/>
      <c r="W46" s="288"/>
      <c r="X46" s="288"/>
      <c r="Y46" s="300"/>
      <c r="Z46" s="2"/>
      <c r="AC46" s="300"/>
    </row>
    <row r="47" spans="3:29" hidden="1">
      <c r="C47" s="2"/>
      <c r="D47" s="5"/>
      <c r="E47" s="339"/>
      <c r="F47" s="340"/>
      <c r="G47" s="341" t="s">
        <v>153</v>
      </c>
      <c r="H47" s="336">
        <v>8</v>
      </c>
      <c r="I47" s="336">
        <v>12</v>
      </c>
      <c r="J47" s="336" t="str">
        <f t="shared" si="1"/>
        <v>EAB - EUROPASSISTANCE 8 12</v>
      </c>
      <c r="K47" s="337">
        <v>100000</v>
      </c>
      <c r="L47" s="332">
        <v>8.337E-2</v>
      </c>
      <c r="M47" s="326"/>
      <c r="N47" s="310" t="s">
        <v>149</v>
      </c>
      <c r="O47" s="310" t="s">
        <v>98</v>
      </c>
      <c r="P47" s="310" t="str">
        <f t="shared" si="0"/>
        <v>EUROPASSISTANCE LC</v>
      </c>
      <c r="Q47" s="311">
        <v>5</v>
      </c>
      <c r="R47" s="300"/>
      <c r="S47" s="288"/>
      <c r="T47" s="288"/>
      <c r="U47" s="300"/>
      <c r="V47" s="288"/>
      <c r="W47" s="288"/>
      <c r="X47" s="288"/>
      <c r="Y47" s="300"/>
      <c r="Z47" s="2"/>
      <c r="AC47" s="300"/>
    </row>
    <row r="48" spans="3:29" hidden="1">
      <c r="C48" s="2"/>
      <c r="D48" s="5"/>
      <c r="E48" s="339"/>
      <c r="F48" s="340"/>
      <c r="G48" s="341" t="s">
        <v>153</v>
      </c>
      <c r="H48" s="336">
        <v>8</v>
      </c>
      <c r="I48" s="336">
        <v>24</v>
      </c>
      <c r="J48" s="336" t="str">
        <f t="shared" si="1"/>
        <v>EAB - EUROPASSISTANCE 8 24</v>
      </c>
      <c r="K48" s="337">
        <v>100000</v>
      </c>
      <c r="L48" s="332">
        <v>0.15837999999999999</v>
      </c>
      <c r="M48" s="326"/>
      <c r="N48" s="310" t="s">
        <v>149</v>
      </c>
      <c r="O48" s="310" t="s">
        <v>44</v>
      </c>
      <c r="P48" s="310" t="str">
        <f t="shared" si="0"/>
        <v>EUROPASSISTANCE LE</v>
      </c>
      <c r="Q48" s="311">
        <v>2</v>
      </c>
      <c r="R48" s="300"/>
      <c r="S48" s="288"/>
      <c r="T48" s="288"/>
      <c r="U48" s="300"/>
      <c r="V48" s="288"/>
      <c r="W48" s="288"/>
      <c r="X48" s="288"/>
      <c r="Y48" s="300"/>
      <c r="Z48" s="2"/>
      <c r="AC48" s="300"/>
    </row>
    <row r="49" spans="3:29" hidden="1">
      <c r="C49" s="2"/>
      <c r="D49" s="5"/>
      <c r="E49" s="339"/>
      <c r="F49" s="340"/>
      <c r="G49" s="341" t="s">
        <v>153</v>
      </c>
      <c r="H49" s="336">
        <v>8</v>
      </c>
      <c r="I49" s="336">
        <v>36</v>
      </c>
      <c r="J49" s="336" t="str">
        <f t="shared" si="1"/>
        <v>EAB - EUROPASSISTANCE 8 36</v>
      </c>
      <c r="K49" s="337">
        <v>100000</v>
      </c>
      <c r="L49" s="332">
        <v>0.23757</v>
      </c>
      <c r="M49" s="326"/>
      <c r="N49" s="310" t="s">
        <v>149</v>
      </c>
      <c r="O49" s="310" t="s">
        <v>99</v>
      </c>
      <c r="P49" s="310" t="str">
        <f t="shared" si="0"/>
        <v>EUROPASSISTANCE LI</v>
      </c>
      <c r="Q49" s="311">
        <v>5</v>
      </c>
      <c r="R49" s="300"/>
      <c r="S49" s="288"/>
      <c r="T49" s="288"/>
      <c r="U49" s="300"/>
      <c r="V49" s="288"/>
      <c r="W49" s="288"/>
      <c r="X49" s="288"/>
      <c r="Y49" s="300"/>
      <c r="Z49" s="2"/>
      <c r="AC49" s="300"/>
    </row>
    <row r="50" spans="3:29" hidden="1">
      <c r="C50" s="2"/>
      <c r="D50" s="5"/>
      <c r="E50" s="339"/>
      <c r="F50" s="340"/>
      <c r="G50" s="341" t="s">
        <v>153</v>
      </c>
      <c r="H50" s="336">
        <v>8</v>
      </c>
      <c r="I50" s="336">
        <v>48</v>
      </c>
      <c r="J50" s="336" t="str">
        <f t="shared" si="1"/>
        <v>EAB - EUROPASSISTANCE 8 48</v>
      </c>
      <c r="K50" s="337">
        <v>100000</v>
      </c>
      <c r="L50" s="332">
        <v>0.31675999999999999</v>
      </c>
      <c r="M50" s="326"/>
      <c r="N50" s="310" t="s">
        <v>149</v>
      </c>
      <c r="O50" s="310" t="s">
        <v>100</v>
      </c>
      <c r="P50" s="310" t="str">
        <f t="shared" si="0"/>
        <v>EUROPASSISTANCE LO</v>
      </c>
      <c r="Q50" s="311">
        <v>5</v>
      </c>
      <c r="R50" s="300"/>
      <c r="S50" s="288"/>
      <c r="T50" s="288"/>
      <c r="U50" s="300"/>
      <c r="V50" s="288"/>
      <c r="W50" s="288"/>
      <c r="X50" s="288"/>
      <c r="Y50" s="300"/>
      <c r="Z50" s="2"/>
      <c r="AC50" s="300"/>
    </row>
    <row r="51" spans="3:29" hidden="1">
      <c r="C51" s="2"/>
      <c r="D51" s="5"/>
      <c r="E51" s="339"/>
      <c r="F51" s="340"/>
      <c r="G51" s="341" t="s">
        <v>153</v>
      </c>
      <c r="H51" s="336">
        <v>8</v>
      </c>
      <c r="I51" s="336">
        <v>60</v>
      </c>
      <c r="J51" s="336" t="str">
        <f t="shared" si="1"/>
        <v>EAB - EUROPASSISTANCE 8 60</v>
      </c>
      <c r="K51" s="337">
        <v>100000</v>
      </c>
      <c r="L51" s="332">
        <v>0.39594999999999997</v>
      </c>
      <c r="M51" s="326"/>
      <c r="N51" s="310" t="s">
        <v>149</v>
      </c>
      <c r="O51" s="310" t="s">
        <v>101</v>
      </c>
      <c r="P51" s="310" t="str">
        <f t="shared" si="0"/>
        <v>EUROPASSISTANCE LT</v>
      </c>
      <c r="Q51" s="311">
        <v>5</v>
      </c>
      <c r="R51" s="300"/>
      <c r="S51" s="288"/>
      <c r="T51" s="288"/>
      <c r="U51" s="300"/>
      <c r="V51" s="288"/>
      <c r="W51" s="288"/>
      <c r="X51" s="288"/>
      <c r="Y51" s="300"/>
      <c r="Z51" s="2"/>
      <c r="AC51" s="300"/>
    </row>
    <row r="52" spans="3:29" hidden="1">
      <c r="C52" s="2"/>
      <c r="D52" s="5"/>
      <c r="E52" s="339"/>
      <c r="F52" s="340"/>
      <c r="G52" s="341" t="s">
        <v>153</v>
      </c>
      <c r="H52" s="336">
        <v>8</v>
      </c>
      <c r="I52" s="336">
        <v>72</v>
      </c>
      <c r="J52" s="336" t="str">
        <f t="shared" si="1"/>
        <v>EAB - EUROPASSISTANCE 8 72</v>
      </c>
      <c r="K52" s="337">
        <v>100000</v>
      </c>
      <c r="L52" s="327">
        <v>0</v>
      </c>
      <c r="M52" s="326"/>
      <c r="N52" s="310" t="s">
        <v>149</v>
      </c>
      <c r="O52" s="310" t="s">
        <v>102</v>
      </c>
      <c r="P52" s="310" t="str">
        <f t="shared" si="0"/>
        <v>EUROPASSISTANCE LU</v>
      </c>
      <c r="Q52" s="311">
        <v>5</v>
      </c>
      <c r="R52" s="300"/>
      <c r="S52" s="288"/>
      <c r="T52" s="288"/>
      <c r="U52" s="300"/>
      <c r="V52" s="288"/>
      <c r="W52" s="288"/>
      <c r="X52" s="288"/>
      <c r="Y52" s="300"/>
      <c r="Z52" s="2"/>
      <c r="AC52" s="300"/>
    </row>
    <row r="53" spans="3:29" hidden="1">
      <c r="C53" s="2"/>
      <c r="D53" s="5"/>
      <c r="E53" s="339"/>
      <c r="F53" s="340"/>
      <c r="G53" s="341" t="s">
        <v>154</v>
      </c>
      <c r="H53" s="319">
        <v>1</v>
      </c>
      <c r="I53" s="319">
        <v>12</v>
      </c>
      <c r="J53" s="319" t="str">
        <f t="shared" si="1"/>
        <v>EAM - EUROPASSISTANCE 1 12</v>
      </c>
      <c r="K53" s="320">
        <v>100000</v>
      </c>
      <c r="L53" s="321">
        <v>0.14371</v>
      </c>
      <c r="M53" s="326"/>
      <c r="N53" s="310" t="s">
        <v>149</v>
      </c>
      <c r="O53" s="310" t="s">
        <v>72</v>
      </c>
      <c r="P53" s="310" t="str">
        <f t="shared" si="0"/>
        <v>EUROPASSISTANCE MB</v>
      </c>
      <c r="Q53" s="311">
        <v>4</v>
      </c>
      <c r="R53" s="300"/>
      <c r="S53" s="288"/>
      <c r="T53" s="288"/>
      <c r="U53" s="300"/>
      <c r="V53" s="288"/>
      <c r="W53" s="288"/>
      <c r="X53" s="288"/>
      <c r="Y53" s="300"/>
      <c r="Z53" s="2"/>
      <c r="AC53" s="300"/>
    </row>
    <row r="54" spans="3:29" hidden="1">
      <c r="C54" s="2"/>
      <c r="D54" s="5"/>
      <c r="E54" s="339"/>
      <c r="F54" s="340"/>
      <c r="G54" s="341" t="s">
        <v>154</v>
      </c>
      <c r="H54" s="319">
        <v>1</v>
      </c>
      <c r="I54" s="319">
        <v>24</v>
      </c>
      <c r="J54" s="319" t="str">
        <f t="shared" si="1"/>
        <v>EAM - EUROPASSISTANCE 1 24</v>
      </c>
      <c r="K54" s="320">
        <v>100000</v>
      </c>
      <c r="L54" s="321">
        <v>0.25</v>
      </c>
      <c r="M54" s="326"/>
      <c r="N54" s="310" t="s">
        <v>149</v>
      </c>
      <c r="O54" s="310" t="s">
        <v>103</v>
      </c>
      <c r="P54" s="310" t="str">
        <f t="shared" si="0"/>
        <v>EUROPASSISTANCE MC</v>
      </c>
      <c r="Q54" s="311">
        <v>5</v>
      </c>
      <c r="R54" s="300"/>
      <c r="S54" s="288"/>
      <c r="T54" s="288"/>
      <c r="U54" s="300"/>
      <c r="V54" s="288"/>
      <c r="W54" s="288"/>
      <c r="X54" s="288"/>
      <c r="Y54" s="300"/>
      <c r="Z54" s="2"/>
      <c r="AC54" s="300"/>
    </row>
    <row r="55" spans="3:29" hidden="1">
      <c r="C55" s="2"/>
      <c r="D55" s="5"/>
      <c r="E55" s="339"/>
      <c r="F55" s="340"/>
      <c r="G55" s="341" t="s">
        <v>154</v>
      </c>
      <c r="H55" s="319">
        <v>1</v>
      </c>
      <c r="I55" s="319">
        <v>36</v>
      </c>
      <c r="J55" s="319" t="str">
        <f t="shared" si="1"/>
        <v>EAM - EUROPASSISTANCE 1 36</v>
      </c>
      <c r="K55" s="320">
        <v>100000</v>
      </c>
      <c r="L55" s="321">
        <v>0.375</v>
      </c>
      <c r="M55" s="326"/>
      <c r="N55" s="310" t="s">
        <v>149</v>
      </c>
      <c r="O55" s="310" t="s">
        <v>58</v>
      </c>
      <c r="P55" s="310" t="str">
        <f t="shared" si="0"/>
        <v>EUROPASSISTANCE ME</v>
      </c>
      <c r="Q55" s="311">
        <v>3</v>
      </c>
      <c r="R55" s="300"/>
      <c r="S55" s="288"/>
      <c r="T55" s="288"/>
      <c r="U55" s="300"/>
      <c r="V55" s="288"/>
      <c r="W55" s="288"/>
      <c r="X55" s="288"/>
      <c r="Y55" s="300"/>
      <c r="Z55" s="2"/>
      <c r="AC55" s="300"/>
    </row>
    <row r="56" spans="3:29" hidden="1">
      <c r="C56" s="2"/>
      <c r="D56" s="5"/>
      <c r="E56" s="339"/>
      <c r="F56" s="340"/>
      <c r="G56" s="341" t="s">
        <v>154</v>
      </c>
      <c r="H56" s="319">
        <v>1</v>
      </c>
      <c r="I56" s="319">
        <v>48</v>
      </c>
      <c r="J56" s="319" t="str">
        <f t="shared" si="1"/>
        <v>EAM - EUROPASSISTANCE 1 48</v>
      </c>
      <c r="K56" s="320">
        <v>100000</v>
      </c>
      <c r="L56" s="321">
        <v>0.5</v>
      </c>
      <c r="M56" s="326"/>
      <c r="N56" s="310" t="s">
        <v>149</v>
      </c>
      <c r="O56" s="310" t="s">
        <v>73</v>
      </c>
      <c r="P56" s="310" t="str">
        <f t="shared" si="0"/>
        <v>EUROPASSISTANCE MI</v>
      </c>
      <c r="Q56" s="311">
        <v>3</v>
      </c>
      <c r="R56" s="300"/>
      <c r="S56" s="288"/>
      <c r="T56" s="288"/>
      <c r="U56" s="300"/>
      <c r="V56" s="288"/>
      <c r="W56" s="288"/>
      <c r="X56" s="288"/>
      <c r="Y56" s="300"/>
      <c r="Z56" s="2"/>
      <c r="AC56" s="300"/>
    </row>
    <row r="57" spans="3:29" hidden="1">
      <c r="C57" s="2"/>
      <c r="D57" s="5"/>
      <c r="E57" s="339"/>
      <c r="F57" s="340"/>
      <c r="G57" s="341" t="s">
        <v>154</v>
      </c>
      <c r="H57" s="319">
        <v>1</v>
      </c>
      <c r="I57" s="319">
        <v>60</v>
      </c>
      <c r="J57" s="319" t="str">
        <f t="shared" si="1"/>
        <v>EAM - EUROPASSISTANCE 1 60</v>
      </c>
      <c r="K57" s="320">
        <v>100000</v>
      </c>
      <c r="L57" s="321">
        <v>0.625</v>
      </c>
      <c r="M57" s="326"/>
      <c r="N57" s="310" t="s">
        <v>149</v>
      </c>
      <c r="O57" s="310" t="s">
        <v>104</v>
      </c>
      <c r="P57" s="310" t="str">
        <f t="shared" si="0"/>
        <v>EUROPASSISTANCE MN</v>
      </c>
      <c r="Q57" s="311">
        <v>5</v>
      </c>
      <c r="R57" s="300"/>
      <c r="S57" s="288"/>
      <c r="T57" s="288"/>
      <c r="U57" s="300"/>
      <c r="V57" s="288"/>
      <c r="W57" s="288"/>
      <c r="X57" s="288"/>
      <c r="Y57" s="300"/>
      <c r="Z57" s="2"/>
      <c r="AC57" s="300"/>
    </row>
    <row r="58" spans="3:29" hidden="1">
      <c r="C58" s="2"/>
      <c r="D58" s="5"/>
      <c r="E58" s="339"/>
      <c r="F58" s="340"/>
      <c r="G58" s="341" t="s">
        <v>154</v>
      </c>
      <c r="H58" s="319">
        <v>1</v>
      </c>
      <c r="I58" s="319">
        <v>72</v>
      </c>
      <c r="J58" s="319" t="str">
        <f t="shared" si="1"/>
        <v>EAM - EUROPASSISTANCE 1 72</v>
      </c>
      <c r="K58" s="320">
        <v>100000</v>
      </c>
      <c r="L58" s="327">
        <v>0</v>
      </c>
      <c r="M58" s="326"/>
      <c r="N58" s="310" t="s">
        <v>149</v>
      </c>
      <c r="O58" s="310" t="s">
        <v>105</v>
      </c>
      <c r="P58" s="310" t="str">
        <f t="shared" si="0"/>
        <v>EUROPASSISTANCE MO</v>
      </c>
      <c r="Q58" s="311">
        <v>5</v>
      </c>
      <c r="R58" s="300"/>
      <c r="S58" s="288"/>
      <c r="T58" s="288"/>
      <c r="U58" s="300"/>
      <c r="V58" s="288"/>
      <c r="W58" s="288"/>
      <c r="X58" s="288"/>
      <c r="Y58" s="300"/>
      <c r="Z58" s="2"/>
      <c r="AC58" s="300"/>
    </row>
    <row r="59" spans="3:29" hidden="1">
      <c r="C59" s="2"/>
      <c r="D59" s="5"/>
      <c r="E59" s="339"/>
      <c r="F59" s="340"/>
      <c r="G59" s="341" t="s">
        <v>154</v>
      </c>
      <c r="H59" s="336">
        <v>2</v>
      </c>
      <c r="I59" s="336">
        <v>12</v>
      </c>
      <c r="J59" s="336" t="str">
        <f t="shared" si="1"/>
        <v>EAM - EUROPASSISTANCE 2 12</v>
      </c>
      <c r="K59" s="337">
        <v>100000</v>
      </c>
      <c r="L59" s="332">
        <v>0.12595999999999999</v>
      </c>
      <c r="M59" s="326"/>
      <c r="N59" s="310" t="s">
        <v>149</v>
      </c>
      <c r="O59" s="310" t="s">
        <v>106</v>
      </c>
      <c r="P59" s="310" t="str">
        <f t="shared" si="0"/>
        <v>EUROPASSISTANCE MS</v>
      </c>
      <c r="Q59" s="311">
        <v>5</v>
      </c>
      <c r="R59" s="300"/>
      <c r="S59" s="288"/>
      <c r="T59" s="288"/>
      <c r="U59" s="300"/>
      <c r="V59" s="288"/>
      <c r="W59" s="288"/>
      <c r="X59" s="288"/>
      <c r="Y59" s="300"/>
      <c r="Z59" s="2"/>
      <c r="AC59" s="300"/>
    </row>
    <row r="60" spans="3:29" hidden="1">
      <c r="C60" s="2"/>
      <c r="D60" s="5"/>
      <c r="E60" s="339"/>
      <c r="F60" s="340"/>
      <c r="G60" s="341" t="s">
        <v>154</v>
      </c>
      <c r="H60" s="336">
        <v>2</v>
      </c>
      <c r="I60" s="336">
        <v>24</v>
      </c>
      <c r="J60" s="336" t="str">
        <f t="shared" si="1"/>
        <v>EAM - EUROPASSISTANCE 2 24</v>
      </c>
      <c r="K60" s="337">
        <v>100000</v>
      </c>
      <c r="L60" s="332">
        <v>0.21912000000000001</v>
      </c>
      <c r="M60" s="326"/>
      <c r="N60" s="310" t="s">
        <v>149</v>
      </c>
      <c r="O60" s="310" t="s">
        <v>59</v>
      </c>
      <c r="P60" s="310" t="str">
        <f t="shared" si="0"/>
        <v>EUROPASSISTANCE MT</v>
      </c>
      <c r="Q60" s="311">
        <v>3</v>
      </c>
      <c r="R60" s="300"/>
      <c r="S60" s="288"/>
      <c r="T60" s="288"/>
      <c r="U60" s="300"/>
      <c r="V60" s="288"/>
      <c r="W60" s="288"/>
      <c r="X60" s="288"/>
      <c r="Y60" s="300"/>
      <c r="Z60" s="2"/>
      <c r="AC60" s="300"/>
    </row>
    <row r="61" spans="3:29" hidden="1">
      <c r="C61" s="2"/>
      <c r="D61" s="5"/>
      <c r="E61" s="339"/>
      <c r="F61" s="340"/>
      <c r="G61" s="341" t="s">
        <v>154</v>
      </c>
      <c r="H61" s="336">
        <v>2</v>
      </c>
      <c r="I61" s="336">
        <v>36</v>
      </c>
      <c r="J61" s="336" t="str">
        <f t="shared" si="1"/>
        <v>EAM - EUROPASSISTANCE 2 36</v>
      </c>
      <c r="K61" s="337">
        <v>100000</v>
      </c>
      <c r="L61" s="332">
        <v>0.32868000000000003</v>
      </c>
      <c r="M61" s="326"/>
      <c r="N61" s="310" t="s">
        <v>149</v>
      </c>
      <c r="O61" s="310" t="s">
        <v>45</v>
      </c>
      <c r="P61" s="310" t="str">
        <f t="shared" si="0"/>
        <v>EUROPASSISTANCE NA</v>
      </c>
      <c r="Q61" s="311">
        <v>2</v>
      </c>
      <c r="R61" s="300"/>
      <c r="S61" s="288"/>
      <c r="T61" s="288"/>
      <c r="U61" s="300"/>
      <c r="V61" s="288"/>
      <c r="W61" s="288"/>
      <c r="X61" s="288"/>
      <c r="Y61" s="300"/>
      <c r="Z61" s="2"/>
      <c r="AC61" s="300"/>
    </row>
    <row r="62" spans="3:29" hidden="1">
      <c r="C62" s="2"/>
      <c r="D62" s="5"/>
      <c r="E62" s="339"/>
      <c r="F62" s="340"/>
      <c r="G62" s="341" t="s">
        <v>154</v>
      </c>
      <c r="H62" s="336">
        <v>2</v>
      </c>
      <c r="I62" s="336">
        <v>48</v>
      </c>
      <c r="J62" s="336" t="str">
        <f t="shared" si="1"/>
        <v>EAM - EUROPASSISTANCE 2 48</v>
      </c>
      <c r="K62" s="337">
        <v>100000</v>
      </c>
      <c r="L62" s="332">
        <v>0.43824000000000002</v>
      </c>
      <c r="M62" s="326"/>
      <c r="N62" s="310" t="s">
        <v>149</v>
      </c>
      <c r="O62" s="310" t="s">
        <v>107</v>
      </c>
      <c r="P62" s="310" t="str">
        <f t="shared" si="0"/>
        <v>EUROPASSISTANCE NO</v>
      </c>
      <c r="Q62" s="311">
        <v>5</v>
      </c>
      <c r="R62" s="300"/>
      <c r="S62" s="288"/>
      <c r="T62" s="288"/>
      <c r="U62" s="300"/>
      <c r="V62" s="288"/>
      <c r="W62" s="288"/>
      <c r="X62" s="288"/>
      <c r="Y62" s="300"/>
      <c r="Z62" s="2"/>
      <c r="AC62" s="300"/>
    </row>
    <row r="63" spans="3:29" hidden="1">
      <c r="C63" s="2"/>
      <c r="D63" s="5"/>
      <c r="E63" s="339"/>
      <c r="F63" s="340"/>
      <c r="G63" s="341" t="s">
        <v>154</v>
      </c>
      <c r="H63" s="336">
        <v>2</v>
      </c>
      <c r="I63" s="336">
        <v>60</v>
      </c>
      <c r="J63" s="336" t="str">
        <f t="shared" si="1"/>
        <v>EAM - EUROPASSISTANCE 2 60</v>
      </c>
      <c r="K63" s="337">
        <v>100000</v>
      </c>
      <c r="L63" s="332">
        <v>0.54779999999999995</v>
      </c>
      <c r="M63" s="326"/>
      <c r="N63" s="310" t="s">
        <v>149</v>
      </c>
      <c r="O63" s="310" t="s">
        <v>108</v>
      </c>
      <c r="P63" s="310" t="str">
        <f t="shared" si="0"/>
        <v>EUROPASSISTANCE NU</v>
      </c>
      <c r="Q63" s="311">
        <v>5</v>
      </c>
      <c r="R63" s="300"/>
      <c r="S63" s="288"/>
      <c r="T63" s="288"/>
      <c r="U63" s="300"/>
      <c r="V63" s="288"/>
      <c r="W63" s="288"/>
      <c r="X63" s="288"/>
      <c r="Y63" s="300"/>
      <c r="Z63" s="2"/>
      <c r="AC63" s="300"/>
    </row>
    <row r="64" spans="3:29" hidden="1">
      <c r="C64" s="2"/>
      <c r="D64" s="5"/>
      <c r="E64" s="339"/>
      <c r="F64" s="340"/>
      <c r="G64" s="341" t="s">
        <v>154</v>
      </c>
      <c r="H64" s="336">
        <v>2</v>
      </c>
      <c r="I64" s="336">
        <v>72</v>
      </c>
      <c r="J64" s="336" t="str">
        <f t="shared" si="1"/>
        <v>EAM - EUROPASSISTANCE 2 72</v>
      </c>
      <c r="K64" s="337">
        <v>100000</v>
      </c>
      <c r="L64" s="327">
        <v>0</v>
      </c>
      <c r="M64" s="326"/>
      <c r="N64" s="310" t="s">
        <v>149</v>
      </c>
      <c r="O64" s="310" t="s">
        <v>109</v>
      </c>
      <c r="P64" s="310" t="str">
        <f t="shared" si="0"/>
        <v>EUROPASSISTANCE OR</v>
      </c>
      <c r="Q64" s="311">
        <v>5</v>
      </c>
      <c r="R64" s="300"/>
      <c r="S64" s="288"/>
      <c r="T64" s="288"/>
      <c r="U64" s="300"/>
      <c r="V64" s="288"/>
      <c r="W64" s="288"/>
      <c r="X64" s="288"/>
      <c r="Y64" s="300"/>
      <c r="Z64" s="2"/>
      <c r="AC64" s="300"/>
    </row>
    <row r="65" spans="3:29" hidden="1">
      <c r="C65" s="2"/>
      <c r="D65" s="5"/>
      <c r="E65" s="339"/>
      <c r="F65" s="340"/>
      <c r="G65" s="341" t="s">
        <v>154</v>
      </c>
      <c r="H65" s="319">
        <v>3</v>
      </c>
      <c r="I65" s="319">
        <v>12</v>
      </c>
      <c r="J65" s="319" t="str">
        <f t="shared" si="1"/>
        <v>EAM - EUROPASSISTANCE 3 12</v>
      </c>
      <c r="K65" s="320">
        <v>100000</v>
      </c>
      <c r="L65" s="321">
        <v>9.6799999999999997E-2</v>
      </c>
      <c r="M65" s="326"/>
      <c r="N65" s="310" t="s">
        <v>149</v>
      </c>
      <c r="O65" s="310" t="s">
        <v>46</v>
      </c>
      <c r="P65" s="310" t="str">
        <f t="shared" si="0"/>
        <v>EUROPASSISTANCE PA</v>
      </c>
      <c r="Q65" s="311">
        <v>2</v>
      </c>
      <c r="R65" s="300"/>
      <c r="S65" s="288"/>
      <c r="T65" s="288"/>
      <c r="U65" s="300"/>
      <c r="V65" s="288"/>
      <c r="W65" s="288"/>
      <c r="X65" s="288"/>
      <c r="Y65" s="300"/>
      <c r="Z65" s="2"/>
      <c r="AC65" s="300"/>
    </row>
    <row r="66" spans="3:29" hidden="1">
      <c r="C66" s="2"/>
      <c r="D66" s="5"/>
      <c r="E66" s="339"/>
      <c r="F66" s="340"/>
      <c r="G66" s="341" t="s">
        <v>154</v>
      </c>
      <c r="H66" s="319">
        <v>3</v>
      </c>
      <c r="I66" s="319">
        <v>24</v>
      </c>
      <c r="J66" s="319" t="str">
        <f t="shared" si="1"/>
        <v>EAM - EUROPASSISTANCE 3 24</v>
      </c>
      <c r="K66" s="320">
        <v>100000</v>
      </c>
      <c r="L66" s="321">
        <v>0.16951999999999998</v>
      </c>
      <c r="M66" s="326"/>
      <c r="N66" s="310" t="s">
        <v>149</v>
      </c>
      <c r="O66" s="310" t="s">
        <v>110</v>
      </c>
      <c r="P66" s="310" t="str">
        <f t="shared" si="0"/>
        <v>EUROPASSISTANCE PC</v>
      </c>
      <c r="Q66" s="311">
        <v>5</v>
      </c>
      <c r="R66" s="300"/>
      <c r="S66" s="288"/>
      <c r="T66" s="288"/>
      <c r="U66" s="300"/>
      <c r="V66" s="288"/>
      <c r="W66" s="288"/>
      <c r="X66" s="288"/>
      <c r="Y66" s="300"/>
      <c r="Z66" s="2"/>
      <c r="AC66" s="300"/>
    </row>
    <row r="67" spans="3:29" hidden="1">
      <c r="C67" s="2"/>
      <c r="D67" s="5"/>
      <c r="E67" s="339"/>
      <c r="F67" s="340"/>
      <c r="G67" s="341" t="s">
        <v>154</v>
      </c>
      <c r="H67" s="319">
        <v>3</v>
      </c>
      <c r="I67" s="319">
        <v>36</v>
      </c>
      <c r="J67" s="319" t="str">
        <f t="shared" si="1"/>
        <v>EAM - EUROPASSISTANCE 3 36</v>
      </c>
      <c r="K67" s="320">
        <v>100000</v>
      </c>
      <c r="L67" s="321">
        <v>0.25427999999999995</v>
      </c>
      <c r="M67" s="326"/>
      <c r="N67" s="310" t="s">
        <v>149</v>
      </c>
      <c r="O67" s="310" t="s">
        <v>111</v>
      </c>
      <c r="P67" s="310" t="str">
        <f t="shared" si="0"/>
        <v>EUROPASSISTANCE PD</v>
      </c>
      <c r="Q67" s="311">
        <v>5</v>
      </c>
      <c r="R67" s="300"/>
      <c r="S67" s="288"/>
      <c r="T67" s="288"/>
      <c r="U67" s="300"/>
      <c r="V67" s="288"/>
      <c r="W67" s="288"/>
      <c r="X67" s="288"/>
      <c r="Y67" s="300"/>
      <c r="Z67" s="2"/>
      <c r="AC67" s="300"/>
    </row>
    <row r="68" spans="3:29" hidden="1">
      <c r="C68" s="2"/>
      <c r="D68" s="5"/>
      <c r="E68" s="339"/>
      <c r="F68" s="340"/>
      <c r="G68" s="341" t="s">
        <v>154</v>
      </c>
      <c r="H68" s="319">
        <v>3</v>
      </c>
      <c r="I68" s="319">
        <v>48</v>
      </c>
      <c r="J68" s="319" t="str">
        <f t="shared" si="1"/>
        <v>EAM - EUROPASSISTANCE 3 48</v>
      </c>
      <c r="K68" s="320">
        <v>100000</v>
      </c>
      <c r="L68" s="321">
        <v>0.33903999999999995</v>
      </c>
      <c r="M68" s="326"/>
      <c r="N68" s="310" t="s">
        <v>149</v>
      </c>
      <c r="O68" s="310" t="s">
        <v>74</v>
      </c>
      <c r="P68" s="310" t="str">
        <f t="shared" ref="P68:P131" si="3">CONCATENATE(N68," ",O68)</f>
        <v>EUROPASSISTANCE PE</v>
      </c>
      <c r="Q68" s="311">
        <v>4</v>
      </c>
      <c r="R68" s="300"/>
      <c r="S68" s="288"/>
      <c r="T68" s="288"/>
      <c r="U68" s="300"/>
      <c r="V68" s="288"/>
      <c r="W68" s="288"/>
      <c r="X68" s="288"/>
      <c r="Y68" s="300"/>
      <c r="Z68" s="2"/>
      <c r="AC68" s="300"/>
    </row>
    <row r="69" spans="3:29" hidden="1">
      <c r="C69" s="2"/>
      <c r="D69" s="5"/>
      <c r="E69" s="339"/>
      <c r="F69" s="340"/>
      <c r="G69" s="341" t="s">
        <v>154</v>
      </c>
      <c r="H69" s="319">
        <v>3</v>
      </c>
      <c r="I69" s="319">
        <v>60</v>
      </c>
      <c r="J69" s="319" t="str">
        <f t="shared" ref="J69:J132" si="4">CONCATENATE(G69," ",H69," ",I69)</f>
        <v>EAM - EUROPASSISTANCE 3 60</v>
      </c>
      <c r="K69" s="320">
        <v>100000</v>
      </c>
      <c r="L69" s="321">
        <v>0.42379999999999995</v>
      </c>
      <c r="M69" s="326"/>
      <c r="N69" s="310" t="s">
        <v>149</v>
      </c>
      <c r="O69" s="310" t="s">
        <v>112</v>
      </c>
      <c r="P69" s="310" t="str">
        <f t="shared" si="3"/>
        <v>EUROPASSISTANCE PG</v>
      </c>
      <c r="Q69" s="311">
        <v>5</v>
      </c>
      <c r="R69" s="300"/>
      <c r="S69" s="288"/>
      <c r="T69" s="288"/>
      <c r="U69" s="300"/>
      <c r="V69" s="288"/>
      <c r="W69" s="288"/>
      <c r="X69" s="288"/>
      <c r="Y69" s="300"/>
      <c r="Z69" s="2"/>
      <c r="AC69" s="300"/>
    </row>
    <row r="70" spans="3:29" hidden="1">
      <c r="C70" s="2"/>
      <c r="D70" s="5"/>
      <c r="E70" s="339"/>
      <c r="F70" s="340"/>
      <c r="G70" s="341" t="s">
        <v>154</v>
      </c>
      <c r="H70" s="319">
        <v>3</v>
      </c>
      <c r="I70" s="319">
        <v>72</v>
      </c>
      <c r="J70" s="319" t="str">
        <f t="shared" si="4"/>
        <v>EAM - EUROPASSISTANCE 3 72</v>
      </c>
      <c r="K70" s="320">
        <v>100000</v>
      </c>
      <c r="L70" s="327">
        <v>0</v>
      </c>
      <c r="M70" s="326"/>
      <c r="N70" s="310" t="s">
        <v>149</v>
      </c>
      <c r="O70" s="310" t="s">
        <v>113</v>
      </c>
      <c r="P70" s="310" t="str">
        <f t="shared" si="3"/>
        <v>EUROPASSISTANCE PI</v>
      </c>
      <c r="Q70" s="311">
        <v>5</v>
      </c>
      <c r="R70" s="300"/>
      <c r="S70" s="288"/>
      <c r="T70" s="288"/>
      <c r="U70" s="300"/>
      <c r="V70" s="288"/>
      <c r="W70" s="288"/>
      <c r="X70" s="288"/>
      <c r="Y70" s="300"/>
      <c r="Z70" s="2"/>
      <c r="AC70" s="300"/>
    </row>
    <row r="71" spans="3:29" hidden="1">
      <c r="C71" s="2"/>
      <c r="D71" s="5"/>
      <c r="E71" s="339"/>
      <c r="F71" s="340"/>
      <c r="G71" s="341" t="s">
        <v>154</v>
      </c>
      <c r="H71" s="336">
        <v>4</v>
      </c>
      <c r="I71" s="336">
        <v>12</v>
      </c>
      <c r="J71" s="336" t="str">
        <f t="shared" si="4"/>
        <v>EAM - EUROPASSISTANCE 4 12</v>
      </c>
      <c r="K71" s="337">
        <v>100000</v>
      </c>
      <c r="L71" s="332">
        <v>9.2999999999999999E-2</v>
      </c>
      <c r="M71" s="326"/>
      <c r="N71" s="310" t="s">
        <v>149</v>
      </c>
      <c r="O71" s="310" t="s">
        <v>114</v>
      </c>
      <c r="P71" s="310" t="str">
        <f t="shared" si="3"/>
        <v>EUROPASSISTANCE PN</v>
      </c>
      <c r="Q71" s="311">
        <v>5</v>
      </c>
      <c r="R71" s="300"/>
      <c r="S71" s="288"/>
      <c r="T71" s="288"/>
      <c r="U71" s="300"/>
      <c r="V71" s="288"/>
      <c r="W71" s="288"/>
      <c r="X71" s="288"/>
      <c r="Y71" s="300"/>
      <c r="Z71" s="2"/>
      <c r="AC71" s="300"/>
    </row>
    <row r="72" spans="3:29" hidden="1">
      <c r="C72" s="2"/>
      <c r="D72" s="5"/>
      <c r="E72" s="339"/>
      <c r="F72" s="340"/>
      <c r="G72" s="341" t="s">
        <v>154</v>
      </c>
      <c r="H72" s="336">
        <v>4</v>
      </c>
      <c r="I72" s="336">
        <v>24</v>
      </c>
      <c r="J72" s="336" t="str">
        <f t="shared" si="4"/>
        <v>EAM - EUROPASSISTANCE 4 24</v>
      </c>
      <c r="K72" s="337">
        <v>100000</v>
      </c>
      <c r="L72" s="332">
        <v>0.16400000000000001</v>
      </c>
      <c r="M72" s="326"/>
      <c r="N72" s="310" t="s">
        <v>149</v>
      </c>
      <c r="O72" s="310" t="s">
        <v>115</v>
      </c>
      <c r="P72" s="310" t="str">
        <f t="shared" si="3"/>
        <v>EUROPASSISTANCE PO</v>
      </c>
      <c r="Q72" s="311">
        <v>5</v>
      </c>
      <c r="R72" s="300"/>
      <c r="S72" s="288"/>
      <c r="T72" s="288"/>
      <c r="U72" s="300"/>
      <c r="V72" s="288"/>
      <c r="W72" s="288"/>
      <c r="X72" s="288"/>
      <c r="Y72" s="300"/>
      <c r="Z72" s="2"/>
      <c r="AC72" s="300"/>
    </row>
    <row r="73" spans="3:29" hidden="1">
      <c r="C73" s="2"/>
      <c r="D73" s="5"/>
      <c r="E73" s="339"/>
      <c r="F73" s="340"/>
      <c r="G73" s="341" t="s">
        <v>154</v>
      </c>
      <c r="H73" s="336">
        <v>4</v>
      </c>
      <c r="I73" s="336">
        <v>36</v>
      </c>
      <c r="J73" s="336" t="str">
        <f t="shared" si="4"/>
        <v>EAM - EUROPASSISTANCE 4 36</v>
      </c>
      <c r="K73" s="337">
        <v>100000</v>
      </c>
      <c r="L73" s="332">
        <v>0.246</v>
      </c>
      <c r="M73" s="326"/>
      <c r="N73" s="310" t="s">
        <v>149</v>
      </c>
      <c r="O73" s="310" t="s">
        <v>116</v>
      </c>
      <c r="P73" s="310" t="str">
        <f t="shared" si="3"/>
        <v>EUROPASSISTANCE PR</v>
      </c>
      <c r="Q73" s="311">
        <v>5</v>
      </c>
      <c r="R73" s="300"/>
      <c r="S73" s="288"/>
      <c r="T73" s="288"/>
      <c r="U73" s="300"/>
      <c r="V73" s="288"/>
      <c r="W73" s="288"/>
      <c r="X73" s="288"/>
      <c r="Y73" s="300"/>
      <c r="Z73" s="2"/>
      <c r="AC73" s="300"/>
    </row>
    <row r="74" spans="3:29" hidden="1">
      <c r="C74" s="2"/>
      <c r="D74" s="5"/>
      <c r="E74" s="339"/>
      <c r="F74" s="340"/>
      <c r="G74" s="341" t="s">
        <v>154</v>
      </c>
      <c r="H74" s="336">
        <v>4</v>
      </c>
      <c r="I74" s="336">
        <v>48</v>
      </c>
      <c r="J74" s="336" t="str">
        <f t="shared" si="4"/>
        <v>EAM - EUROPASSISTANCE 4 48</v>
      </c>
      <c r="K74" s="337">
        <v>100000</v>
      </c>
      <c r="L74" s="332">
        <v>0.32800000000000001</v>
      </c>
      <c r="M74" s="326"/>
      <c r="N74" s="310" t="s">
        <v>149</v>
      </c>
      <c r="O74" s="310" t="s">
        <v>117</v>
      </c>
      <c r="P74" s="310" t="str">
        <f t="shared" si="3"/>
        <v>EUROPASSISTANCE PT</v>
      </c>
      <c r="Q74" s="311">
        <v>5</v>
      </c>
      <c r="R74" s="300"/>
      <c r="S74" s="288"/>
      <c r="T74" s="288"/>
      <c r="U74" s="300"/>
      <c r="V74" s="288"/>
      <c r="W74" s="288"/>
      <c r="X74" s="288"/>
      <c r="Y74" s="300"/>
      <c r="Z74" s="2"/>
      <c r="AC74" s="300"/>
    </row>
    <row r="75" spans="3:29" hidden="1">
      <c r="C75" s="2"/>
      <c r="D75" s="5"/>
      <c r="E75" s="339"/>
      <c r="F75" s="340"/>
      <c r="G75" s="341" t="s">
        <v>154</v>
      </c>
      <c r="H75" s="336">
        <v>4</v>
      </c>
      <c r="I75" s="336">
        <v>60</v>
      </c>
      <c r="J75" s="336" t="str">
        <f t="shared" si="4"/>
        <v>EAM - EUROPASSISTANCE 4 60</v>
      </c>
      <c r="K75" s="337">
        <v>100000</v>
      </c>
      <c r="L75" s="332">
        <v>0.41</v>
      </c>
      <c r="M75" s="326"/>
      <c r="N75" s="310" t="s">
        <v>149</v>
      </c>
      <c r="O75" s="310" t="s">
        <v>118</v>
      </c>
      <c r="P75" s="310" t="str">
        <f t="shared" si="3"/>
        <v>EUROPASSISTANCE PU</v>
      </c>
      <c r="Q75" s="311">
        <v>5</v>
      </c>
      <c r="R75" s="300"/>
      <c r="S75" s="288"/>
      <c r="T75" s="288"/>
      <c r="U75" s="300"/>
      <c r="V75" s="288"/>
      <c r="W75" s="288"/>
      <c r="X75" s="288"/>
      <c r="Y75" s="300"/>
      <c r="Z75" s="2"/>
      <c r="AC75" s="300"/>
    </row>
    <row r="76" spans="3:29" hidden="1">
      <c r="C76" s="2"/>
      <c r="D76" s="5"/>
      <c r="E76" s="339"/>
      <c r="F76" s="340"/>
      <c r="G76" s="341" t="s">
        <v>154</v>
      </c>
      <c r="H76" s="336">
        <v>4</v>
      </c>
      <c r="I76" s="336">
        <v>72</v>
      </c>
      <c r="J76" s="336" t="str">
        <f t="shared" si="4"/>
        <v>EAM - EUROPASSISTANCE 4 72</v>
      </c>
      <c r="K76" s="337">
        <v>100000</v>
      </c>
      <c r="L76" s="327">
        <v>0</v>
      </c>
      <c r="M76" s="326"/>
      <c r="N76" s="310" t="s">
        <v>149</v>
      </c>
      <c r="O76" s="310" t="s">
        <v>119</v>
      </c>
      <c r="P76" s="310" t="str">
        <f t="shared" si="3"/>
        <v>EUROPASSISTANCE PV</v>
      </c>
      <c r="Q76" s="311">
        <v>5</v>
      </c>
      <c r="R76" s="300"/>
      <c r="S76" s="288"/>
      <c r="T76" s="288"/>
      <c r="U76" s="300"/>
      <c r="V76" s="288"/>
      <c r="W76" s="288"/>
      <c r="X76" s="288"/>
      <c r="Y76" s="300"/>
      <c r="Z76" s="2"/>
      <c r="AC76" s="300"/>
    </row>
    <row r="77" spans="3:29" hidden="1">
      <c r="C77" s="2"/>
      <c r="D77" s="5"/>
      <c r="E77" s="339"/>
      <c r="F77" s="340"/>
      <c r="G77" s="341" t="s">
        <v>154</v>
      </c>
      <c r="H77" s="319">
        <v>5</v>
      </c>
      <c r="I77" s="319">
        <v>12</v>
      </c>
      <c r="J77" s="319" t="str">
        <f t="shared" si="4"/>
        <v>EAM - EUROPASSISTANCE 5 12</v>
      </c>
      <c r="K77" s="320">
        <v>100000</v>
      </c>
      <c r="L77" s="321">
        <v>8.412E-2</v>
      </c>
      <c r="M77" s="326"/>
      <c r="N77" s="310" t="s">
        <v>149</v>
      </c>
      <c r="O77" s="310" t="s">
        <v>60</v>
      </c>
      <c r="P77" s="310" t="str">
        <f t="shared" si="3"/>
        <v>EUROPASSISTANCE PZ</v>
      </c>
      <c r="Q77" s="311">
        <v>3</v>
      </c>
      <c r="R77" s="300"/>
      <c r="S77" s="288"/>
      <c r="T77" s="288"/>
      <c r="U77" s="300"/>
      <c r="V77" s="288"/>
      <c r="W77" s="288"/>
      <c r="X77" s="288"/>
      <c r="Y77" s="300"/>
      <c r="Z77" s="2"/>
      <c r="AC77" s="300"/>
    </row>
    <row r="78" spans="3:29" hidden="1">
      <c r="C78" s="2"/>
      <c r="D78" s="5"/>
      <c r="E78" s="339"/>
      <c r="F78" s="340"/>
      <c r="G78" s="341" t="s">
        <v>154</v>
      </c>
      <c r="H78" s="319">
        <v>5</v>
      </c>
      <c r="I78" s="319">
        <v>24</v>
      </c>
      <c r="J78" s="319" t="str">
        <f t="shared" si="4"/>
        <v>EAM - EUROPASSISTANCE 5 24</v>
      </c>
      <c r="K78" s="320">
        <v>100000</v>
      </c>
      <c r="L78" s="321">
        <v>0.14746384000000001</v>
      </c>
      <c r="M78" s="326"/>
      <c r="N78" s="310" t="s">
        <v>149</v>
      </c>
      <c r="O78" s="310" t="s">
        <v>120</v>
      </c>
      <c r="P78" s="310" t="str">
        <f t="shared" si="3"/>
        <v>EUROPASSISTANCE RA</v>
      </c>
      <c r="Q78" s="311">
        <v>5</v>
      </c>
      <c r="R78" s="300"/>
      <c r="S78" s="288"/>
      <c r="T78" s="288"/>
      <c r="U78" s="300"/>
      <c r="V78" s="288"/>
      <c r="W78" s="288"/>
      <c r="X78" s="288"/>
      <c r="Y78" s="300"/>
      <c r="Z78" s="2"/>
      <c r="AC78" s="300"/>
    </row>
    <row r="79" spans="3:29" hidden="1">
      <c r="C79" s="2"/>
      <c r="D79" s="5"/>
      <c r="E79" s="339"/>
      <c r="F79" s="340"/>
      <c r="G79" s="341" t="s">
        <v>154</v>
      </c>
      <c r="H79" s="319">
        <v>5</v>
      </c>
      <c r="I79" s="319">
        <v>36</v>
      </c>
      <c r="J79" s="319" t="str">
        <f t="shared" si="4"/>
        <v>EAM - EUROPASSISTANCE 5 36</v>
      </c>
      <c r="K79" s="320">
        <v>100000</v>
      </c>
      <c r="L79" s="321">
        <v>0.22119576000000002</v>
      </c>
      <c r="M79" s="326"/>
      <c r="N79" s="310" t="s">
        <v>149</v>
      </c>
      <c r="O79" s="310" t="s">
        <v>47</v>
      </c>
      <c r="P79" s="310" t="str">
        <f t="shared" si="3"/>
        <v>EUROPASSISTANCE RC</v>
      </c>
      <c r="Q79" s="311">
        <v>2</v>
      </c>
      <c r="R79" s="300"/>
      <c r="S79" s="288"/>
      <c r="T79" s="288"/>
      <c r="U79" s="300"/>
      <c r="V79" s="288"/>
      <c r="W79" s="288"/>
      <c r="X79" s="288"/>
      <c r="Y79" s="300"/>
      <c r="Z79" s="2"/>
      <c r="AC79" s="300"/>
    </row>
    <row r="80" spans="3:29" hidden="1">
      <c r="C80" s="2"/>
      <c r="D80" s="5"/>
      <c r="E80" s="339"/>
      <c r="F80" s="340"/>
      <c r="G80" s="341" t="s">
        <v>154</v>
      </c>
      <c r="H80" s="319">
        <v>5</v>
      </c>
      <c r="I80" s="319">
        <v>48</v>
      </c>
      <c r="J80" s="319" t="str">
        <f t="shared" si="4"/>
        <v>EAM - EUROPASSISTANCE 5 48</v>
      </c>
      <c r="K80" s="320">
        <v>100000</v>
      </c>
      <c r="L80" s="321">
        <v>0.29492768000000003</v>
      </c>
      <c r="M80" s="326"/>
      <c r="N80" s="310" t="s">
        <v>149</v>
      </c>
      <c r="O80" s="310" t="s">
        <v>121</v>
      </c>
      <c r="P80" s="310" t="str">
        <f t="shared" si="3"/>
        <v>EUROPASSISTANCE RE</v>
      </c>
      <c r="Q80" s="311">
        <v>5</v>
      </c>
      <c r="R80" s="300"/>
      <c r="S80" s="288"/>
      <c r="T80" s="288"/>
      <c r="U80" s="300"/>
      <c r="V80" s="288"/>
      <c r="W80" s="288"/>
      <c r="X80" s="288"/>
      <c r="Y80" s="300"/>
      <c r="Z80" s="2"/>
      <c r="AC80" s="300"/>
    </row>
    <row r="81" spans="3:29" hidden="1">
      <c r="C81" s="2"/>
      <c r="D81" s="5"/>
      <c r="E81" s="339"/>
      <c r="F81" s="340"/>
      <c r="G81" s="341" t="s">
        <v>154</v>
      </c>
      <c r="H81" s="319">
        <v>5</v>
      </c>
      <c r="I81" s="319">
        <v>60</v>
      </c>
      <c r="J81" s="319" t="str">
        <f t="shared" si="4"/>
        <v>EAM - EUROPASSISTANCE 5 60</v>
      </c>
      <c r="K81" s="320">
        <v>100000</v>
      </c>
      <c r="L81" s="321">
        <v>0.36865960000000003</v>
      </c>
      <c r="M81" s="326"/>
      <c r="N81" s="310" t="s">
        <v>149</v>
      </c>
      <c r="O81" s="310" t="s">
        <v>61</v>
      </c>
      <c r="P81" s="310" t="str">
        <f t="shared" si="3"/>
        <v>EUROPASSISTANCE RG</v>
      </c>
      <c r="Q81" s="311">
        <v>3</v>
      </c>
      <c r="R81" s="300"/>
      <c r="S81" s="288"/>
      <c r="T81" s="288"/>
      <c r="U81" s="300"/>
      <c r="V81" s="288"/>
      <c r="W81" s="288"/>
      <c r="X81" s="288"/>
      <c r="Y81" s="300"/>
      <c r="Z81" s="2"/>
      <c r="AC81" s="300"/>
    </row>
    <row r="82" spans="3:29" hidden="1">
      <c r="C82" s="2"/>
      <c r="D82" s="5"/>
      <c r="E82" s="339"/>
      <c r="F82" s="340"/>
      <c r="G82" s="341" t="s">
        <v>154</v>
      </c>
      <c r="H82" s="319">
        <v>5</v>
      </c>
      <c r="I82" s="319">
        <v>72</v>
      </c>
      <c r="J82" s="319" t="str">
        <f t="shared" si="4"/>
        <v>EAM - EUROPASSISTANCE 5 72</v>
      </c>
      <c r="K82" s="320">
        <v>100000</v>
      </c>
      <c r="L82" s="327">
        <v>0</v>
      </c>
      <c r="M82" s="326"/>
      <c r="N82" s="310" t="s">
        <v>149</v>
      </c>
      <c r="O82" s="310" t="s">
        <v>122</v>
      </c>
      <c r="P82" s="310" t="str">
        <f t="shared" si="3"/>
        <v>EUROPASSISTANCE RI</v>
      </c>
      <c r="Q82" s="311">
        <v>5</v>
      </c>
      <c r="R82" s="300"/>
      <c r="S82" s="288"/>
      <c r="T82" s="288"/>
      <c r="U82" s="300"/>
      <c r="V82" s="288"/>
      <c r="W82" s="288"/>
      <c r="X82" s="288"/>
      <c r="Y82" s="300"/>
      <c r="Z82" s="2"/>
      <c r="AC82" s="300"/>
    </row>
    <row r="83" spans="3:29" hidden="1">
      <c r="C83" s="2"/>
      <c r="D83" s="5"/>
      <c r="E83" s="339"/>
      <c r="F83" s="340"/>
      <c r="G83" s="341" t="s">
        <v>154</v>
      </c>
      <c r="H83" s="336">
        <v>6</v>
      </c>
      <c r="I83" s="336">
        <v>12</v>
      </c>
      <c r="J83" s="336" t="str">
        <f t="shared" si="4"/>
        <v>EAM - EUROPASSISTANCE 6 12</v>
      </c>
      <c r="K83" s="337">
        <v>35000</v>
      </c>
      <c r="L83" s="332">
        <v>0.14371</v>
      </c>
      <c r="M83" s="326"/>
      <c r="N83" s="310" t="s">
        <v>149</v>
      </c>
      <c r="O83" s="310" t="s">
        <v>62</v>
      </c>
      <c r="P83" s="310" t="str">
        <f t="shared" si="3"/>
        <v>EUROPASSISTANCE RM</v>
      </c>
      <c r="Q83" s="311">
        <v>3</v>
      </c>
      <c r="R83" s="300"/>
      <c r="S83" s="288"/>
      <c r="T83" s="288"/>
      <c r="U83" s="300"/>
      <c r="V83" s="288"/>
      <c r="W83" s="288"/>
      <c r="X83" s="288"/>
      <c r="Y83" s="300"/>
      <c r="Z83" s="2"/>
      <c r="AC83" s="300"/>
    </row>
    <row r="84" spans="3:29" hidden="1">
      <c r="C84" s="2"/>
      <c r="D84" s="5"/>
      <c r="E84" s="339"/>
      <c r="F84" s="340"/>
      <c r="G84" s="341" t="s">
        <v>154</v>
      </c>
      <c r="H84" s="336">
        <v>6</v>
      </c>
      <c r="I84" s="336">
        <v>24</v>
      </c>
      <c r="J84" s="336" t="str">
        <f t="shared" si="4"/>
        <v>EAM - EUROPASSISTANCE 6 24</v>
      </c>
      <c r="K84" s="337">
        <v>35000</v>
      </c>
      <c r="L84" s="332">
        <v>0.25</v>
      </c>
      <c r="M84" s="326"/>
      <c r="N84" s="310" t="s">
        <v>149</v>
      </c>
      <c r="O84" s="310" t="s">
        <v>123</v>
      </c>
      <c r="P84" s="310" t="str">
        <f t="shared" si="3"/>
        <v>EUROPASSISTANCE RN</v>
      </c>
      <c r="Q84" s="311">
        <v>5</v>
      </c>
      <c r="R84" s="300"/>
      <c r="S84" s="288"/>
      <c r="T84" s="288"/>
      <c r="U84" s="300"/>
      <c r="V84" s="288"/>
      <c r="W84" s="288"/>
      <c r="X84" s="288"/>
      <c r="Y84" s="300"/>
      <c r="Z84" s="2"/>
      <c r="AC84" s="300"/>
    </row>
    <row r="85" spans="3:29" hidden="1">
      <c r="C85" s="2"/>
      <c r="D85" s="5"/>
      <c r="E85" s="339"/>
      <c r="F85" s="340"/>
      <c r="G85" s="341" t="s">
        <v>154</v>
      </c>
      <c r="H85" s="336">
        <v>6</v>
      </c>
      <c r="I85" s="336">
        <v>36</v>
      </c>
      <c r="J85" s="336" t="str">
        <f t="shared" si="4"/>
        <v>EAM - EUROPASSISTANCE 6 36</v>
      </c>
      <c r="K85" s="337">
        <v>35000</v>
      </c>
      <c r="L85" s="332">
        <v>0.375</v>
      </c>
      <c r="M85" s="326"/>
      <c r="N85" s="310" t="s">
        <v>149</v>
      </c>
      <c r="O85" s="310" t="s">
        <v>124</v>
      </c>
      <c r="P85" s="310" t="str">
        <f t="shared" si="3"/>
        <v>EUROPASSISTANCE RO</v>
      </c>
      <c r="Q85" s="311">
        <v>5</v>
      </c>
      <c r="R85" s="300"/>
      <c r="S85" s="288"/>
      <c r="T85" s="288"/>
      <c r="U85" s="300"/>
      <c r="V85" s="288"/>
      <c r="W85" s="288"/>
      <c r="X85" s="288"/>
      <c r="Y85" s="300"/>
      <c r="Z85" s="2"/>
      <c r="AC85" s="300"/>
    </row>
    <row r="86" spans="3:29" hidden="1">
      <c r="C86" s="2"/>
      <c r="D86" s="5"/>
      <c r="E86" s="339"/>
      <c r="F86" s="340"/>
      <c r="G86" s="341" t="s">
        <v>154</v>
      </c>
      <c r="H86" s="336">
        <v>6</v>
      </c>
      <c r="I86" s="336">
        <v>48</v>
      </c>
      <c r="J86" s="336" t="str">
        <f t="shared" si="4"/>
        <v>EAM - EUROPASSISTANCE 6 48</v>
      </c>
      <c r="K86" s="337">
        <v>35000</v>
      </c>
      <c r="L86" s="332">
        <v>0.5</v>
      </c>
      <c r="M86" s="326"/>
      <c r="N86" s="310" t="s">
        <v>149</v>
      </c>
      <c r="O86" s="310" t="s">
        <v>48</v>
      </c>
      <c r="P86" s="310" t="str">
        <f t="shared" si="3"/>
        <v>EUROPASSISTANCE SA</v>
      </c>
      <c r="Q86" s="311">
        <v>2</v>
      </c>
      <c r="R86" s="300"/>
      <c r="S86" s="288"/>
      <c r="T86" s="288"/>
      <c r="U86" s="300"/>
      <c r="V86" s="288"/>
      <c r="W86" s="288"/>
      <c r="X86" s="288"/>
      <c r="Y86" s="300"/>
      <c r="Z86" s="2"/>
      <c r="AC86" s="300"/>
    </row>
    <row r="87" spans="3:29" hidden="1">
      <c r="C87" s="2"/>
      <c r="D87" s="5"/>
      <c r="E87" s="339"/>
      <c r="F87" s="340"/>
      <c r="G87" s="341" t="s">
        <v>154</v>
      </c>
      <c r="H87" s="336">
        <v>6</v>
      </c>
      <c r="I87" s="336">
        <v>60</v>
      </c>
      <c r="J87" s="336" t="str">
        <f t="shared" si="4"/>
        <v>EAM - EUROPASSISTANCE 6 60</v>
      </c>
      <c r="K87" s="337">
        <v>35000</v>
      </c>
      <c r="L87" s="332">
        <v>0.625</v>
      </c>
      <c r="M87" s="326"/>
      <c r="N87" s="310" t="s">
        <v>149</v>
      </c>
      <c r="O87" s="310" t="s">
        <v>125</v>
      </c>
      <c r="P87" s="310" t="str">
        <f t="shared" si="3"/>
        <v>EUROPASSISTANCE SI</v>
      </c>
      <c r="Q87" s="311">
        <v>5</v>
      </c>
      <c r="R87" s="300"/>
      <c r="S87" s="288"/>
      <c r="T87" s="288"/>
      <c r="U87" s="300"/>
      <c r="V87" s="288"/>
      <c r="W87" s="288"/>
      <c r="X87" s="288"/>
      <c r="Y87" s="300"/>
      <c r="Z87" s="2"/>
      <c r="AC87" s="300"/>
    </row>
    <row r="88" spans="3:29" hidden="1">
      <c r="C88" s="2"/>
      <c r="D88" s="5"/>
      <c r="E88" s="339"/>
      <c r="F88" s="340"/>
      <c r="G88" s="341" t="s">
        <v>154</v>
      </c>
      <c r="H88" s="336">
        <v>6</v>
      </c>
      <c r="I88" s="336">
        <v>72</v>
      </c>
      <c r="J88" s="336" t="str">
        <f t="shared" si="4"/>
        <v>EAM - EUROPASSISTANCE 6 72</v>
      </c>
      <c r="K88" s="337">
        <v>35000</v>
      </c>
      <c r="L88" s="327">
        <v>0</v>
      </c>
      <c r="M88" s="326"/>
      <c r="N88" s="310" t="s">
        <v>149</v>
      </c>
      <c r="O88" s="310" t="s">
        <v>126</v>
      </c>
      <c r="P88" s="310" t="str">
        <f t="shared" si="3"/>
        <v>EUROPASSISTANCE SO</v>
      </c>
      <c r="Q88" s="311">
        <v>5</v>
      </c>
      <c r="R88" s="300"/>
      <c r="S88" s="288"/>
      <c r="T88" s="288"/>
      <c r="U88" s="300"/>
      <c r="V88" s="288"/>
      <c r="W88" s="288"/>
      <c r="X88" s="288"/>
      <c r="Y88" s="300"/>
      <c r="Z88" s="2"/>
      <c r="AC88" s="300"/>
    </row>
    <row r="89" spans="3:29" hidden="1">
      <c r="C89" s="2"/>
      <c r="D89" s="5"/>
      <c r="E89" s="339"/>
      <c r="F89" s="340"/>
      <c r="G89" s="341" t="s">
        <v>154</v>
      </c>
      <c r="H89" s="319">
        <v>7</v>
      </c>
      <c r="I89" s="319">
        <v>12</v>
      </c>
      <c r="J89" s="319" t="str">
        <f t="shared" si="4"/>
        <v>EAM - EUROPASSISTANCE 7 12</v>
      </c>
      <c r="K89" s="320">
        <v>100000</v>
      </c>
      <c r="L89" s="321">
        <v>7.5939999999999994E-2</v>
      </c>
      <c r="M89" s="326"/>
      <c r="N89" s="310" t="s">
        <v>149</v>
      </c>
      <c r="O89" s="310" t="s">
        <v>127</v>
      </c>
      <c r="P89" s="310" t="str">
        <f t="shared" si="3"/>
        <v>EUROPASSISTANCE SP</v>
      </c>
      <c r="Q89" s="311">
        <v>5</v>
      </c>
      <c r="R89" s="300"/>
      <c r="S89" s="288"/>
      <c r="T89" s="288"/>
      <c r="U89" s="300"/>
      <c r="V89" s="288"/>
      <c r="W89" s="288"/>
      <c r="X89" s="288"/>
      <c r="Y89" s="300"/>
      <c r="Z89" s="2"/>
      <c r="AC89" s="300"/>
    </row>
    <row r="90" spans="3:29" hidden="1">
      <c r="C90" s="2"/>
      <c r="D90" s="5"/>
      <c r="E90" s="339"/>
      <c r="F90" s="340"/>
      <c r="G90" s="341" t="s">
        <v>154</v>
      </c>
      <c r="H90" s="319">
        <v>7</v>
      </c>
      <c r="I90" s="319">
        <v>24</v>
      </c>
      <c r="J90" s="319" t="str">
        <f t="shared" si="4"/>
        <v>EAM - EUROPASSISTANCE 7 24</v>
      </c>
      <c r="K90" s="320">
        <v>100000</v>
      </c>
      <c r="L90" s="321">
        <v>0.13314000000000001</v>
      </c>
      <c r="M90" s="326"/>
      <c r="N90" s="310" t="s">
        <v>149</v>
      </c>
      <c r="O90" s="310" t="s">
        <v>49</v>
      </c>
      <c r="P90" s="310" t="str">
        <f t="shared" si="3"/>
        <v>EUROPASSISTANCE SR</v>
      </c>
      <c r="Q90" s="311">
        <v>2</v>
      </c>
      <c r="R90" s="300"/>
      <c r="S90" s="288"/>
      <c r="T90" s="288"/>
      <c r="U90" s="300"/>
      <c r="V90" s="288"/>
      <c r="W90" s="288"/>
      <c r="X90" s="288"/>
      <c r="Y90" s="300"/>
      <c r="Z90" s="2"/>
      <c r="AC90" s="300"/>
    </row>
    <row r="91" spans="3:29" hidden="1">
      <c r="C91" s="2"/>
      <c r="D91" s="5"/>
      <c r="E91" s="339"/>
      <c r="F91" s="340"/>
      <c r="G91" s="341" t="s">
        <v>154</v>
      </c>
      <c r="H91" s="319">
        <v>7</v>
      </c>
      <c r="I91" s="319">
        <v>36</v>
      </c>
      <c r="J91" s="319" t="str">
        <f t="shared" si="4"/>
        <v>EAM - EUROPASSISTANCE 7 36</v>
      </c>
      <c r="K91" s="320">
        <v>100000</v>
      </c>
      <c r="L91" s="321">
        <v>0.19971000000000003</v>
      </c>
      <c r="M91" s="326"/>
      <c r="N91" s="310" t="s">
        <v>149</v>
      </c>
      <c r="O91" s="310" t="s">
        <v>128</v>
      </c>
      <c r="P91" s="310" t="str">
        <f t="shared" si="3"/>
        <v>EUROPASSISTANCE SS</v>
      </c>
      <c r="Q91" s="311">
        <v>5</v>
      </c>
      <c r="R91" s="300"/>
      <c r="S91" s="288"/>
      <c r="T91" s="288"/>
      <c r="U91" s="300"/>
      <c r="V91" s="288"/>
      <c r="W91" s="288"/>
      <c r="X91" s="288"/>
      <c r="Y91" s="300"/>
      <c r="Z91" s="2"/>
      <c r="AC91" s="300"/>
    </row>
    <row r="92" spans="3:29" hidden="1">
      <c r="C92" s="2"/>
      <c r="D92" s="5"/>
      <c r="E92" s="339"/>
      <c r="F92" s="340"/>
      <c r="G92" s="341" t="s">
        <v>154</v>
      </c>
      <c r="H92" s="319">
        <v>7</v>
      </c>
      <c r="I92" s="319">
        <v>48</v>
      </c>
      <c r="J92" s="319" t="str">
        <f t="shared" si="4"/>
        <v>EAM - EUROPASSISTANCE 7 48</v>
      </c>
      <c r="K92" s="320">
        <v>100000</v>
      </c>
      <c r="L92" s="321">
        <v>0.26628000000000002</v>
      </c>
      <c r="M92" s="326"/>
      <c r="N92" s="310" t="s">
        <v>149</v>
      </c>
      <c r="O92" s="310" t="s">
        <v>129</v>
      </c>
      <c r="P92" s="310" t="str">
        <f t="shared" si="3"/>
        <v>EUROPASSISTANCE SU</v>
      </c>
      <c r="Q92" s="311">
        <v>5</v>
      </c>
      <c r="R92" s="300"/>
      <c r="S92" s="288"/>
      <c r="T92" s="288"/>
      <c r="U92" s="300"/>
      <c r="V92" s="288"/>
      <c r="W92" s="288"/>
      <c r="X92" s="288"/>
      <c r="Y92" s="300"/>
      <c r="Z92" s="2"/>
      <c r="AC92" s="300"/>
    </row>
    <row r="93" spans="3:29" hidden="1">
      <c r="C93" s="2"/>
      <c r="D93" s="5"/>
      <c r="E93" s="339"/>
      <c r="F93" s="340"/>
      <c r="G93" s="341" t="s">
        <v>154</v>
      </c>
      <c r="H93" s="319">
        <v>7</v>
      </c>
      <c r="I93" s="319">
        <v>60</v>
      </c>
      <c r="J93" s="319" t="str">
        <f t="shared" si="4"/>
        <v>EAM - EUROPASSISTANCE 7 60</v>
      </c>
      <c r="K93" s="320">
        <v>100000</v>
      </c>
      <c r="L93" s="321">
        <v>0.33285000000000003</v>
      </c>
      <c r="M93" s="326"/>
      <c r="N93" s="310" t="s">
        <v>149</v>
      </c>
      <c r="O93" s="310" t="s">
        <v>130</v>
      </c>
      <c r="P93" s="310" t="str">
        <f t="shared" si="3"/>
        <v>EUROPASSISTANCE SV</v>
      </c>
      <c r="Q93" s="311">
        <v>5</v>
      </c>
      <c r="R93" s="300"/>
      <c r="S93" s="288"/>
      <c r="T93" s="288"/>
      <c r="U93" s="300"/>
      <c r="V93" s="288"/>
      <c r="W93" s="288"/>
      <c r="X93" s="288"/>
      <c r="Y93" s="300"/>
      <c r="Z93" s="2"/>
      <c r="AC93" s="300"/>
    </row>
    <row r="94" spans="3:29" hidden="1">
      <c r="C94" s="2"/>
      <c r="D94" s="5"/>
      <c r="E94" s="339"/>
      <c r="F94" s="340"/>
      <c r="G94" s="341" t="s">
        <v>154</v>
      </c>
      <c r="H94" s="319">
        <v>7</v>
      </c>
      <c r="I94" s="319">
        <v>72</v>
      </c>
      <c r="J94" s="319" t="str">
        <f t="shared" si="4"/>
        <v>EAM - EUROPASSISTANCE 7 72</v>
      </c>
      <c r="K94" s="342">
        <v>100000</v>
      </c>
      <c r="L94" s="327">
        <v>0</v>
      </c>
      <c r="M94" s="326"/>
      <c r="N94" s="310" t="s">
        <v>149</v>
      </c>
      <c r="O94" s="310" t="s">
        <v>50</v>
      </c>
      <c r="P94" s="310" t="str">
        <f t="shared" si="3"/>
        <v>EUROPASSISTANCE TA</v>
      </c>
      <c r="Q94" s="311">
        <v>2</v>
      </c>
      <c r="R94" s="300"/>
      <c r="S94" s="288"/>
      <c r="T94" s="288"/>
      <c r="U94" s="300"/>
      <c r="V94" s="288"/>
      <c r="W94" s="288"/>
      <c r="X94" s="288"/>
      <c r="Y94" s="300"/>
      <c r="Z94" s="2"/>
      <c r="AC94" s="300"/>
    </row>
    <row r="95" spans="3:29" hidden="1">
      <c r="C95" s="2"/>
      <c r="D95" s="5"/>
      <c r="E95" s="339"/>
      <c r="F95" s="340"/>
      <c r="G95" s="341" t="s">
        <v>154</v>
      </c>
      <c r="H95" s="336">
        <v>8</v>
      </c>
      <c r="I95" s="336">
        <v>12</v>
      </c>
      <c r="J95" s="336" t="str">
        <f t="shared" si="4"/>
        <v>EAM - EUROPASSISTANCE 8 12</v>
      </c>
      <c r="K95" s="337">
        <v>100000</v>
      </c>
      <c r="L95" s="332">
        <v>0.10779999999999999</v>
      </c>
      <c r="M95" s="326"/>
      <c r="N95" s="310" t="s">
        <v>149</v>
      </c>
      <c r="O95" s="310" t="s">
        <v>131</v>
      </c>
      <c r="P95" s="310" t="str">
        <f t="shared" si="3"/>
        <v>EUROPASSISTANCE TE</v>
      </c>
      <c r="Q95" s="311">
        <v>5</v>
      </c>
      <c r="R95" s="300"/>
      <c r="S95" s="288"/>
      <c r="T95" s="288"/>
      <c r="U95" s="300"/>
      <c r="V95" s="288"/>
      <c r="W95" s="288"/>
      <c r="X95" s="288"/>
      <c r="Y95" s="300"/>
      <c r="Z95" s="2"/>
      <c r="AC95" s="300"/>
    </row>
    <row r="96" spans="3:29" hidden="1">
      <c r="C96" s="2"/>
      <c r="D96" s="5"/>
      <c r="E96" s="339"/>
      <c r="F96" s="340"/>
      <c r="G96" s="341" t="s">
        <v>154</v>
      </c>
      <c r="H96" s="336">
        <v>8</v>
      </c>
      <c r="I96" s="336">
        <v>24</v>
      </c>
      <c r="J96" s="336" t="str">
        <f t="shared" si="4"/>
        <v>EAM - EUROPASSISTANCE 8 24</v>
      </c>
      <c r="K96" s="337">
        <v>100000</v>
      </c>
      <c r="L96" s="332">
        <v>0.18877999999999998</v>
      </c>
      <c r="M96" s="326"/>
      <c r="N96" s="310" t="s">
        <v>149</v>
      </c>
      <c r="O96" s="310" t="s">
        <v>132</v>
      </c>
      <c r="P96" s="310" t="str">
        <f t="shared" si="3"/>
        <v>EUROPASSISTANCE TN</v>
      </c>
      <c r="Q96" s="311">
        <v>7</v>
      </c>
      <c r="R96" s="300"/>
      <c r="S96" s="288"/>
      <c r="T96" s="288"/>
      <c r="U96" s="300"/>
      <c r="V96" s="288"/>
      <c r="W96" s="288"/>
      <c r="X96" s="288"/>
      <c r="Y96" s="300"/>
      <c r="Z96" s="2"/>
      <c r="AC96" s="300"/>
    </row>
    <row r="97" spans="3:29" hidden="1">
      <c r="C97" s="2"/>
      <c r="D97" s="5"/>
      <c r="E97" s="339"/>
      <c r="F97" s="340"/>
      <c r="G97" s="341" t="s">
        <v>154</v>
      </c>
      <c r="H97" s="336">
        <v>8</v>
      </c>
      <c r="I97" s="336">
        <v>36</v>
      </c>
      <c r="J97" s="336" t="str">
        <f t="shared" si="4"/>
        <v>EAM - EUROPASSISTANCE 8 36</v>
      </c>
      <c r="K97" s="337">
        <v>100000</v>
      </c>
      <c r="L97" s="332">
        <v>0.28316999999999998</v>
      </c>
      <c r="M97" s="326"/>
      <c r="N97" s="310" t="s">
        <v>149</v>
      </c>
      <c r="O97" s="310" t="s">
        <v>63</v>
      </c>
      <c r="P97" s="310" t="str">
        <f t="shared" si="3"/>
        <v>EUROPASSISTANCE TO</v>
      </c>
      <c r="Q97" s="311">
        <v>8</v>
      </c>
      <c r="R97" s="300"/>
      <c r="S97" s="288"/>
      <c r="T97" s="288"/>
      <c r="U97" s="300"/>
      <c r="V97" s="288"/>
      <c r="W97" s="288"/>
      <c r="X97" s="288"/>
      <c r="Y97" s="300"/>
      <c r="Z97" s="2"/>
      <c r="AC97" s="300"/>
    </row>
    <row r="98" spans="3:29" hidden="1">
      <c r="C98" s="2"/>
      <c r="D98" s="5"/>
      <c r="E98" s="339"/>
      <c r="F98" s="340"/>
      <c r="G98" s="341" t="s">
        <v>154</v>
      </c>
      <c r="H98" s="336">
        <v>8</v>
      </c>
      <c r="I98" s="336">
        <v>48</v>
      </c>
      <c r="J98" s="336" t="str">
        <f t="shared" si="4"/>
        <v>EAM - EUROPASSISTANCE 8 48</v>
      </c>
      <c r="K98" s="337">
        <v>100000</v>
      </c>
      <c r="L98" s="332">
        <v>0.37755999999999995</v>
      </c>
      <c r="M98" s="326"/>
      <c r="N98" s="310" t="s">
        <v>149</v>
      </c>
      <c r="O98" s="310" t="s">
        <v>75</v>
      </c>
      <c r="P98" s="310" t="str">
        <f t="shared" si="3"/>
        <v>EUROPASSISTANCE TP</v>
      </c>
      <c r="Q98" s="311">
        <v>4</v>
      </c>
      <c r="R98" s="300"/>
      <c r="S98" s="288"/>
      <c r="T98" s="288"/>
      <c r="U98" s="300"/>
      <c r="V98" s="288"/>
      <c r="W98" s="288"/>
      <c r="X98" s="288"/>
      <c r="Y98" s="300"/>
      <c r="Z98" s="2"/>
      <c r="AC98" s="300"/>
    </row>
    <row r="99" spans="3:29" hidden="1">
      <c r="C99" s="2"/>
      <c r="D99" s="5"/>
      <c r="E99" s="339"/>
      <c r="F99" s="340"/>
      <c r="G99" s="341" t="s">
        <v>154</v>
      </c>
      <c r="H99" s="336">
        <v>8</v>
      </c>
      <c r="I99" s="336">
        <v>60</v>
      </c>
      <c r="J99" s="336" t="str">
        <f t="shared" si="4"/>
        <v>EAM - EUROPASSISTANCE 8 60</v>
      </c>
      <c r="K99" s="337">
        <v>100000</v>
      </c>
      <c r="L99" s="332">
        <v>0.47194999999999993</v>
      </c>
      <c r="M99" s="326"/>
      <c r="N99" s="310" t="s">
        <v>149</v>
      </c>
      <c r="O99" s="310" t="s">
        <v>134</v>
      </c>
      <c r="P99" s="310" t="str">
        <f t="shared" si="3"/>
        <v>EUROPASSISTANCE TR</v>
      </c>
      <c r="Q99" s="311">
        <v>5</v>
      </c>
      <c r="R99" s="300"/>
      <c r="S99" s="288"/>
      <c r="T99" s="288"/>
      <c r="U99" s="300"/>
      <c r="V99" s="288"/>
      <c r="W99" s="288"/>
      <c r="X99" s="288"/>
      <c r="Y99" s="300"/>
      <c r="Z99" s="2"/>
      <c r="AC99" s="300"/>
    </row>
    <row r="100" spans="3:29" hidden="1">
      <c r="C100" s="2"/>
      <c r="D100" s="5"/>
      <c r="E100" s="339"/>
      <c r="F100" s="340"/>
      <c r="G100" s="341" t="s">
        <v>154</v>
      </c>
      <c r="H100" s="336">
        <v>8</v>
      </c>
      <c r="I100" s="336">
        <v>72</v>
      </c>
      <c r="J100" s="336" t="str">
        <f t="shared" si="4"/>
        <v>EAM - EUROPASSISTANCE 8 72</v>
      </c>
      <c r="K100" s="337">
        <v>100000</v>
      </c>
      <c r="L100" s="327">
        <v>0</v>
      </c>
      <c r="M100" s="326"/>
      <c r="N100" s="310" t="s">
        <v>149</v>
      </c>
      <c r="O100" s="310" t="s">
        <v>135</v>
      </c>
      <c r="P100" s="310" t="str">
        <f t="shared" si="3"/>
        <v>EUROPASSISTANCE TS</v>
      </c>
      <c r="Q100" s="311">
        <v>5</v>
      </c>
      <c r="R100" s="300"/>
      <c r="S100" s="288"/>
      <c r="T100" s="288"/>
      <c r="U100" s="300"/>
      <c r="V100" s="288"/>
      <c r="W100" s="288"/>
      <c r="X100" s="288"/>
      <c r="Y100" s="300"/>
      <c r="Z100" s="2"/>
      <c r="AC100" s="300"/>
    </row>
    <row r="101" spans="3:29" hidden="1">
      <c r="C101" s="2"/>
      <c r="D101" s="5"/>
      <c r="E101" s="339"/>
      <c r="F101" s="340"/>
      <c r="G101" s="341" t="s">
        <v>152</v>
      </c>
      <c r="H101" s="319">
        <v>1</v>
      </c>
      <c r="I101" s="319">
        <v>12</v>
      </c>
      <c r="J101" s="319" t="str">
        <f t="shared" si="4"/>
        <v>EAP - EUROPASSISTANCE 1 12</v>
      </c>
      <c r="K101" s="320">
        <v>100000</v>
      </c>
      <c r="L101" s="321">
        <v>0.13528000000000001</v>
      </c>
      <c r="M101" s="326"/>
      <c r="N101" s="310" t="s">
        <v>149</v>
      </c>
      <c r="O101" s="310" t="s">
        <v>133</v>
      </c>
      <c r="P101" s="310" t="str">
        <f t="shared" si="3"/>
        <v>EUROPASSISTANCE TV</v>
      </c>
      <c r="Q101" s="311">
        <v>5</v>
      </c>
      <c r="R101" s="300"/>
      <c r="S101" s="288"/>
      <c r="T101" s="288"/>
      <c r="U101" s="300"/>
      <c r="V101" s="288"/>
      <c r="W101" s="288"/>
      <c r="X101" s="288"/>
      <c r="Y101" s="300"/>
      <c r="Z101" s="2"/>
      <c r="AC101" s="300"/>
    </row>
    <row r="102" spans="3:29" hidden="1">
      <c r="C102" s="2"/>
      <c r="D102" s="5"/>
      <c r="E102" s="339"/>
      <c r="F102" s="340"/>
      <c r="G102" s="341" t="s">
        <v>152</v>
      </c>
      <c r="H102" s="319">
        <v>1</v>
      </c>
      <c r="I102" s="319">
        <v>24</v>
      </c>
      <c r="J102" s="319" t="str">
        <f t="shared" si="4"/>
        <v>EAP - EUROPASSISTANCE 1 24</v>
      </c>
      <c r="K102" s="320">
        <v>100000</v>
      </c>
      <c r="L102" s="321">
        <v>0.26239999999999997</v>
      </c>
      <c r="M102" s="326"/>
      <c r="N102" s="310" t="s">
        <v>149</v>
      </c>
      <c r="O102" s="310" t="s">
        <v>136</v>
      </c>
      <c r="P102" s="310" t="str">
        <f t="shared" si="3"/>
        <v>EUROPASSISTANCE UD</v>
      </c>
      <c r="Q102" s="311">
        <v>5</v>
      </c>
      <c r="R102" s="300"/>
      <c r="S102" s="288"/>
      <c r="T102" s="288"/>
      <c r="U102" s="300"/>
      <c r="V102" s="288"/>
      <c r="W102" s="288"/>
      <c r="X102" s="288"/>
      <c r="Y102" s="300"/>
      <c r="Z102" s="2"/>
      <c r="AC102" s="300"/>
    </row>
    <row r="103" spans="3:29" hidden="1">
      <c r="C103" s="2"/>
      <c r="D103" s="5"/>
      <c r="E103" s="339"/>
      <c r="F103" s="340"/>
      <c r="G103" s="341" t="s">
        <v>152</v>
      </c>
      <c r="H103" s="319">
        <v>1</v>
      </c>
      <c r="I103" s="319">
        <v>36</v>
      </c>
      <c r="J103" s="319" t="str">
        <f t="shared" si="4"/>
        <v>EAP - EUROPASSISTANCE 1 36</v>
      </c>
      <c r="K103" s="320">
        <v>100000</v>
      </c>
      <c r="L103" s="321">
        <v>0.39359999999999995</v>
      </c>
      <c r="M103" s="326"/>
      <c r="N103" s="310" t="s">
        <v>149</v>
      </c>
      <c r="O103" s="310" t="s">
        <v>137</v>
      </c>
      <c r="P103" s="310" t="str">
        <f t="shared" si="3"/>
        <v>EUROPASSISTANCE VA</v>
      </c>
      <c r="Q103" s="311">
        <v>5</v>
      </c>
      <c r="R103" s="300"/>
      <c r="S103" s="288"/>
      <c r="T103" s="288"/>
      <c r="U103" s="300"/>
      <c r="V103" s="288"/>
      <c r="W103" s="288"/>
      <c r="X103" s="288"/>
      <c r="Y103" s="300"/>
      <c r="Z103" s="2"/>
      <c r="AC103" s="300"/>
    </row>
    <row r="104" spans="3:29" hidden="1">
      <c r="C104" s="2"/>
      <c r="D104" s="5"/>
      <c r="E104" s="339"/>
      <c r="F104" s="340"/>
      <c r="G104" s="341" t="s">
        <v>152</v>
      </c>
      <c r="H104" s="319">
        <v>1</v>
      </c>
      <c r="I104" s="319">
        <v>48</v>
      </c>
      <c r="J104" s="319" t="str">
        <f t="shared" si="4"/>
        <v>EAP - EUROPASSISTANCE 1 48</v>
      </c>
      <c r="K104" s="320">
        <v>100000</v>
      </c>
      <c r="L104" s="321">
        <v>0.52479999999999993</v>
      </c>
      <c r="M104" s="326"/>
      <c r="N104" s="310" t="s">
        <v>149</v>
      </c>
      <c r="O104" s="310" t="s">
        <v>138</v>
      </c>
      <c r="P104" s="310" t="str">
        <f t="shared" si="3"/>
        <v>EUROPASSISTANCE VB</v>
      </c>
      <c r="Q104" s="311">
        <v>5</v>
      </c>
      <c r="R104" s="300"/>
      <c r="S104" s="288"/>
      <c r="T104" s="288"/>
      <c r="U104" s="300"/>
      <c r="V104" s="288"/>
      <c r="W104" s="288"/>
      <c r="X104" s="288"/>
      <c r="Y104" s="300"/>
      <c r="Z104" s="2"/>
      <c r="AC104" s="300"/>
    </row>
    <row r="105" spans="3:29" hidden="1">
      <c r="C105" s="2"/>
      <c r="D105" s="5"/>
      <c r="E105" s="339"/>
      <c r="F105" s="340"/>
      <c r="G105" s="341" t="s">
        <v>152</v>
      </c>
      <c r="H105" s="319">
        <v>1</v>
      </c>
      <c r="I105" s="319">
        <v>60</v>
      </c>
      <c r="J105" s="319" t="str">
        <f t="shared" si="4"/>
        <v>EAP - EUROPASSISTANCE 1 60</v>
      </c>
      <c r="K105" s="320">
        <v>100000</v>
      </c>
      <c r="L105" s="321">
        <v>0.65600000000000003</v>
      </c>
      <c r="M105" s="326"/>
      <c r="N105" s="310" t="s">
        <v>149</v>
      </c>
      <c r="O105" s="310" t="s">
        <v>139</v>
      </c>
      <c r="P105" s="310" t="str">
        <f t="shared" si="3"/>
        <v>EUROPASSISTANCE VC</v>
      </c>
      <c r="Q105" s="311">
        <v>5</v>
      </c>
      <c r="R105" s="300"/>
      <c r="S105" s="288"/>
      <c r="T105" s="288"/>
      <c r="U105" s="300"/>
      <c r="V105" s="288"/>
      <c r="W105" s="288"/>
      <c r="X105" s="288"/>
      <c r="Y105" s="300"/>
      <c r="Z105" s="2"/>
      <c r="AC105" s="300"/>
    </row>
    <row r="106" spans="3:29" hidden="1">
      <c r="C106" s="2"/>
      <c r="D106" s="5"/>
      <c r="E106" s="339"/>
      <c r="F106" s="340"/>
      <c r="G106" s="341" t="s">
        <v>152</v>
      </c>
      <c r="H106" s="319">
        <v>1</v>
      </c>
      <c r="I106" s="319">
        <v>72</v>
      </c>
      <c r="J106" s="319" t="str">
        <f t="shared" si="4"/>
        <v>EAP - EUROPASSISTANCE 1 72</v>
      </c>
      <c r="K106" s="320">
        <v>100000</v>
      </c>
      <c r="L106" s="321">
        <v>0.7871999999999999</v>
      </c>
      <c r="M106" s="326"/>
      <c r="N106" s="310" t="s">
        <v>149</v>
      </c>
      <c r="O106" s="310" t="s">
        <v>140</v>
      </c>
      <c r="P106" s="310" t="str">
        <f t="shared" si="3"/>
        <v>EUROPASSISTANCE VE</v>
      </c>
      <c r="Q106" s="311">
        <v>5</v>
      </c>
      <c r="R106" s="300"/>
      <c r="S106" s="288"/>
      <c r="T106" s="288"/>
      <c r="U106" s="300"/>
      <c r="V106" s="288"/>
      <c r="W106" s="288"/>
      <c r="X106" s="288"/>
      <c r="Y106" s="300"/>
      <c r="Z106" s="2"/>
      <c r="AC106" s="300"/>
    </row>
    <row r="107" spans="3:29" hidden="1">
      <c r="C107" s="2"/>
      <c r="D107" s="5"/>
      <c r="E107" s="339"/>
      <c r="F107" s="340"/>
      <c r="G107" s="341" t="s">
        <v>152</v>
      </c>
      <c r="H107" s="336">
        <v>2</v>
      </c>
      <c r="I107" s="336">
        <v>12</v>
      </c>
      <c r="J107" s="336" t="str">
        <f t="shared" si="4"/>
        <v>EAP - EUROPASSISTANCE 2 12</v>
      </c>
      <c r="K107" s="337">
        <v>100000</v>
      </c>
      <c r="L107" s="332">
        <v>0.11907000000000001</v>
      </c>
      <c r="M107" s="326"/>
      <c r="N107" s="310" t="s">
        <v>149</v>
      </c>
      <c r="O107" s="310" t="s">
        <v>141</v>
      </c>
      <c r="P107" s="310" t="str">
        <f t="shared" si="3"/>
        <v>EUROPASSISTANCE VI</v>
      </c>
      <c r="Q107" s="311">
        <v>5</v>
      </c>
      <c r="R107" s="300"/>
      <c r="S107" s="288"/>
      <c r="T107" s="288"/>
      <c r="U107" s="300"/>
      <c r="V107" s="288"/>
      <c r="W107" s="288"/>
      <c r="X107" s="288"/>
      <c r="Y107" s="300"/>
      <c r="Z107" s="2"/>
      <c r="AC107" s="300"/>
    </row>
    <row r="108" spans="3:29" hidden="1">
      <c r="C108" s="2"/>
      <c r="D108" s="5"/>
      <c r="E108" s="339"/>
      <c r="F108" s="340"/>
      <c r="G108" s="341" t="s">
        <v>152</v>
      </c>
      <c r="H108" s="336">
        <v>2</v>
      </c>
      <c r="I108" s="336">
        <v>24</v>
      </c>
      <c r="J108" s="336" t="str">
        <f t="shared" si="4"/>
        <v>EAP - EUROPASSISTANCE 2 24</v>
      </c>
      <c r="K108" s="337">
        <v>100000</v>
      </c>
      <c r="L108" s="332">
        <v>0.23152</v>
      </c>
      <c r="M108" s="326"/>
      <c r="N108" s="310" t="s">
        <v>149</v>
      </c>
      <c r="O108" s="310" t="s">
        <v>142</v>
      </c>
      <c r="P108" s="310" t="str">
        <f t="shared" si="3"/>
        <v>EUROPASSISTANCE VR</v>
      </c>
      <c r="Q108" s="311">
        <v>5</v>
      </c>
      <c r="R108" s="300"/>
      <c r="S108" s="288"/>
      <c r="T108" s="288"/>
      <c r="U108" s="300"/>
      <c r="V108" s="288"/>
      <c r="W108" s="288"/>
      <c r="X108" s="288"/>
      <c r="Y108" s="300"/>
      <c r="Z108" s="2"/>
      <c r="AC108" s="300"/>
    </row>
    <row r="109" spans="3:29" hidden="1">
      <c r="C109" s="2"/>
      <c r="D109" s="5"/>
      <c r="E109" s="339"/>
      <c r="F109" s="340"/>
      <c r="G109" s="341" t="s">
        <v>152</v>
      </c>
      <c r="H109" s="336">
        <v>2</v>
      </c>
      <c r="I109" s="336">
        <v>36</v>
      </c>
      <c r="J109" s="336" t="str">
        <f t="shared" si="4"/>
        <v>EAP - EUROPASSISTANCE 2 36</v>
      </c>
      <c r="K109" s="337">
        <v>100000</v>
      </c>
      <c r="L109" s="332">
        <v>0.34728000000000003</v>
      </c>
      <c r="M109" s="326"/>
      <c r="N109" s="310" t="s">
        <v>149</v>
      </c>
      <c r="O109" s="310" t="s">
        <v>143</v>
      </c>
      <c r="P109" s="310" t="str">
        <f t="shared" si="3"/>
        <v>EUROPASSISTANCE VT</v>
      </c>
      <c r="Q109" s="311">
        <v>5</v>
      </c>
      <c r="R109" s="300"/>
      <c r="S109" s="288"/>
      <c r="T109" s="288"/>
      <c r="U109" s="300"/>
      <c r="V109" s="288"/>
      <c r="W109" s="288"/>
      <c r="X109" s="288"/>
      <c r="Y109" s="300"/>
      <c r="Z109" s="2"/>
      <c r="AC109" s="300"/>
    </row>
    <row r="110" spans="3:29" hidden="1">
      <c r="C110" s="2"/>
      <c r="D110" s="5"/>
      <c r="E110" s="339"/>
      <c r="F110" s="340"/>
      <c r="G110" s="341" t="s">
        <v>152</v>
      </c>
      <c r="H110" s="336">
        <v>2</v>
      </c>
      <c r="I110" s="336">
        <v>48</v>
      </c>
      <c r="J110" s="336" t="str">
        <f t="shared" si="4"/>
        <v>EAP - EUROPASSISTANCE 2 48</v>
      </c>
      <c r="K110" s="337">
        <v>100000</v>
      </c>
      <c r="L110" s="332">
        <v>0.46304000000000001</v>
      </c>
      <c r="M110" s="326"/>
      <c r="N110" s="310" t="s">
        <v>149</v>
      </c>
      <c r="O110" s="310" t="s">
        <v>64</v>
      </c>
      <c r="P110" s="310" t="str">
        <f t="shared" si="3"/>
        <v>EUROPASSISTANCE VV</v>
      </c>
      <c r="Q110" s="311">
        <v>3</v>
      </c>
      <c r="R110" s="300"/>
      <c r="S110" s="288"/>
      <c r="T110" s="288"/>
      <c r="U110" s="300"/>
      <c r="V110" s="288"/>
      <c r="W110" s="288"/>
      <c r="X110" s="288"/>
      <c r="Y110" s="300"/>
      <c r="Z110" s="2"/>
      <c r="AC110" s="300"/>
    </row>
    <row r="111" spans="3:29" hidden="1">
      <c r="C111" s="2"/>
      <c r="D111" s="5"/>
      <c r="E111" s="339"/>
      <c r="F111" s="340"/>
      <c r="G111" s="341" t="s">
        <v>152</v>
      </c>
      <c r="H111" s="336">
        <v>2</v>
      </c>
      <c r="I111" s="336">
        <v>60</v>
      </c>
      <c r="J111" s="336" t="str">
        <f t="shared" si="4"/>
        <v>EAP - EUROPASSISTANCE 2 60</v>
      </c>
      <c r="K111" s="337">
        <v>100000</v>
      </c>
      <c r="L111" s="332">
        <v>0.57880000000000009</v>
      </c>
      <c r="M111" s="326"/>
      <c r="N111" s="343" t="s">
        <v>147</v>
      </c>
      <c r="O111" s="310" t="s">
        <v>51</v>
      </c>
      <c r="P111" s="310" t="str">
        <f t="shared" si="3"/>
        <v>QUIXA AG</v>
      </c>
      <c r="Q111" s="311">
        <v>3</v>
      </c>
      <c r="R111" s="300"/>
      <c r="S111" s="288"/>
      <c r="T111" s="288"/>
      <c r="U111" s="300"/>
      <c r="V111" s="288"/>
      <c r="W111" s="288"/>
      <c r="X111" s="288"/>
      <c r="Y111" s="300"/>
      <c r="Z111" s="2"/>
      <c r="AC111" s="300"/>
    </row>
    <row r="112" spans="3:29" hidden="1">
      <c r="C112" s="2"/>
      <c r="D112" s="5"/>
      <c r="E112" s="339"/>
      <c r="F112" s="340"/>
      <c r="G112" s="341" t="s">
        <v>152</v>
      </c>
      <c r="H112" s="336">
        <v>2</v>
      </c>
      <c r="I112" s="336">
        <v>72</v>
      </c>
      <c r="J112" s="336" t="str">
        <f t="shared" si="4"/>
        <v>EAP - EUROPASSISTANCE 2 72</v>
      </c>
      <c r="K112" s="337">
        <v>100000</v>
      </c>
      <c r="L112" s="332">
        <v>0.69456000000000007</v>
      </c>
      <c r="M112" s="326"/>
      <c r="N112" s="343" t="s">
        <v>147</v>
      </c>
      <c r="O112" s="310" t="s">
        <v>76</v>
      </c>
      <c r="P112" s="310" t="str">
        <f t="shared" si="3"/>
        <v>QUIXA AL</v>
      </c>
      <c r="Q112" s="311">
        <v>5</v>
      </c>
      <c r="R112" s="300"/>
      <c r="S112" s="288"/>
      <c r="T112" s="288"/>
      <c r="U112" s="300"/>
      <c r="V112" s="288"/>
      <c r="W112" s="288"/>
      <c r="X112" s="288"/>
      <c r="Y112" s="300"/>
      <c r="Z112" s="2"/>
      <c r="AC112" s="300"/>
    </row>
    <row r="113" spans="3:29" hidden="1">
      <c r="C113" s="2"/>
      <c r="D113" s="5"/>
      <c r="E113" s="339"/>
      <c r="F113" s="340"/>
      <c r="G113" s="341" t="s">
        <v>152</v>
      </c>
      <c r="H113" s="319">
        <v>3</v>
      </c>
      <c r="I113" s="319">
        <v>12</v>
      </c>
      <c r="J113" s="319" t="str">
        <f t="shared" si="4"/>
        <v>EAP - EUROPASSISTANCE 3 12</v>
      </c>
      <c r="K113" s="320">
        <v>100000</v>
      </c>
      <c r="L113" s="321">
        <v>9.2439999999999994E-2</v>
      </c>
      <c r="M113" s="326"/>
      <c r="N113" s="343" t="s">
        <v>147</v>
      </c>
      <c r="O113" s="310" t="s">
        <v>77</v>
      </c>
      <c r="P113" s="310" t="str">
        <f t="shared" si="3"/>
        <v>QUIXA AN</v>
      </c>
      <c r="Q113" s="311">
        <v>5</v>
      </c>
      <c r="R113" s="300"/>
      <c r="S113" s="288"/>
      <c r="T113" s="288"/>
      <c r="U113" s="300"/>
      <c r="V113" s="288"/>
      <c r="W113" s="288"/>
      <c r="X113" s="288"/>
      <c r="Y113" s="300"/>
      <c r="Z113" s="2"/>
      <c r="AC113" s="300"/>
    </row>
    <row r="114" spans="3:29" hidden="1">
      <c r="C114" s="2"/>
      <c r="D114" s="5"/>
      <c r="E114" s="339"/>
      <c r="F114" s="340"/>
      <c r="G114" s="341" t="s">
        <v>152</v>
      </c>
      <c r="H114" s="319">
        <v>3</v>
      </c>
      <c r="I114" s="319">
        <v>24</v>
      </c>
      <c r="J114" s="319" t="str">
        <f t="shared" si="4"/>
        <v>EAP - EUROPASSISTANCE 3 24</v>
      </c>
      <c r="K114" s="320">
        <v>100000</v>
      </c>
      <c r="L114" s="321">
        <v>0.18080000000000002</v>
      </c>
      <c r="M114" s="326"/>
      <c r="N114" s="343" t="s">
        <v>147</v>
      </c>
      <c r="O114" s="310" t="s">
        <v>78</v>
      </c>
      <c r="P114" s="310" t="str">
        <f t="shared" si="3"/>
        <v>QUIXA AO</v>
      </c>
      <c r="Q114" s="311">
        <v>5</v>
      </c>
      <c r="R114" s="300"/>
      <c r="S114" s="288"/>
      <c r="T114" s="288"/>
      <c r="U114" s="300"/>
      <c r="V114" s="288"/>
      <c r="W114" s="288"/>
      <c r="X114" s="288"/>
      <c r="Y114" s="300"/>
      <c r="Z114" s="2"/>
      <c r="AC114" s="300"/>
    </row>
    <row r="115" spans="3:29" hidden="1">
      <c r="C115" s="2"/>
      <c r="D115" s="5"/>
      <c r="E115" s="339"/>
      <c r="F115" s="340"/>
      <c r="G115" s="341" t="s">
        <v>152</v>
      </c>
      <c r="H115" s="319">
        <v>3</v>
      </c>
      <c r="I115" s="319">
        <v>36</v>
      </c>
      <c r="J115" s="319" t="str">
        <f t="shared" si="4"/>
        <v>EAP - EUROPASSISTANCE 3 36</v>
      </c>
      <c r="K115" s="320">
        <v>100000</v>
      </c>
      <c r="L115" s="321">
        <v>0.27120000000000005</v>
      </c>
      <c r="M115" s="326"/>
      <c r="N115" s="343" t="s">
        <v>147</v>
      </c>
      <c r="O115" s="310" t="s">
        <v>79</v>
      </c>
      <c r="P115" s="310" t="str">
        <f t="shared" si="3"/>
        <v>QUIXA AP</v>
      </c>
      <c r="Q115" s="311">
        <v>5</v>
      </c>
      <c r="R115" s="300"/>
      <c r="S115" s="288"/>
      <c r="T115" s="288"/>
      <c r="U115" s="300"/>
      <c r="V115" s="288"/>
      <c r="W115" s="288"/>
      <c r="X115" s="288"/>
      <c r="Y115" s="300"/>
      <c r="Z115" s="2"/>
      <c r="AC115" s="300"/>
    </row>
    <row r="116" spans="3:29" hidden="1">
      <c r="C116" s="2"/>
      <c r="D116" s="5"/>
      <c r="E116" s="339"/>
      <c r="F116" s="340"/>
      <c r="G116" s="341" t="s">
        <v>152</v>
      </c>
      <c r="H116" s="319">
        <v>3</v>
      </c>
      <c r="I116" s="319">
        <v>48</v>
      </c>
      <c r="J116" s="319" t="str">
        <f t="shared" si="4"/>
        <v>EAP - EUROPASSISTANCE 3 48</v>
      </c>
      <c r="K116" s="320">
        <v>100000</v>
      </c>
      <c r="L116" s="321">
        <v>0.36160000000000003</v>
      </c>
      <c r="M116" s="326"/>
      <c r="N116" s="343" t="s">
        <v>147</v>
      </c>
      <c r="O116" s="310" t="s">
        <v>65</v>
      </c>
      <c r="P116" s="310" t="str">
        <f t="shared" si="3"/>
        <v>QUIXA AQ</v>
      </c>
      <c r="Q116" s="311">
        <v>4</v>
      </c>
      <c r="R116" s="300"/>
      <c r="S116" s="288"/>
      <c r="T116" s="288"/>
      <c r="U116" s="300"/>
      <c r="V116" s="288"/>
      <c r="W116" s="288"/>
      <c r="X116" s="288"/>
      <c r="Y116" s="300"/>
      <c r="Z116" s="2"/>
      <c r="AC116" s="300"/>
    </row>
    <row r="117" spans="3:29" hidden="1">
      <c r="C117" s="2"/>
      <c r="D117" s="5"/>
      <c r="E117" s="339"/>
      <c r="F117" s="340"/>
      <c r="G117" s="341" t="s">
        <v>152</v>
      </c>
      <c r="H117" s="319">
        <v>3</v>
      </c>
      <c r="I117" s="319">
        <v>60</v>
      </c>
      <c r="J117" s="319" t="str">
        <f t="shared" si="4"/>
        <v>EAP - EUROPASSISTANCE 3 60</v>
      </c>
      <c r="K117" s="320">
        <v>100000</v>
      </c>
      <c r="L117" s="321">
        <v>0.45200000000000001</v>
      </c>
      <c r="M117" s="326"/>
      <c r="N117" s="343" t="s">
        <v>147</v>
      </c>
      <c r="O117" s="310" t="s">
        <v>80</v>
      </c>
      <c r="P117" s="310" t="str">
        <f t="shared" si="3"/>
        <v>QUIXA AR</v>
      </c>
      <c r="Q117" s="311">
        <v>5</v>
      </c>
      <c r="R117" s="300"/>
      <c r="S117" s="288"/>
      <c r="T117" s="288"/>
      <c r="U117" s="300"/>
      <c r="V117" s="288"/>
      <c r="W117" s="288"/>
      <c r="X117" s="288"/>
      <c r="Y117" s="300"/>
      <c r="Z117" s="2"/>
      <c r="AC117" s="300"/>
    </row>
    <row r="118" spans="3:29" hidden="1">
      <c r="C118" s="2"/>
      <c r="D118" s="5"/>
      <c r="E118" s="339"/>
      <c r="F118" s="340"/>
      <c r="G118" s="341" t="s">
        <v>152</v>
      </c>
      <c r="H118" s="319">
        <v>3</v>
      </c>
      <c r="I118" s="319">
        <v>72</v>
      </c>
      <c r="J118" s="319" t="str">
        <f t="shared" si="4"/>
        <v>EAP - EUROPASSISTANCE 3 72</v>
      </c>
      <c r="K118" s="320">
        <v>100000</v>
      </c>
      <c r="L118" s="321">
        <v>0.5424000000000001</v>
      </c>
      <c r="M118" s="326"/>
      <c r="N118" s="343" t="s">
        <v>147</v>
      </c>
      <c r="O118" s="310" t="s">
        <v>66</v>
      </c>
      <c r="P118" s="310" t="str">
        <f t="shared" si="3"/>
        <v>QUIXA AT</v>
      </c>
      <c r="Q118" s="311">
        <v>4</v>
      </c>
      <c r="R118" s="300"/>
      <c r="S118" s="288"/>
      <c r="T118" s="288"/>
      <c r="U118" s="300"/>
      <c r="V118" s="288"/>
      <c r="W118" s="288"/>
      <c r="X118" s="288"/>
      <c r="Y118" s="300"/>
      <c r="Z118" s="2"/>
      <c r="AC118" s="300"/>
    </row>
    <row r="119" spans="3:29" hidden="1">
      <c r="C119" s="2"/>
      <c r="D119" s="5"/>
      <c r="E119" s="339"/>
      <c r="F119" s="340"/>
      <c r="G119" s="341" t="s">
        <v>152</v>
      </c>
      <c r="H119" s="336">
        <v>4</v>
      </c>
      <c r="I119" s="336">
        <v>12</v>
      </c>
      <c r="J119" s="336" t="str">
        <f t="shared" si="4"/>
        <v>EAP - EUROPASSISTANCE 4 12</v>
      </c>
      <c r="K119" s="337">
        <v>100000</v>
      </c>
      <c r="L119" s="332">
        <v>8.8969999999999994E-2</v>
      </c>
      <c r="M119" s="326"/>
      <c r="N119" s="343" t="s">
        <v>147</v>
      </c>
      <c r="O119" s="310" t="s">
        <v>52</v>
      </c>
      <c r="P119" s="310" t="str">
        <f t="shared" si="3"/>
        <v>QUIXA AV</v>
      </c>
      <c r="Q119" s="311">
        <v>3</v>
      </c>
      <c r="R119" s="300"/>
      <c r="S119" s="288"/>
      <c r="T119" s="288"/>
      <c r="U119" s="300"/>
      <c r="V119" s="288"/>
      <c r="W119" s="288"/>
      <c r="X119" s="288"/>
      <c r="Y119" s="300"/>
      <c r="Z119" s="2"/>
      <c r="AC119" s="300"/>
    </row>
    <row r="120" spans="3:29" hidden="1">
      <c r="C120" s="2"/>
      <c r="D120" s="5"/>
      <c r="E120" s="339"/>
      <c r="F120" s="340"/>
      <c r="G120" s="341" t="s">
        <v>152</v>
      </c>
      <c r="H120" s="336">
        <v>4</v>
      </c>
      <c r="I120" s="336">
        <v>24</v>
      </c>
      <c r="J120" s="336" t="str">
        <f t="shared" si="4"/>
        <v>EAP - EUROPASSISTANCE 4 24</v>
      </c>
      <c r="K120" s="337">
        <v>100000</v>
      </c>
      <c r="L120" s="332">
        <v>0.17419999999999999</v>
      </c>
      <c r="M120" s="326"/>
      <c r="N120" s="343" t="s">
        <v>147</v>
      </c>
      <c r="O120" s="310" t="s">
        <v>41</v>
      </c>
      <c r="P120" s="310" t="str">
        <f t="shared" si="3"/>
        <v>QUIXA BA</v>
      </c>
      <c r="Q120" s="311">
        <v>2</v>
      </c>
      <c r="R120" s="300"/>
      <c r="S120" s="288"/>
      <c r="T120" s="288"/>
      <c r="U120" s="300"/>
      <c r="V120" s="288"/>
      <c r="W120" s="288"/>
      <c r="X120" s="288"/>
      <c r="Y120" s="300"/>
      <c r="Z120" s="2"/>
      <c r="AC120" s="300"/>
    </row>
    <row r="121" spans="3:29" hidden="1">
      <c r="C121" s="2"/>
      <c r="D121" s="5"/>
      <c r="E121" s="339"/>
      <c r="F121" s="340"/>
      <c r="G121" s="341" t="s">
        <v>152</v>
      </c>
      <c r="H121" s="336">
        <v>4</v>
      </c>
      <c r="I121" s="336">
        <v>36</v>
      </c>
      <c r="J121" s="336" t="str">
        <f t="shared" si="4"/>
        <v>EAP - EUROPASSISTANCE 4 36</v>
      </c>
      <c r="K121" s="337">
        <v>100000</v>
      </c>
      <c r="L121" s="332">
        <v>0.26129999999999998</v>
      </c>
      <c r="M121" s="326"/>
      <c r="N121" s="343" t="s">
        <v>147</v>
      </c>
      <c r="O121" s="310" t="s">
        <v>81</v>
      </c>
      <c r="P121" s="310" t="str">
        <f t="shared" si="3"/>
        <v>QUIXA BG</v>
      </c>
      <c r="Q121" s="311">
        <v>5</v>
      </c>
      <c r="R121" s="300"/>
      <c r="S121" s="288"/>
      <c r="T121" s="288"/>
      <c r="U121" s="300"/>
      <c r="V121" s="288"/>
      <c r="W121" s="288"/>
      <c r="X121" s="288"/>
      <c r="Y121" s="300"/>
      <c r="Z121" s="2"/>
      <c r="AC121" s="300"/>
    </row>
    <row r="122" spans="3:29" hidden="1">
      <c r="C122" s="2"/>
      <c r="D122" s="5"/>
      <c r="E122" s="339"/>
      <c r="F122" s="340"/>
      <c r="G122" s="341" t="s">
        <v>152</v>
      </c>
      <c r="H122" s="336">
        <v>4</v>
      </c>
      <c r="I122" s="336">
        <v>48</v>
      </c>
      <c r="J122" s="336" t="str">
        <f t="shared" si="4"/>
        <v>EAP - EUROPASSISTANCE 4 48</v>
      </c>
      <c r="K122" s="337">
        <v>100000</v>
      </c>
      <c r="L122" s="332">
        <v>0.34839999999999999</v>
      </c>
      <c r="M122" s="326"/>
      <c r="N122" s="343" t="s">
        <v>147</v>
      </c>
      <c r="O122" s="310" t="s">
        <v>82</v>
      </c>
      <c r="P122" s="310" t="str">
        <f t="shared" si="3"/>
        <v>QUIXA BI</v>
      </c>
      <c r="Q122" s="311">
        <v>5</v>
      </c>
      <c r="R122" s="300"/>
      <c r="S122" s="288"/>
      <c r="T122" s="288"/>
      <c r="U122" s="300"/>
      <c r="V122" s="288"/>
      <c r="W122" s="288"/>
      <c r="X122" s="288"/>
      <c r="Y122" s="300"/>
      <c r="Z122" s="2"/>
      <c r="AC122" s="300"/>
    </row>
    <row r="123" spans="3:29" hidden="1">
      <c r="C123" s="2"/>
      <c r="D123" s="5"/>
      <c r="E123" s="339"/>
      <c r="F123" s="340"/>
      <c r="G123" s="341" t="s">
        <v>152</v>
      </c>
      <c r="H123" s="336">
        <v>4</v>
      </c>
      <c r="I123" s="336">
        <v>60</v>
      </c>
      <c r="J123" s="336" t="str">
        <f t="shared" si="4"/>
        <v>EAP - EUROPASSISTANCE 4 60</v>
      </c>
      <c r="K123" s="337">
        <v>100000</v>
      </c>
      <c r="L123" s="332">
        <v>0.4355</v>
      </c>
      <c r="M123" s="326"/>
      <c r="N123" s="343" t="s">
        <v>147</v>
      </c>
      <c r="O123" s="310" t="s">
        <v>83</v>
      </c>
      <c r="P123" s="310" t="str">
        <f t="shared" si="3"/>
        <v>QUIXA BL</v>
      </c>
      <c r="Q123" s="311">
        <v>5</v>
      </c>
      <c r="R123" s="300"/>
      <c r="S123" s="288"/>
      <c r="T123" s="288"/>
      <c r="U123" s="300"/>
      <c r="V123" s="288"/>
      <c r="W123" s="288"/>
      <c r="X123" s="288"/>
      <c r="Y123" s="300"/>
      <c r="Z123" s="2"/>
      <c r="AC123" s="300"/>
    </row>
    <row r="124" spans="3:29" hidden="1">
      <c r="C124" s="2"/>
      <c r="D124" s="5"/>
      <c r="E124" s="339"/>
      <c r="F124" s="340"/>
      <c r="G124" s="341" t="s">
        <v>152</v>
      </c>
      <c r="H124" s="336">
        <v>4</v>
      </c>
      <c r="I124" s="336">
        <v>72</v>
      </c>
      <c r="J124" s="336" t="str">
        <f t="shared" si="4"/>
        <v>EAP - EUROPASSISTANCE 4 72</v>
      </c>
      <c r="K124" s="337">
        <v>100000</v>
      </c>
      <c r="L124" s="332">
        <v>0.52259999999999995</v>
      </c>
      <c r="M124" s="326"/>
      <c r="N124" s="343" t="s">
        <v>147</v>
      </c>
      <c r="O124" s="310" t="s">
        <v>53</v>
      </c>
      <c r="P124" s="310" t="str">
        <f t="shared" si="3"/>
        <v>QUIXA BN</v>
      </c>
      <c r="Q124" s="311">
        <v>3</v>
      </c>
      <c r="R124" s="300"/>
      <c r="S124" s="288"/>
      <c r="T124" s="288"/>
      <c r="U124" s="300"/>
      <c r="V124" s="288"/>
      <c r="W124" s="288"/>
      <c r="X124" s="288"/>
      <c r="Y124" s="300"/>
      <c r="Z124" s="2"/>
      <c r="AC124" s="300"/>
    </row>
    <row r="125" spans="3:29" hidden="1">
      <c r="C125" s="2"/>
      <c r="D125" s="5"/>
      <c r="E125" s="339"/>
      <c r="F125" s="340"/>
      <c r="G125" s="341" t="s">
        <v>152</v>
      </c>
      <c r="H125" s="319">
        <v>5</v>
      </c>
      <c r="I125" s="319">
        <v>12</v>
      </c>
      <c r="J125" s="319" t="str">
        <f t="shared" si="4"/>
        <v>EAP - EUROPASSISTANCE 5 12</v>
      </c>
      <c r="K125" s="320">
        <v>100000</v>
      </c>
      <c r="L125" s="321">
        <v>8.0860000000000001E-2</v>
      </c>
      <c r="M125" s="326"/>
      <c r="N125" s="343" t="s">
        <v>147</v>
      </c>
      <c r="O125" s="310" t="s">
        <v>84</v>
      </c>
      <c r="P125" s="310" t="str">
        <f t="shared" si="3"/>
        <v>QUIXA BO</v>
      </c>
      <c r="Q125" s="311">
        <v>5</v>
      </c>
      <c r="R125" s="300"/>
      <c r="S125" s="288"/>
      <c r="T125" s="288"/>
      <c r="U125" s="300"/>
      <c r="V125" s="288"/>
      <c r="W125" s="288"/>
      <c r="X125" s="288"/>
      <c r="Y125" s="300"/>
      <c r="Z125" s="2"/>
      <c r="AC125" s="300"/>
    </row>
    <row r="126" spans="3:29" hidden="1">
      <c r="C126" s="2"/>
      <c r="D126" s="5"/>
      <c r="E126" s="339"/>
      <c r="F126" s="340"/>
      <c r="G126" s="341" t="s">
        <v>152</v>
      </c>
      <c r="H126" s="319">
        <v>5</v>
      </c>
      <c r="I126" s="319">
        <v>24</v>
      </c>
      <c r="J126" s="319" t="str">
        <f t="shared" si="4"/>
        <v>EAP - EUROPASSISTANCE 5 24</v>
      </c>
      <c r="K126" s="320">
        <v>100000</v>
      </c>
      <c r="L126" s="321">
        <v>0.15875999999999998</v>
      </c>
      <c r="M126" s="326"/>
      <c r="N126" s="343" t="s">
        <v>147</v>
      </c>
      <c r="O126" s="310" t="s">
        <v>42</v>
      </c>
      <c r="P126" s="310" t="str">
        <f t="shared" si="3"/>
        <v>QUIXA BR</v>
      </c>
      <c r="Q126" s="311">
        <v>2</v>
      </c>
      <c r="R126" s="300"/>
      <c r="S126" s="288"/>
      <c r="T126" s="288"/>
      <c r="U126" s="300"/>
      <c r="V126" s="288"/>
      <c r="W126" s="288"/>
      <c r="X126" s="288"/>
      <c r="Y126" s="300"/>
      <c r="Z126" s="2"/>
      <c r="AC126" s="300"/>
    </row>
    <row r="127" spans="3:29" hidden="1">
      <c r="C127" s="2"/>
      <c r="D127" s="5"/>
      <c r="E127" s="339"/>
      <c r="F127" s="340"/>
      <c r="G127" s="341" t="s">
        <v>152</v>
      </c>
      <c r="H127" s="319">
        <v>5</v>
      </c>
      <c r="I127" s="319">
        <v>36</v>
      </c>
      <c r="J127" s="319" t="str">
        <f t="shared" si="4"/>
        <v>EAP - EUROPASSISTANCE 5 36</v>
      </c>
      <c r="K127" s="320">
        <v>100000</v>
      </c>
      <c r="L127" s="321">
        <v>0.23813999999999999</v>
      </c>
      <c r="M127" s="326"/>
      <c r="N127" s="343" t="s">
        <v>147</v>
      </c>
      <c r="O127" s="310" t="s">
        <v>85</v>
      </c>
      <c r="P127" s="310" t="str">
        <f t="shared" si="3"/>
        <v>QUIXA BS</v>
      </c>
      <c r="Q127" s="311">
        <v>5</v>
      </c>
      <c r="R127" s="300"/>
      <c r="S127" s="288"/>
      <c r="T127" s="288"/>
      <c r="U127" s="300"/>
      <c r="V127" s="288"/>
      <c r="W127" s="288"/>
      <c r="X127" s="288"/>
      <c r="Y127" s="300"/>
      <c r="Z127" s="2"/>
      <c r="AC127" s="300"/>
    </row>
    <row r="128" spans="3:29" hidden="1">
      <c r="C128" s="2"/>
      <c r="D128" s="5"/>
      <c r="E128" s="339"/>
      <c r="F128" s="340"/>
      <c r="G128" s="341" t="s">
        <v>152</v>
      </c>
      <c r="H128" s="319">
        <v>5</v>
      </c>
      <c r="I128" s="319">
        <v>48</v>
      </c>
      <c r="J128" s="319" t="str">
        <f t="shared" si="4"/>
        <v>EAP - EUROPASSISTANCE 5 48</v>
      </c>
      <c r="K128" s="320">
        <v>100000</v>
      </c>
      <c r="L128" s="321">
        <v>0.31751999999999997</v>
      </c>
      <c r="M128" s="326"/>
      <c r="N128" s="343" t="s">
        <v>147</v>
      </c>
      <c r="O128" s="310" t="s">
        <v>39</v>
      </c>
      <c r="P128" s="310" t="str">
        <f t="shared" si="3"/>
        <v>QUIXA BT</v>
      </c>
      <c r="Q128" s="311">
        <v>1</v>
      </c>
      <c r="R128" s="300"/>
      <c r="S128" s="288"/>
      <c r="T128" s="288"/>
      <c r="U128" s="300"/>
      <c r="V128" s="288"/>
      <c r="W128" s="288"/>
      <c r="X128" s="288"/>
      <c r="Y128" s="300"/>
      <c r="Z128" s="2"/>
      <c r="AC128" s="300"/>
    </row>
    <row r="129" spans="3:29" hidden="1">
      <c r="C129" s="2"/>
      <c r="D129" s="5"/>
      <c r="E129" s="339"/>
      <c r="F129" s="340"/>
      <c r="G129" s="341" t="s">
        <v>152</v>
      </c>
      <c r="H129" s="319">
        <v>5</v>
      </c>
      <c r="I129" s="319">
        <v>60</v>
      </c>
      <c r="J129" s="319" t="str">
        <f t="shared" si="4"/>
        <v>EAP - EUROPASSISTANCE 5 60</v>
      </c>
      <c r="K129" s="320">
        <v>100000</v>
      </c>
      <c r="L129" s="321">
        <v>0.39689999999999998</v>
      </c>
      <c r="M129" s="326"/>
      <c r="N129" s="343" t="s">
        <v>147</v>
      </c>
      <c r="O129" s="310" t="s">
        <v>145</v>
      </c>
      <c r="P129" s="310" t="str">
        <f t="shared" si="3"/>
        <v>QUIXA BZ</v>
      </c>
      <c r="Q129" s="311">
        <v>7</v>
      </c>
      <c r="R129" s="300"/>
      <c r="S129" s="288"/>
      <c r="T129" s="288"/>
      <c r="U129" s="300"/>
      <c r="V129" s="288"/>
      <c r="W129" s="288"/>
      <c r="X129" s="288"/>
      <c r="Y129" s="300"/>
      <c r="Z129" s="2"/>
      <c r="AC129" s="300"/>
    </row>
    <row r="130" spans="3:29" hidden="1">
      <c r="C130" s="2"/>
      <c r="D130" s="5"/>
      <c r="E130" s="339"/>
      <c r="F130" s="340"/>
      <c r="G130" s="341" t="s">
        <v>152</v>
      </c>
      <c r="H130" s="319">
        <v>5</v>
      </c>
      <c r="I130" s="319">
        <v>72</v>
      </c>
      <c r="J130" s="319" t="str">
        <f t="shared" si="4"/>
        <v>EAP - EUROPASSISTANCE 5 72</v>
      </c>
      <c r="K130" s="320">
        <v>100000</v>
      </c>
      <c r="L130" s="321">
        <v>0.47627999999999998</v>
      </c>
      <c r="M130" s="326"/>
      <c r="N130" s="343" t="s">
        <v>147</v>
      </c>
      <c r="O130" s="310" t="s">
        <v>86</v>
      </c>
      <c r="P130" s="310" t="str">
        <f t="shared" si="3"/>
        <v>QUIXA CA</v>
      </c>
      <c r="Q130" s="311">
        <v>5</v>
      </c>
      <c r="R130" s="300"/>
      <c r="S130" s="288"/>
      <c r="T130" s="288"/>
      <c r="U130" s="300"/>
      <c r="V130" s="288"/>
      <c r="W130" s="288"/>
      <c r="X130" s="288"/>
      <c r="Y130" s="300"/>
      <c r="Z130" s="2"/>
      <c r="AC130" s="300"/>
    </row>
    <row r="131" spans="3:29" hidden="1">
      <c r="C131" s="2"/>
      <c r="D131" s="5"/>
      <c r="E131" s="339"/>
      <c r="F131" s="340"/>
      <c r="G131" s="341" t="s">
        <v>152</v>
      </c>
      <c r="H131" s="336">
        <v>6</v>
      </c>
      <c r="I131" s="336">
        <v>12</v>
      </c>
      <c r="J131" s="336" t="str">
        <f t="shared" si="4"/>
        <v>EAP - EUROPASSISTANCE 6 12</v>
      </c>
      <c r="K131" s="337">
        <v>35000</v>
      </c>
      <c r="L131" s="332">
        <v>0.13528000000000001</v>
      </c>
      <c r="M131" s="326"/>
      <c r="N131" s="343" t="s">
        <v>147</v>
      </c>
      <c r="O131" s="310" t="s">
        <v>87</v>
      </c>
      <c r="P131" s="310" t="str">
        <f t="shared" si="3"/>
        <v>QUIXA CB</v>
      </c>
      <c r="Q131" s="311">
        <v>5</v>
      </c>
      <c r="R131" s="300"/>
      <c r="S131" s="288"/>
      <c r="T131" s="288"/>
      <c r="U131" s="300"/>
      <c r="V131" s="288"/>
      <c r="W131" s="288"/>
      <c r="X131" s="288"/>
      <c r="Y131" s="300"/>
      <c r="Z131" s="2"/>
      <c r="AC131" s="300"/>
    </row>
    <row r="132" spans="3:29" hidden="1">
      <c r="C132" s="2"/>
      <c r="D132" s="5"/>
      <c r="E132" s="339"/>
      <c r="F132" s="340"/>
      <c r="G132" s="341" t="s">
        <v>152</v>
      </c>
      <c r="H132" s="336">
        <v>6</v>
      </c>
      <c r="I132" s="336">
        <v>24</v>
      </c>
      <c r="J132" s="336" t="str">
        <f t="shared" si="4"/>
        <v>EAP - EUROPASSISTANCE 6 24</v>
      </c>
      <c r="K132" s="337">
        <v>35000</v>
      </c>
      <c r="L132" s="332">
        <v>0.26239999999999997</v>
      </c>
      <c r="M132" s="326"/>
      <c r="N132" s="343" t="s">
        <v>147</v>
      </c>
      <c r="O132" s="310" t="s">
        <v>144</v>
      </c>
      <c r="P132" s="310" t="str">
        <f t="shared" ref="P132:P195" si="5">CONCATENATE(N132," ",O132)</f>
        <v>QUIXA CE</v>
      </c>
      <c r="Q132" s="311">
        <v>6</v>
      </c>
      <c r="R132" s="300"/>
      <c r="S132" s="288"/>
      <c r="T132" s="288"/>
      <c r="U132" s="300"/>
      <c r="V132" s="288"/>
      <c r="W132" s="288"/>
      <c r="X132" s="288"/>
      <c r="Y132" s="300"/>
      <c r="Z132" s="2"/>
      <c r="AC132" s="300"/>
    </row>
    <row r="133" spans="3:29" hidden="1">
      <c r="C133" s="2"/>
      <c r="D133" s="5"/>
      <c r="E133" s="339"/>
      <c r="F133" s="340"/>
      <c r="G133" s="341" t="s">
        <v>152</v>
      </c>
      <c r="H133" s="336">
        <v>6</v>
      </c>
      <c r="I133" s="336">
        <v>36</v>
      </c>
      <c r="J133" s="336" t="str">
        <f t="shared" ref="J133:J196" si="6">CONCATENATE(G133," ",H133," ",I133)</f>
        <v>EAP - EUROPASSISTANCE 6 36</v>
      </c>
      <c r="K133" s="337">
        <v>35000</v>
      </c>
      <c r="L133" s="332">
        <v>0.39359999999999995</v>
      </c>
      <c r="M133" s="326"/>
      <c r="N133" s="343" t="s">
        <v>147</v>
      </c>
      <c r="O133" s="310" t="s">
        <v>67</v>
      </c>
      <c r="P133" s="310" t="str">
        <f t="shared" si="5"/>
        <v>QUIXA CH</v>
      </c>
      <c r="Q133" s="311">
        <v>4</v>
      </c>
      <c r="R133" s="300"/>
      <c r="S133" s="288"/>
      <c r="T133" s="288"/>
      <c r="U133" s="300"/>
      <c r="V133" s="288"/>
      <c r="W133" s="288"/>
      <c r="X133" s="288"/>
      <c r="Y133" s="300"/>
      <c r="Z133" s="2"/>
      <c r="AC133" s="300"/>
    </row>
    <row r="134" spans="3:29" hidden="1">
      <c r="C134" s="2"/>
      <c r="D134" s="5"/>
      <c r="E134" s="339"/>
      <c r="F134" s="340"/>
      <c r="G134" s="341" t="s">
        <v>152</v>
      </c>
      <c r="H134" s="336">
        <v>6</v>
      </c>
      <c r="I134" s="336">
        <v>48</v>
      </c>
      <c r="J134" s="336" t="str">
        <f t="shared" si="6"/>
        <v>EAP - EUROPASSISTANCE 6 48</v>
      </c>
      <c r="K134" s="337">
        <v>35000</v>
      </c>
      <c r="L134" s="332">
        <v>0.52479999999999993</v>
      </c>
      <c r="M134" s="326"/>
      <c r="N134" s="343" t="s">
        <v>147</v>
      </c>
      <c r="O134" s="310" t="s">
        <v>88</v>
      </c>
      <c r="P134" s="310" t="str">
        <f t="shared" si="5"/>
        <v>QUIXA CL</v>
      </c>
      <c r="Q134" s="311">
        <v>5</v>
      </c>
      <c r="R134" s="300"/>
      <c r="S134" s="288"/>
      <c r="T134" s="288"/>
      <c r="U134" s="300"/>
      <c r="V134" s="288"/>
      <c r="W134" s="288"/>
      <c r="X134" s="288"/>
      <c r="Y134" s="300"/>
      <c r="Z134" s="2"/>
      <c r="AC134" s="300"/>
    </row>
    <row r="135" spans="3:29" hidden="1">
      <c r="C135" s="2"/>
      <c r="D135" s="5"/>
      <c r="E135" s="339"/>
      <c r="F135" s="340"/>
      <c r="G135" s="341" t="s">
        <v>152</v>
      </c>
      <c r="H135" s="336">
        <v>6</v>
      </c>
      <c r="I135" s="336">
        <v>60</v>
      </c>
      <c r="J135" s="336" t="str">
        <f t="shared" si="6"/>
        <v>EAP - EUROPASSISTANCE 6 60</v>
      </c>
      <c r="K135" s="337">
        <v>35000</v>
      </c>
      <c r="L135" s="332">
        <v>0.65600000000000003</v>
      </c>
      <c r="M135" s="326"/>
      <c r="N135" s="343" t="s">
        <v>147</v>
      </c>
      <c r="O135" s="310" t="s">
        <v>89</v>
      </c>
      <c r="P135" s="310" t="str">
        <f t="shared" si="5"/>
        <v>QUIXA CN</v>
      </c>
      <c r="Q135" s="311">
        <v>5</v>
      </c>
      <c r="R135" s="300"/>
      <c r="S135" s="288"/>
      <c r="T135" s="288"/>
      <c r="U135" s="300"/>
      <c r="V135" s="288"/>
      <c r="W135" s="288"/>
      <c r="X135" s="288"/>
      <c r="Y135" s="300"/>
      <c r="Z135" s="2"/>
      <c r="AC135" s="300"/>
    </row>
    <row r="136" spans="3:29" hidden="1">
      <c r="C136" s="2"/>
      <c r="D136" s="5"/>
      <c r="E136" s="339"/>
      <c r="F136" s="340"/>
      <c r="G136" s="341" t="s">
        <v>152</v>
      </c>
      <c r="H136" s="336">
        <v>6</v>
      </c>
      <c r="I136" s="336">
        <v>72</v>
      </c>
      <c r="J136" s="336" t="str">
        <f t="shared" si="6"/>
        <v>EAP - EUROPASSISTANCE 6 72</v>
      </c>
      <c r="K136" s="337">
        <v>35000</v>
      </c>
      <c r="L136" s="332">
        <v>0.7871999999999999</v>
      </c>
      <c r="M136" s="326"/>
      <c r="N136" s="343" t="s">
        <v>147</v>
      </c>
      <c r="O136" s="310" t="s">
        <v>90</v>
      </c>
      <c r="P136" s="310" t="str">
        <f t="shared" si="5"/>
        <v>QUIXA CO</v>
      </c>
      <c r="Q136" s="311">
        <v>5</v>
      </c>
      <c r="R136" s="300"/>
      <c r="S136" s="288"/>
      <c r="T136" s="288"/>
      <c r="U136" s="300"/>
      <c r="V136" s="288"/>
      <c r="W136" s="288"/>
      <c r="X136" s="288"/>
      <c r="Y136" s="300"/>
      <c r="Z136" s="2"/>
      <c r="AC136" s="300"/>
    </row>
    <row r="137" spans="3:29" hidden="1">
      <c r="C137" s="2"/>
      <c r="D137" s="5"/>
      <c r="E137" s="339"/>
      <c r="F137" s="340"/>
      <c r="G137" s="341" t="s">
        <v>152</v>
      </c>
      <c r="H137" s="319">
        <v>7</v>
      </c>
      <c r="I137" s="319">
        <v>12</v>
      </c>
      <c r="J137" s="319" t="str">
        <f t="shared" si="6"/>
        <v>EAP - EUROPASSISTANCE 7 12</v>
      </c>
      <c r="K137" s="320">
        <v>100000</v>
      </c>
      <c r="L137" s="321">
        <v>7.3010000000000005E-2</v>
      </c>
      <c r="M137" s="326"/>
      <c r="N137" s="343" t="s">
        <v>147</v>
      </c>
      <c r="O137" s="310" t="s">
        <v>91</v>
      </c>
      <c r="P137" s="310" t="str">
        <f t="shared" si="5"/>
        <v>QUIXA CR</v>
      </c>
      <c r="Q137" s="311">
        <v>5</v>
      </c>
      <c r="R137" s="300"/>
      <c r="S137" s="288"/>
      <c r="T137" s="288"/>
      <c r="U137" s="300"/>
      <c r="V137" s="288"/>
      <c r="W137" s="288"/>
      <c r="X137" s="288"/>
      <c r="Y137" s="300"/>
      <c r="Z137" s="2"/>
      <c r="AC137" s="300"/>
    </row>
    <row r="138" spans="3:29" hidden="1">
      <c r="C138" s="2"/>
      <c r="D138" s="5"/>
      <c r="E138" s="339"/>
      <c r="F138" s="340"/>
      <c r="G138" s="341" t="s">
        <v>152</v>
      </c>
      <c r="H138" s="319">
        <v>7</v>
      </c>
      <c r="I138" s="319">
        <v>24</v>
      </c>
      <c r="J138" s="319" t="str">
        <f t="shared" si="6"/>
        <v>EAP - EUROPASSISTANCE 7 24</v>
      </c>
      <c r="K138" s="320">
        <v>100000</v>
      </c>
      <c r="L138" s="321">
        <v>0.14330000000000001</v>
      </c>
      <c r="M138" s="326"/>
      <c r="N138" s="343" t="s">
        <v>147</v>
      </c>
      <c r="O138" s="310" t="s">
        <v>54</v>
      </c>
      <c r="P138" s="310" t="str">
        <f t="shared" si="5"/>
        <v>QUIXA CS</v>
      </c>
      <c r="Q138" s="311">
        <v>3</v>
      </c>
      <c r="R138" s="300"/>
      <c r="S138" s="288"/>
      <c r="T138" s="288"/>
      <c r="U138" s="300"/>
      <c r="V138" s="288"/>
      <c r="W138" s="288"/>
      <c r="X138" s="288"/>
      <c r="Y138" s="300"/>
      <c r="Z138" s="2"/>
      <c r="AC138" s="300"/>
    </row>
    <row r="139" spans="3:29" hidden="1">
      <c r="C139" s="2"/>
      <c r="D139" s="5"/>
      <c r="E139" s="339"/>
      <c r="F139" s="340"/>
      <c r="G139" s="341" t="s">
        <v>152</v>
      </c>
      <c r="H139" s="319">
        <v>7</v>
      </c>
      <c r="I139" s="319">
        <v>36</v>
      </c>
      <c r="J139" s="319" t="str">
        <f t="shared" si="6"/>
        <v>EAP - EUROPASSISTANCE 7 36</v>
      </c>
      <c r="K139" s="320">
        <v>100000</v>
      </c>
      <c r="L139" s="321">
        <v>0.21495000000000003</v>
      </c>
      <c r="M139" s="326"/>
      <c r="N139" s="343" t="s">
        <v>147</v>
      </c>
      <c r="O139" s="310" t="s">
        <v>55</v>
      </c>
      <c r="P139" s="310" t="str">
        <f t="shared" si="5"/>
        <v>QUIXA CT</v>
      </c>
      <c r="Q139" s="311">
        <v>3</v>
      </c>
      <c r="R139" s="300"/>
      <c r="S139" s="288"/>
      <c r="T139" s="288"/>
      <c r="U139" s="300"/>
      <c r="V139" s="288"/>
      <c r="W139" s="288"/>
      <c r="X139" s="288"/>
      <c r="Y139" s="300"/>
      <c r="Z139" s="2"/>
      <c r="AC139" s="300"/>
    </row>
    <row r="140" spans="3:29" hidden="1">
      <c r="C140" s="2"/>
      <c r="D140" s="5"/>
      <c r="E140" s="339"/>
      <c r="F140" s="340"/>
      <c r="G140" s="341" t="s">
        <v>152</v>
      </c>
      <c r="H140" s="319">
        <v>7</v>
      </c>
      <c r="I140" s="319">
        <v>48</v>
      </c>
      <c r="J140" s="319" t="str">
        <f t="shared" si="6"/>
        <v>EAP - EUROPASSISTANCE 7 48</v>
      </c>
      <c r="K140" s="320">
        <v>100000</v>
      </c>
      <c r="L140" s="321">
        <v>0.28660000000000002</v>
      </c>
      <c r="M140" s="326"/>
      <c r="N140" s="343" t="s">
        <v>147</v>
      </c>
      <c r="O140" s="310" t="s">
        <v>56</v>
      </c>
      <c r="P140" s="310" t="str">
        <f t="shared" si="5"/>
        <v>QUIXA CZ</v>
      </c>
      <c r="Q140" s="311">
        <v>3</v>
      </c>
      <c r="R140" s="300"/>
      <c r="S140" s="288"/>
      <c r="T140" s="288"/>
      <c r="U140" s="300"/>
      <c r="V140" s="288"/>
      <c r="W140" s="288"/>
      <c r="X140" s="288"/>
      <c r="Y140" s="300"/>
      <c r="Z140" s="2"/>
      <c r="AC140" s="300"/>
    </row>
    <row r="141" spans="3:29" hidden="1">
      <c r="C141" s="2"/>
      <c r="D141" s="5"/>
      <c r="E141" s="339"/>
      <c r="F141" s="340"/>
      <c r="G141" s="341" t="s">
        <v>152</v>
      </c>
      <c r="H141" s="319">
        <v>7</v>
      </c>
      <c r="I141" s="319">
        <v>60</v>
      </c>
      <c r="J141" s="319" t="str">
        <f t="shared" si="6"/>
        <v>EAP - EUROPASSISTANCE 7 60</v>
      </c>
      <c r="K141" s="320">
        <v>100000</v>
      </c>
      <c r="L141" s="321">
        <v>0.35825000000000001</v>
      </c>
      <c r="M141" s="326"/>
      <c r="N141" s="343" t="s">
        <v>147</v>
      </c>
      <c r="O141" s="310" t="s">
        <v>68</v>
      </c>
      <c r="P141" s="310" t="str">
        <f t="shared" si="5"/>
        <v>QUIXA EN</v>
      </c>
      <c r="Q141" s="311">
        <v>4</v>
      </c>
      <c r="R141" s="300"/>
      <c r="S141" s="288"/>
      <c r="T141" s="288"/>
      <c r="U141" s="300"/>
      <c r="V141" s="288"/>
      <c r="W141" s="288"/>
      <c r="X141" s="288"/>
      <c r="Y141" s="300"/>
      <c r="Z141" s="2"/>
      <c r="AC141" s="300"/>
    </row>
    <row r="142" spans="3:29" hidden="1">
      <c r="C142" s="2"/>
      <c r="D142" s="5"/>
      <c r="E142" s="339"/>
      <c r="F142" s="340"/>
      <c r="G142" s="341" t="s">
        <v>152</v>
      </c>
      <c r="H142" s="319">
        <v>7</v>
      </c>
      <c r="I142" s="319">
        <v>72</v>
      </c>
      <c r="J142" s="319" t="str">
        <f t="shared" si="6"/>
        <v>EAP - EUROPASSISTANCE 7 72</v>
      </c>
      <c r="K142" s="342">
        <v>100000</v>
      </c>
      <c r="L142" s="321">
        <v>0.42990000000000006</v>
      </c>
      <c r="M142" s="326"/>
      <c r="N142" s="343" t="s">
        <v>147</v>
      </c>
      <c r="O142" s="310" t="s">
        <v>92</v>
      </c>
      <c r="P142" s="310" t="str">
        <f t="shared" si="5"/>
        <v>QUIXA FC</v>
      </c>
      <c r="Q142" s="311">
        <v>5</v>
      </c>
      <c r="R142" s="300"/>
      <c r="S142" s="288"/>
      <c r="T142" s="288"/>
      <c r="U142" s="300"/>
      <c r="V142" s="288"/>
      <c r="W142" s="288"/>
      <c r="X142" s="288"/>
      <c r="Y142" s="300"/>
      <c r="Z142" s="2"/>
      <c r="AC142" s="300"/>
    </row>
    <row r="143" spans="3:29" hidden="1">
      <c r="C143" s="2"/>
      <c r="D143" s="5"/>
      <c r="E143" s="339"/>
      <c r="F143" s="340"/>
      <c r="G143" s="341" t="s">
        <v>152</v>
      </c>
      <c r="H143" s="336">
        <v>8</v>
      </c>
      <c r="I143" s="336">
        <v>12</v>
      </c>
      <c r="J143" s="336" t="str">
        <f t="shared" si="6"/>
        <v>EAP - EUROPASSISTANCE 8 12</v>
      </c>
      <c r="K143" s="337">
        <v>100000</v>
      </c>
      <c r="L143" s="332">
        <v>0.10295</v>
      </c>
      <c r="M143" s="326"/>
      <c r="N143" s="343" t="s">
        <v>147</v>
      </c>
      <c r="O143" s="310" t="s">
        <v>69</v>
      </c>
      <c r="P143" s="310" t="str">
        <f t="shared" si="5"/>
        <v>QUIXA FE</v>
      </c>
      <c r="Q143" s="311">
        <v>4</v>
      </c>
      <c r="R143" s="300"/>
      <c r="S143" s="288"/>
      <c r="T143" s="288"/>
      <c r="U143" s="300"/>
      <c r="V143" s="288"/>
      <c r="W143" s="288"/>
      <c r="X143" s="288"/>
      <c r="Y143" s="300"/>
      <c r="Z143" s="2"/>
      <c r="AC143" s="300"/>
    </row>
    <row r="144" spans="3:29" hidden="1">
      <c r="C144" s="2"/>
      <c r="D144" s="5"/>
      <c r="E144" s="339"/>
      <c r="F144" s="340"/>
      <c r="G144" s="341" t="s">
        <v>152</v>
      </c>
      <c r="H144" s="336">
        <v>8</v>
      </c>
      <c r="I144" s="336">
        <v>24</v>
      </c>
      <c r="J144" s="336" t="str">
        <f t="shared" si="6"/>
        <v>EAP - EUROPASSISTANCE 8 24</v>
      </c>
      <c r="K144" s="337">
        <v>100000</v>
      </c>
      <c r="L144" s="332">
        <v>0.20133999999999996</v>
      </c>
      <c r="M144" s="326"/>
      <c r="N144" s="343" t="s">
        <v>147</v>
      </c>
      <c r="O144" s="310" t="s">
        <v>40</v>
      </c>
      <c r="P144" s="310" t="str">
        <f t="shared" si="5"/>
        <v>QUIXA FG</v>
      </c>
      <c r="Q144" s="311">
        <v>1</v>
      </c>
      <c r="R144" s="300"/>
      <c r="S144" s="288"/>
      <c r="T144" s="288"/>
      <c r="U144" s="300"/>
      <c r="V144" s="288"/>
      <c r="W144" s="288"/>
      <c r="X144" s="288"/>
      <c r="Y144" s="300"/>
      <c r="Z144" s="2"/>
      <c r="AC144" s="300"/>
    </row>
    <row r="145" spans="3:29" hidden="1">
      <c r="C145" s="2"/>
      <c r="D145" s="5"/>
      <c r="E145" s="339"/>
      <c r="F145" s="340"/>
      <c r="G145" s="341" t="s">
        <v>152</v>
      </c>
      <c r="H145" s="336">
        <v>8</v>
      </c>
      <c r="I145" s="336">
        <v>36</v>
      </c>
      <c r="J145" s="336" t="str">
        <f t="shared" si="6"/>
        <v>EAP - EUROPASSISTANCE 8 36</v>
      </c>
      <c r="K145" s="337">
        <v>100000</v>
      </c>
      <c r="L145" s="332">
        <v>0.30201</v>
      </c>
      <c r="M145" s="326"/>
      <c r="N145" s="343" t="s">
        <v>147</v>
      </c>
      <c r="O145" s="310" t="s">
        <v>93</v>
      </c>
      <c r="P145" s="310" t="str">
        <f t="shared" si="5"/>
        <v>QUIXA FI</v>
      </c>
      <c r="Q145" s="311">
        <v>5</v>
      </c>
      <c r="R145" s="300"/>
      <c r="S145" s="288"/>
      <c r="T145" s="288"/>
      <c r="U145" s="300"/>
      <c r="V145" s="288"/>
      <c r="W145" s="288"/>
      <c r="X145" s="288"/>
      <c r="Y145" s="300"/>
      <c r="Z145" s="2"/>
      <c r="AC145" s="300"/>
    </row>
    <row r="146" spans="3:29" hidden="1">
      <c r="C146" s="2"/>
      <c r="D146" s="5"/>
      <c r="E146" s="339"/>
      <c r="F146" s="340"/>
      <c r="G146" s="341" t="s">
        <v>152</v>
      </c>
      <c r="H146" s="336">
        <v>8</v>
      </c>
      <c r="I146" s="336">
        <v>48</v>
      </c>
      <c r="J146" s="336" t="str">
        <f t="shared" si="6"/>
        <v>EAP - EUROPASSISTANCE 8 48</v>
      </c>
      <c r="K146" s="337">
        <v>100000</v>
      </c>
      <c r="L146" s="332">
        <v>0.40267999999999993</v>
      </c>
      <c r="M146" s="326"/>
      <c r="N146" s="343" t="s">
        <v>147</v>
      </c>
      <c r="O146" s="310" t="s">
        <v>94</v>
      </c>
      <c r="P146" s="310" t="str">
        <f t="shared" si="5"/>
        <v>QUIXA FM</v>
      </c>
      <c r="Q146" s="311">
        <v>5</v>
      </c>
      <c r="R146" s="300"/>
      <c r="S146" s="288"/>
      <c r="T146" s="288"/>
      <c r="U146" s="300"/>
      <c r="V146" s="288"/>
      <c r="W146" s="288"/>
      <c r="X146" s="288"/>
      <c r="Y146" s="300"/>
      <c r="Z146" s="2"/>
      <c r="AC146" s="300"/>
    </row>
    <row r="147" spans="3:29" hidden="1">
      <c r="C147" s="2"/>
      <c r="D147" s="5"/>
      <c r="E147" s="339"/>
      <c r="F147" s="340"/>
      <c r="G147" s="341" t="s">
        <v>152</v>
      </c>
      <c r="H147" s="336">
        <v>8</v>
      </c>
      <c r="I147" s="336">
        <v>60</v>
      </c>
      <c r="J147" s="336" t="str">
        <f t="shared" si="6"/>
        <v>EAP - EUROPASSISTANCE 8 60</v>
      </c>
      <c r="K147" s="337">
        <v>100000</v>
      </c>
      <c r="L147" s="332">
        <v>0.50334999999999996</v>
      </c>
      <c r="M147" s="326"/>
      <c r="N147" s="343" t="s">
        <v>147</v>
      </c>
      <c r="O147" s="310" t="s">
        <v>57</v>
      </c>
      <c r="P147" s="310" t="str">
        <f t="shared" si="5"/>
        <v>QUIXA FR</v>
      </c>
      <c r="Q147" s="311">
        <v>3</v>
      </c>
      <c r="R147" s="300"/>
      <c r="S147" s="288"/>
      <c r="T147" s="288"/>
      <c r="U147" s="300"/>
      <c r="V147" s="288"/>
      <c r="W147" s="288"/>
      <c r="X147" s="288"/>
      <c r="Y147" s="300"/>
      <c r="Z147" s="2"/>
      <c r="AC147" s="300"/>
    </row>
    <row r="148" spans="3:29" hidden="1">
      <c r="C148" s="2"/>
      <c r="D148" s="5"/>
      <c r="E148" s="339"/>
      <c r="F148" s="340"/>
      <c r="G148" s="341" t="s">
        <v>152</v>
      </c>
      <c r="H148" s="336">
        <v>8</v>
      </c>
      <c r="I148" s="336">
        <v>72</v>
      </c>
      <c r="J148" s="336" t="str">
        <f t="shared" si="6"/>
        <v>EAP - EUROPASSISTANCE 8 72</v>
      </c>
      <c r="K148" s="337">
        <v>100000</v>
      </c>
      <c r="L148" s="332">
        <v>0.60402</v>
      </c>
      <c r="M148" s="326"/>
      <c r="N148" s="343" t="s">
        <v>147</v>
      </c>
      <c r="O148" s="310" t="s">
        <v>95</v>
      </c>
      <c r="P148" s="310" t="str">
        <f t="shared" si="5"/>
        <v>QUIXA GE</v>
      </c>
      <c r="Q148" s="311">
        <v>5</v>
      </c>
      <c r="R148" s="300"/>
      <c r="S148" s="288"/>
      <c r="T148" s="288"/>
      <c r="U148" s="300"/>
      <c r="V148" s="288"/>
      <c r="W148" s="288"/>
      <c r="X148" s="288"/>
      <c r="Y148" s="300"/>
      <c r="Z148" s="2"/>
      <c r="AC148" s="300"/>
    </row>
    <row r="149" spans="3:29" hidden="1">
      <c r="C149" s="2"/>
      <c r="D149" s="5"/>
      <c r="E149" s="339"/>
      <c r="F149" s="340"/>
      <c r="G149" s="341" t="s">
        <v>151</v>
      </c>
      <c r="H149" s="319">
        <v>1</v>
      </c>
      <c r="I149" s="319">
        <v>12</v>
      </c>
      <c r="J149" s="319" t="str">
        <f t="shared" si="6"/>
        <v>EAT - EUROPASSISTANCE 1 12</v>
      </c>
      <c r="K149" s="320">
        <v>100000</v>
      </c>
      <c r="L149" s="321">
        <v>8.5660000000000014E-2</v>
      </c>
      <c r="M149" s="326"/>
      <c r="N149" s="343" t="s">
        <v>147</v>
      </c>
      <c r="O149" s="310" t="s">
        <v>96</v>
      </c>
      <c r="P149" s="310" t="str">
        <f t="shared" si="5"/>
        <v>QUIXA GO</v>
      </c>
      <c r="Q149" s="311">
        <v>5</v>
      </c>
      <c r="R149" s="300"/>
      <c r="S149" s="288"/>
      <c r="T149" s="288"/>
      <c r="U149" s="300"/>
      <c r="V149" s="288"/>
      <c r="W149" s="288"/>
      <c r="X149" s="288"/>
      <c r="Y149" s="300"/>
      <c r="Z149" s="2"/>
      <c r="AC149" s="300"/>
    </row>
    <row r="150" spans="3:29" hidden="1">
      <c r="C150" s="2"/>
      <c r="D150" s="5"/>
      <c r="E150" s="339"/>
      <c r="F150" s="340"/>
      <c r="G150" s="341" t="s">
        <v>151</v>
      </c>
      <c r="H150" s="319">
        <v>1</v>
      </c>
      <c r="I150" s="319">
        <v>24</v>
      </c>
      <c r="J150" s="319" t="str">
        <f t="shared" si="6"/>
        <v>EAT - EUROPASSISTANCE 1 24</v>
      </c>
      <c r="K150" s="320">
        <v>100000</v>
      </c>
      <c r="L150" s="321">
        <v>0.16316</v>
      </c>
      <c r="M150" s="326"/>
      <c r="N150" s="343" t="s">
        <v>147</v>
      </c>
      <c r="O150" s="310" t="s">
        <v>97</v>
      </c>
      <c r="P150" s="310" t="str">
        <f t="shared" si="5"/>
        <v>QUIXA GR</v>
      </c>
      <c r="Q150" s="311">
        <v>5</v>
      </c>
      <c r="R150" s="300"/>
      <c r="S150" s="288"/>
      <c r="T150" s="288"/>
      <c r="U150" s="300"/>
      <c r="V150" s="288"/>
      <c r="W150" s="288"/>
      <c r="X150" s="288"/>
      <c r="Y150" s="300"/>
      <c r="Z150" s="2"/>
      <c r="AC150" s="300"/>
    </row>
    <row r="151" spans="3:29" hidden="1">
      <c r="C151" s="2"/>
      <c r="D151" s="5"/>
      <c r="E151" s="339"/>
      <c r="F151" s="340"/>
      <c r="G151" s="341" t="s">
        <v>151</v>
      </c>
      <c r="H151" s="319">
        <v>1</v>
      </c>
      <c r="I151" s="319">
        <v>36</v>
      </c>
      <c r="J151" s="319" t="str">
        <f t="shared" si="6"/>
        <v>EAT - EUROPASSISTANCE 1 36</v>
      </c>
      <c r="K151" s="320">
        <v>100000</v>
      </c>
      <c r="L151" s="321">
        <v>0.24474000000000001</v>
      </c>
      <c r="M151" s="326"/>
      <c r="N151" s="343" t="s">
        <v>147</v>
      </c>
      <c r="O151" s="310" t="s">
        <v>70</v>
      </c>
      <c r="P151" s="310" t="str">
        <f t="shared" si="5"/>
        <v>QUIXA IM</v>
      </c>
      <c r="Q151" s="311">
        <v>4</v>
      </c>
      <c r="R151" s="300"/>
      <c r="S151" s="288"/>
      <c r="T151" s="288"/>
      <c r="U151" s="300"/>
      <c r="V151" s="288"/>
      <c r="W151" s="288"/>
      <c r="X151" s="288"/>
      <c r="Y151" s="300"/>
      <c r="Z151" s="2"/>
      <c r="AC151" s="300"/>
    </row>
    <row r="152" spans="3:29" hidden="1">
      <c r="C152" s="2"/>
      <c r="D152" s="5"/>
      <c r="E152" s="339"/>
      <c r="F152" s="340"/>
      <c r="G152" s="341" t="s">
        <v>151</v>
      </c>
      <c r="H152" s="319">
        <v>1</v>
      </c>
      <c r="I152" s="319">
        <v>48</v>
      </c>
      <c r="J152" s="319" t="str">
        <f t="shared" si="6"/>
        <v>EAT - EUROPASSISTANCE 1 48</v>
      </c>
      <c r="K152" s="320">
        <v>100000</v>
      </c>
      <c r="L152" s="321">
        <v>0.32632</v>
      </c>
      <c r="M152" s="326"/>
      <c r="N152" s="343" t="s">
        <v>147</v>
      </c>
      <c r="O152" s="310" t="s">
        <v>71</v>
      </c>
      <c r="P152" s="310" t="str">
        <f t="shared" si="5"/>
        <v>QUIXA IS</v>
      </c>
      <c r="Q152" s="311">
        <v>4</v>
      </c>
      <c r="R152" s="300"/>
      <c r="S152" s="288"/>
      <c r="T152" s="288"/>
      <c r="U152" s="300"/>
      <c r="V152" s="288"/>
      <c r="W152" s="288"/>
      <c r="X152" s="288"/>
      <c r="Y152" s="300"/>
      <c r="Z152" s="2"/>
      <c r="AC152" s="300"/>
    </row>
    <row r="153" spans="3:29" hidden="1">
      <c r="C153" s="2"/>
      <c r="D153" s="5"/>
      <c r="E153" s="339"/>
      <c r="F153" s="340"/>
      <c r="G153" s="341" t="s">
        <v>151</v>
      </c>
      <c r="H153" s="319">
        <v>1</v>
      </c>
      <c r="I153" s="319">
        <v>60</v>
      </c>
      <c r="J153" s="319" t="str">
        <f t="shared" si="6"/>
        <v>EAT - EUROPASSISTANCE 1 60</v>
      </c>
      <c r="K153" s="320">
        <v>100000</v>
      </c>
      <c r="L153" s="321">
        <v>0.40789999999999998</v>
      </c>
      <c r="M153" s="326"/>
      <c r="N153" s="343" t="s">
        <v>147</v>
      </c>
      <c r="O153" s="310" t="s">
        <v>43</v>
      </c>
      <c r="P153" s="310" t="str">
        <f t="shared" si="5"/>
        <v>QUIXA KR</v>
      </c>
      <c r="Q153" s="311">
        <v>2</v>
      </c>
      <c r="R153" s="300"/>
      <c r="S153" s="288"/>
      <c r="T153" s="288"/>
      <c r="U153" s="300"/>
      <c r="V153" s="288"/>
      <c r="W153" s="288"/>
      <c r="X153" s="288"/>
      <c r="Y153" s="300"/>
      <c r="Z153" s="2"/>
      <c r="AC153" s="300"/>
    </row>
    <row r="154" spans="3:29" hidden="1">
      <c r="C154" s="2"/>
      <c r="D154" s="5"/>
      <c r="E154" s="339"/>
      <c r="F154" s="340"/>
      <c r="G154" s="341" t="s">
        <v>151</v>
      </c>
      <c r="H154" s="319">
        <v>1</v>
      </c>
      <c r="I154" s="319">
        <v>72</v>
      </c>
      <c r="J154" s="319" t="str">
        <f t="shared" si="6"/>
        <v>EAT - EUROPASSISTANCE 1 72</v>
      </c>
      <c r="K154" s="320">
        <v>100000</v>
      </c>
      <c r="L154" s="321">
        <v>0.48948000000000003</v>
      </c>
      <c r="M154" s="326"/>
      <c r="N154" s="343" t="s">
        <v>147</v>
      </c>
      <c r="O154" s="310" t="s">
        <v>98</v>
      </c>
      <c r="P154" s="310" t="str">
        <f t="shared" si="5"/>
        <v>QUIXA LC</v>
      </c>
      <c r="Q154" s="311">
        <v>5</v>
      </c>
      <c r="R154" s="300"/>
      <c r="S154" s="288"/>
      <c r="T154" s="288"/>
      <c r="U154" s="300"/>
      <c r="V154" s="288"/>
      <c r="W154" s="288"/>
      <c r="X154" s="288"/>
      <c r="Y154" s="300"/>
      <c r="Z154" s="2"/>
      <c r="AC154" s="300"/>
    </row>
    <row r="155" spans="3:29" hidden="1">
      <c r="C155" s="2"/>
      <c r="D155" s="5"/>
      <c r="E155" s="339"/>
      <c r="F155" s="340"/>
      <c r="G155" s="341" t="s">
        <v>151</v>
      </c>
      <c r="H155" s="336">
        <v>2</v>
      </c>
      <c r="I155" s="336">
        <v>12</v>
      </c>
      <c r="J155" s="336" t="str">
        <f t="shared" si="6"/>
        <v>EAT - EUROPASSISTANCE 2 12</v>
      </c>
      <c r="K155" s="337">
        <v>100000</v>
      </c>
      <c r="L155" s="332">
        <v>6.9460000000000008E-2</v>
      </c>
      <c r="M155" s="326"/>
      <c r="N155" s="343" t="s">
        <v>147</v>
      </c>
      <c r="O155" s="310" t="s">
        <v>44</v>
      </c>
      <c r="P155" s="310" t="str">
        <f t="shared" si="5"/>
        <v>QUIXA LE</v>
      </c>
      <c r="Q155" s="311">
        <v>2</v>
      </c>
      <c r="R155" s="300"/>
      <c r="S155" s="288"/>
      <c r="T155" s="288"/>
      <c r="U155" s="300"/>
      <c r="V155" s="288"/>
      <c r="W155" s="288"/>
      <c r="X155" s="288"/>
      <c r="Y155" s="300"/>
      <c r="Z155" s="2"/>
      <c r="AC155" s="300"/>
    </row>
    <row r="156" spans="3:29" hidden="1">
      <c r="C156" s="2"/>
      <c r="D156" s="5"/>
      <c r="E156" s="339"/>
      <c r="F156" s="340"/>
      <c r="G156" s="341" t="s">
        <v>151</v>
      </c>
      <c r="H156" s="336">
        <v>2</v>
      </c>
      <c r="I156" s="336">
        <v>24</v>
      </c>
      <c r="J156" s="336" t="str">
        <f t="shared" si="6"/>
        <v>EAT - EUROPASSISTANCE 2 24</v>
      </c>
      <c r="K156" s="337">
        <v>100000</v>
      </c>
      <c r="L156" s="332">
        <v>0.1323</v>
      </c>
      <c r="M156" s="326"/>
      <c r="N156" s="343" t="s">
        <v>147</v>
      </c>
      <c r="O156" s="310" t="s">
        <v>99</v>
      </c>
      <c r="P156" s="310" t="str">
        <f t="shared" si="5"/>
        <v>QUIXA LI</v>
      </c>
      <c r="Q156" s="311">
        <v>5</v>
      </c>
      <c r="R156" s="300"/>
      <c r="S156" s="288"/>
      <c r="T156" s="288"/>
      <c r="U156" s="300"/>
      <c r="V156" s="288"/>
      <c r="W156" s="288"/>
      <c r="X156" s="288"/>
      <c r="Y156" s="300"/>
      <c r="Z156" s="2"/>
      <c r="AC156" s="300"/>
    </row>
    <row r="157" spans="3:29" hidden="1">
      <c r="C157" s="2"/>
      <c r="D157" s="5"/>
      <c r="E157" s="339"/>
      <c r="F157" s="340"/>
      <c r="G157" s="341" t="s">
        <v>151</v>
      </c>
      <c r="H157" s="336">
        <v>2</v>
      </c>
      <c r="I157" s="336">
        <v>36</v>
      </c>
      <c r="J157" s="336" t="str">
        <f t="shared" si="6"/>
        <v>EAT - EUROPASSISTANCE 2 36</v>
      </c>
      <c r="K157" s="337">
        <v>100000</v>
      </c>
      <c r="L157" s="332">
        <v>0.19845000000000002</v>
      </c>
      <c r="M157" s="326"/>
      <c r="N157" s="343" t="s">
        <v>147</v>
      </c>
      <c r="O157" s="310" t="s">
        <v>100</v>
      </c>
      <c r="P157" s="310" t="str">
        <f t="shared" si="5"/>
        <v>QUIXA LO</v>
      </c>
      <c r="Q157" s="311">
        <v>5</v>
      </c>
      <c r="R157" s="300"/>
      <c r="S157" s="288"/>
      <c r="T157" s="288"/>
      <c r="U157" s="300"/>
      <c r="V157" s="288"/>
      <c r="W157" s="288"/>
      <c r="X157" s="288"/>
      <c r="Y157" s="300"/>
      <c r="Z157" s="2"/>
      <c r="AC157" s="300"/>
    </row>
    <row r="158" spans="3:29" hidden="1">
      <c r="C158" s="2"/>
      <c r="D158" s="5"/>
      <c r="E158" s="339"/>
      <c r="F158" s="340"/>
      <c r="G158" s="341" t="s">
        <v>151</v>
      </c>
      <c r="H158" s="336">
        <v>2</v>
      </c>
      <c r="I158" s="336">
        <v>48</v>
      </c>
      <c r="J158" s="336" t="str">
        <f t="shared" si="6"/>
        <v>EAT - EUROPASSISTANCE 2 48</v>
      </c>
      <c r="K158" s="337">
        <v>100000</v>
      </c>
      <c r="L158" s="332">
        <v>0.2646</v>
      </c>
      <c r="M158" s="326"/>
      <c r="N158" s="343" t="s">
        <v>147</v>
      </c>
      <c r="O158" s="310" t="s">
        <v>101</v>
      </c>
      <c r="P158" s="310" t="str">
        <f t="shared" si="5"/>
        <v>QUIXA LT</v>
      </c>
      <c r="Q158" s="311">
        <v>5</v>
      </c>
      <c r="R158" s="300"/>
      <c r="S158" s="288"/>
      <c r="T158" s="288"/>
      <c r="U158" s="300"/>
      <c r="V158" s="288"/>
      <c r="W158" s="288"/>
      <c r="X158" s="288"/>
      <c r="Y158" s="300"/>
      <c r="Z158" s="2"/>
      <c r="AC158" s="300"/>
    </row>
    <row r="159" spans="3:29" hidden="1">
      <c r="C159" s="2"/>
      <c r="D159" s="5"/>
      <c r="E159" s="339"/>
      <c r="F159" s="340"/>
      <c r="G159" s="341" t="s">
        <v>151</v>
      </c>
      <c r="H159" s="336">
        <v>2</v>
      </c>
      <c r="I159" s="336">
        <v>60</v>
      </c>
      <c r="J159" s="336" t="str">
        <f t="shared" si="6"/>
        <v>EAT - EUROPASSISTANCE 2 60</v>
      </c>
      <c r="K159" s="337">
        <v>100000</v>
      </c>
      <c r="L159" s="332">
        <v>0.33074999999999999</v>
      </c>
      <c r="M159" s="326"/>
      <c r="N159" s="343" t="s">
        <v>147</v>
      </c>
      <c r="O159" s="310" t="s">
        <v>102</v>
      </c>
      <c r="P159" s="310" t="str">
        <f t="shared" si="5"/>
        <v>QUIXA LU</v>
      </c>
      <c r="Q159" s="311">
        <v>5</v>
      </c>
      <c r="R159" s="300"/>
      <c r="S159" s="288"/>
      <c r="T159" s="288"/>
      <c r="U159" s="300"/>
      <c r="V159" s="288"/>
      <c r="W159" s="288"/>
      <c r="X159" s="288"/>
      <c r="Y159" s="300"/>
      <c r="Z159" s="2"/>
      <c r="AC159" s="300"/>
    </row>
    <row r="160" spans="3:29" hidden="1">
      <c r="C160" s="2"/>
      <c r="D160" s="5"/>
      <c r="E160" s="339"/>
      <c r="F160" s="340"/>
      <c r="G160" s="341" t="s">
        <v>151</v>
      </c>
      <c r="H160" s="336">
        <v>2</v>
      </c>
      <c r="I160" s="336">
        <v>72</v>
      </c>
      <c r="J160" s="336" t="str">
        <f t="shared" si="6"/>
        <v>EAT - EUROPASSISTANCE 2 72</v>
      </c>
      <c r="K160" s="337">
        <v>100000</v>
      </c>
      <c r="L160" s="332">
        <v>0.39690000000000003</v>
      </c>
      <c r="M160" s="326"/>
      <c r="N160" s="343" t="s">
        <v>147</v>
      </c>
      <c r="O160" s="310" t="s">
        <v>72</v>
      </c>
      <c r="P160" s="310" t="str">
        <f t="shared" si="5"/>
        <v>QUIXA MB</v>
      </c>
      <c r="Q160" s="311">
        <v>4</v>
      </c>
      <c r="R160" s="300"/>
      <c r="S160" s="288"/>
      <c r="T160" s="288"/>
      <c r="U160" s="300"/>
      <c r="V160" s="288"/>
      <c r="W160" s="288"/>
      <c r="X160" s="288"/>
      <c r="Y160" s="300"/>
      <c r="Z160" s="2"/>
      <c r="AC160" s="300"/>
    </row>
    <row r="161" spans="3:29" hidden="1">
      <c r="C161" s="2"/>
      <c r="D161" s="5"/>
      <c r="E161" s="339"/>
      <c r="F161" s="340"/>
      <c r="G161" s="341" t="s">
        <v>151</v>
      </c>
      <c r="H161" s="319">
        <v>3</v>
      </c>
      <c r="I161" s="319">
        <v>12</v>
      </c>
      <c r="J161" s="319" t="str">
        <f t="shared" si="6"/>
        <v>EAT - EUROPASSISTANCE 3 12</v>
      </c>
      <c r="K161" s="320">
        <v>100000</v>
      </c>
      <c r="L161" s="321">
        <v>4.283E-2</v>
      </c>
      <c r="M161" s="326"/>
      <c r="N161" s="343" t="s">
        <v>147</v>
      </c>
      <c r="O161" s="310" t="s">
        <v>103</v>
      </c>
      <c r="P161" s="310" t="str">
        <f t="shared" si="5"/>
        <v>QUIXA MC</v>
      </c>
      <c r="Q161" s="311">
        <v>5</v>
      </c>
      <c r="R161" s="300"/>
      <c r="S161" s="288"/>
      <c r="T161" s="288"/>
      <c r="U161" s="300"/>
      <c r="V161" s="288"/>
      <c r="W161" s="288"/>
      <c r="X161" s="288"/>
      <c r="Y161" s="300"/>
      <c r="Z161" s="2"/>
      <c r="AC161" s="300"/>
    </row>
    <row r="162" spans="3:29" hidden="1">
      <c r="C162" s="2"/>
      <c r="D162" s="5"/>
      <c r="E162" s="339"/>
      <c r="F162" s="340"/>
      <c r="G162" s="341" t="s">
        <v>151</v>
      </c>
      <c r="H162" s="319">
        <v>3</v>
      </c>
      <c r="I162" s="319">
        <v>24</v>
      </c>
      <c r="J162" s="319" t="str">
        <f t="shared" si="6"/>
        <v>EAT - EUROPASSISTANCE 3 24</v>
      </c>
      <c r="K162" s="320">
        <v>100000</v>
      </c>
      <c r="L162" s="321">
        <v>8.158E-2</v>
      </c>
      <c r="M162" s="326"/>
      <c r="N162" s="343" t="s">
        <v>147</v>
      </c>
      <c r="O162" s="310" t="s">
        <v>58</v>
      </c>
      <c r="P162" s="310" t="str">
        <f t="shared" si="5"/>
        <v>QUIXA ME</v>
      </c>
      <c r="Q162" s="311">
        <v>3</v>
      </c>
      <c r="R162" s="300"/>
      <c r="S162" s="288"/>
      <c r="T162" s="288"/>
      <c r="U162" s="300"/>
      <c r="V162" s="288"/>
      <c r="W162" s="288"/>
      <c r="X162" s="288"/>
      <c r="Y162" s="300"/>
      <c r="Z162" s="2"/>
      <c r="AC162" s="300"/>
    </row>
    <row r="163" spans="3:29" hidden="1">
      <c r="C163" s="2"/>
      <c r="D163" s="5"/>
      <c r="E163" s="339"/>
      <c r="F163" s="340"/>
      <c r="G163" s="341" t="s">
        <v>151</v>
      </c>
      <c r="H163" s="319">
        <v>3</v>
      </c>
      <c r="I163" s="319">
        <v>36</v>
      </c>
      <c r="J163" s="319" t="str">
        <f t="shared" si="6"/>
        <v>EAT - EUROPASSISTANCE 3 36</v>
      </c>
      <c r="K163" s="320">
        <v>100000</v>
      </c>
      <c r="L163" s="321">
        <v>0.12237000000000001</v>
      </c>
      <c r="M163" s="326"/>
      <c r="N163" s="343" t="s">
        <v>147</v>
      </c>
      <c r="O163" s="310" t="s">
        <v>73</v>
      </c>
      <c r="P163" s="310" t="str">
        <f t="shared" si="5"/>
        <v>QUIXA MI</v>
      </c>
      <c r="Q163" s="311">
        <v>4</v>
      </c>
      <c r="R163" s="300"/>
      <c r="S163" s="288"/>
      <c r="T163" s="288"/>
      <c r="U163" s="300"/>
      <c r="V163" s="288"/>
      <c r="W163" s="288"/>
      <c r="X163" s="288"/>
      <c r="Y163" s="300"/>
      <c r="Z163" s="2"/>
      <c r="AC163" s="300"/>
    </row>
    <row r="164" spans="3:29" hidden="1">
      <c r="C164" s="2"/>
      <c r="D164" s="5"/>
      <c r="E164" s="339"/>
      <c r="F164" s="340"/>
      <c r="G164" s="341" t="s">
        <v>151</v>
      </c>
      <c r="H164" s="319">
        <v>3</v>
      </c>
      <c r="I164" s="319">
        <v>48</v>
      </c>
      <c r="J164" s="319" t="str">
        <f t="shared" si="6"/>
        <v>EAT - EUROPASSISTANCE 3 48</v>
      </c>
      <c r="K164" s="320">
        <v>100000</v>
      </c>
      <c r="L164" s="321">
        <v>0.16316</v>
      </c>
      <c r="M164" s="326"/>
      <c r="N164" s="343" t="s">
        <v>147</v>
      </c>
      <c r="O164" s="310" t="s">
        <v>104</v>
      </c>
      <c r="P164" s="310" t="str">
        <f t="shared" si="5"/>
        <v>QUIXA MN</v>
      </c>
      <c r="Q164" s="311">
        <v>5</v>
      </c>
      <c r="R164" s="300"/>
      <c r="S164" s="288"/>
      <c r="T164" s="288"/>
      <c r="U164" s="300"/>
      <c r="V164" s="288"/>
      <c r="W164" s="288"/>
      <c r="X164" s="288"/>
      <c r="Y164" s="300"/>
      <c r="Z164" s="2"/>
      <c r="AC164" s="300"/>
    </row>
    <row r="165" spans="3:29" hidden="1">
      <c r="C165" s="2"/>
      <c r="D165" s="5"/>
      <c r="E165" s="339"/>
      <c r="F165" s="340"/>
      <c r="G165" s="341" t="s">
        <v>151</v>
      </c>
      <c r="H165" s="319">
        <v>3</v>
      </c>
      <c r="I165" s="319">
        <v>60</v>
      </c>
      <c r="J165" s="319" t="str">
        <f t="shared" si="6"/>
        <v>EAT - EUROPASSISTANCE 3 60</v>
      </c>
      <c r="K165" s="320">
        <v>100000</v>
      </c>
      <c r="L165" s="321">
        <v>0.20394999999999999</v>
      </c>
      <c r="M165" s="326"/>
      <c r="N165" s="343" t="s">
        <v>147</v>
      </c>
      <c r="O165" s="310" t="s">
        <v>105</v>
      </c>
      <c r="P165" s="310" t="str">
        <f t="shared" si="5"/>
        <v>QUIXA MO</v>
      </c>
      <c r="Q165" s="311">
        <v>5</v>
      </c>
      <c r="R165" s="300"/>
      <c r="S165" s="288"/>
      <c r="T165" s="288"/>
      <c r="U165" s="300"/>
      <c r="V165" s="288"/>
      <c r="W165" s="288"/>
      <c r="X165" s="288"/>
      <c r="Y165" s="300"/>
      <c r="Z165" s="2"/>
      <c r="AC165" s="300"/>
    </row>
    <row r="166" spans="3:29" hidden="1">
      <c r="C166" s="2"/>
      <c r="D166" s="5"/>
      <c r="E166" s="339"/>
      <c r="F166" s="340"/>
      <c r="G166" s="341" t="s">
        <v>151</v>
      </c>
      <c r="H166" s="319">
        <v>3</v>
      </c>
      <c r="I166" s="319">
        <v>72</v>
      </c>
      <c r="J166" s="319" t="str">
        <f t="shared" si="6"/>
        <v>EAT - EUROPASSISTANCE 3 72</v>
      </c>
      <c r="K166" s="320">
        <v>100000</v>
      </c>
      <c r="L166" s="321">
        <v>0.24474000000000001</v>
      </c>
      <c r="M166" s="326"/>
      <c r="N166" s="343" t="s">
        <v>147</v>
      </c>
      <c r="O166" s="310" t="s">
        <v>106</v>
      </c>
      <c r="P166" s="310" t="str">
        <f t="shared" si="5"/>
        <v>QUIXA MS</v>
      </c>
      <c r="Q166" s="311">
        <v>5</v>
      </c>
      <c r="R166" s="300"/>
      <c r="S166" s="288"/>
      <c r="T166" s="288"/>
      <c r="U166" s="300"/>
      <c r="V166" s="288"/>
      <c r="W166" s="288"/>
      <c r="X166" s="288"/>
      <c r="Y166" s="300"/>
      <c r="Z166" s="2"/>
      <c r="AC166" s="300"/>
    </row>
    <row r="167" spans="3:29" hidden="1">
      <c r="C167" s="2"/>
      <c r="D167" s="5"/>
      <c r="E167" s="339"/>
      <c r="F167" s="340"/>
      <c r="G167" s="341" t="s">
        <v>151</v>
      </c>
      <c r="H167" s="336">
        <v>4</v>
      </c>
      <c r="I167" s="336">
        <v>12</v>
      </c>
      <c r="J167" s="336" t="str">
        <f t="shared" si="6"/>
        <v>EAT - EUROPASSISTANCE 4 12</v>
      </c>
      <c r="K167" s="337">
        <v>100000</v>
      </c>
      <c r="L167" s="332">
        <v>3.9359999999999999E-2</v>
      </c>
      <c r="M167" s="326"/>
      <c r="N167" s="343" t="s">
        <v>147</v>
      </c>
      <c r="O167" s="310" t="s">
        <v>59</v>
      </c>
      <c r="P167" s="310" t="str">
        <f t="shared" si="5"/>
        <v>QUIXA MT</v>
      </c>
      <c r="Q167" s="311">
        <v>3</v>
      </c>
      <c r="R167" s="300"/>
      <c r="S167" s="288"/>
      <c r="T167" s="288"/>
      <c r="U167" s="300"/>
      <c r="V167" s="288"/>
      <c r="W167" s="288"/>
      <c r="X167" s="288"/>
      <c r="Y167" s="300"/>
      <c r="Z167" s="2"/>
      <c r="AC167" s="300"/>
    </row>
    <row r="168" spans="3:29" hidden="1">
      <c r="C168" s="2"/>
      <c r="D168" s="5"/>
      <c r="E168" s="339"/>
      <c r="F168" s="340"/>
      <c r="G168" s="341" t="s">
        <v>151</v>
      </c>
      <c r="H168" s="336">
        <v>4</v>
      </c>
      <c r="I168" s="336">
        <v>24</v>
      </c>
      <c r="J168" s="336" t="str">
        <f t="shared" si="6"/>
        <v>EAT - EUROPASSISTANCE 4 24</v>
      </c>
      <c r="K168" s="337">
        <v>100000</v>
      </c>
      <c r="L168" s="332">
        <v>7.4960000000000013E-2</v>
      </c>
      <c r="M168" s="326"/>
      <c r="N168" s="343" t="s">
        <v>147</v>
      </c>
      <c r="O168" s="310" t="s">
        <v>45</v>
      </c>
      <c r="P168" s="310" t="str">
        <f t="shared" si="5"/>
        <v>QUIXA NA</v>
      </c>
      <c r="Q168" s="311">
        <v>2</v>
      </c>
      <c r="R168" s="300"/>
      <c r="S168" s="288"/>
      <c r="T168" s="288"/>
      <c r="U168" s="300"/>
      <c r="V168" s="288"/>
      <c r="W168" s="288"/>
      <c r="X168" s="288"/>
      <c r="Y168" s="300"/>
      <c r="Z168" s="2"/>
      <c r="AC168" s="300"/>
    </row>
    <row r="169" spans="3:29" hidden="1">
      <c r="C169" s="2"/>
      <c r="D169" s="5"/>
      <c r="E169" s="339"/>
      <c r="F169" s="340"/>
      <c r="G169" s="341" t="s">
        <v>151</v>
      </c>
      <c r="H169" s="336">
        <v>4</v>
      </c>
      <c r="I169" s="336">
        <v>36</v>
      </c>
      <c r="J169" s="336" t="str">
        <f t="shared" si="6"/>
        <v>EAT - EUROPASSISTANCE 4 36</v>
      </c>
      <c r="K169" s="337">
        <v>100000</v>
      </c>
      <c r="L169" s="332">
        <v>0.11244000000000001</v>
      </c>
      <c r="M169" s="326"/>
      <c r="N169" s="343" t="s">
        <v>147</v>
      </c>
      <c r="O169" s="310" t="s">
        <v>107</v>
      </c>
      <c r="P169" s="310" t="str">
        <f t="shared" si="5"/>
        <v>QUIXA NO</v>
      </c>
      <c r="Q169" s="311">
        <v>5</v>
      </c>
      <c r="R169" s="300"/>
      <c r="S169" s="288"/>
      <c r="T169" s="288"/>
      <c r="U169" s="300"/>
      <c r="V169" s="288"/>
      <c r="W169" s="288"/>
      <c r="X169" s="288"/>
      <c r="Y169" s="300"/>
      <c r="Z169" s="2"/>
      <c r="AC169" s="300"/>
    </row>
    <row r="170" spans="3:29" hidden="1">
      <c r="C170" s="2"/>
      <c r="D170" s="5"/>
      <c r="E170" s="339"/>
      <c r="F170" s="340"/>
      <c r="G170" s="341" t="s">
        <v>151</v>
      </c>
      <c r="H170" s="336">
        <v>4</v>
      </c>
      <c r="I170" s="336">
        <v>48</v>
      </c>
      <c r="J170" s="336" t="str">
        <f t="shared" si="6"/>
        <v>EAT - EUROPASSISTANCE 4 48</v>
      </c>
      <c r="K170" s="337">
        <v>100000</v>
      </c>
      <c r="L170" s="332">
        <v>0.14992000000000003</v>
      </c>
      <c r="M170" s="326"/>
      <c r="N170" s="343" t="s">
        <v>147</v>
      </c>
      <c r="O170" s="310" t="s">
        <v>108</v>
      </c>
      <c r="P170" s="310" t="str">
        <f t="shared" si="5"/>
        <v>QUIXA NU</v>
      </c>
      <c r="Q170" s="311">
        <v>5</v>
      </c>
      <c r="R170" s="300"/>
      <c r="S170" s="288"/>
      <c r="T170" s="288"/>
      <c r="U170" s="300"/>
      <c r="V170" s="288"/>
      <c r="W170" s="288"/>
      <c r="X170" s="288"/>
      <c r="Y170" s="300"/>
      <c r="Z170" s="2"/>
      <c r="AC170" s="300"/>
    </row>
    <row r="171" spans="3:29" hidden="1">
      <c r="C171" s="2"/>
      <c r="D171" s="5"/>
      <c r="E171" s="339"/>
      <c r="F171" s="340"/>
      <c r="G171" s="341" t="s">
        <v>151</v>
      </c>
      <c r="H171" s="336">
        <v>4</v>
      </c>
      <c r="I171" s="336">
        <v>60</v>
      </c>
      <c r="J171" s="336" t="str">
        <f t="shared" si="6"/>
        <v>EAT - EUROPASSISTANCE 4 60</v>
      </c>
      <c r="K171" s="337">
        <v>100000</v>
      </c>
      <c r="L171" s="332">
        <v>0.18740000000000004</v>
      </c>
      <c r="M171" s="326"/>
      <c r="N171" s="343" t="s">
        <v>147</v>
      </c>
      <c r="O171" s="310" t="s">
        <v>109</v>
      </c>
      <c r="P171" s="310" t="str">
        <f t="shared" si="5"/>
        <v>QUIXA OR</v>
      </c>
      <c r="Q171" s="311">
        <v>5</v>
      </c>
      <c r="R171" s="300"/>
      <c r="S171" s="288"/>
      <c r="T171" s="288"/>
      <c r="U171" s="300"/>
      <c r="V171" s="288"/>
      <c r="W171" s="288"/>
      <c r="X171" s="288"/>
      <c r="Y171" s="300"/>
      <c r="Z171" s="2"/>
      <c r="AC171" s="300"/>
    </row>
    <row r="172" spans="3:29" hidden="1">
      <c r="C172" s="2"/>
      <c r="D172" s="5"/>
      <c r="E172" s="339"/>
      <c r="F172" s="340"/>
      <c r="G172" s="341" t="s">
        <v>151</v>
      </c>
      <c r="H172" s="336">
        <v>4</v>
      </c>
      <c r="I172" s="336">
        <v>72</v>
      </c>
      <c r="J172" s="336" t="str">
        <f t="shared" si="6"/>
        <v>EAT - EUROPASSISTANCE 4 72</v>
      </c>
      <c r="K172" s="337">
        <v>100000</v>
      </c>
      <c r="L172" s="332">
        <v>0.22488000000000002</v>
      </c>
      <c r="M172" s="326"/>
      <c r="N172" s="343" t="s">
        <v>147</v>
      </c>
      <c r="O172" s="310" t="s">
        <v>46</v>
      </c>
      <c r="P172" s="310" t="str">
        <f t="shared" si="5"/>
        <v>QUIXA PA</v>
      </c>
      <c r="Q172" s="311">
        <v>2</v>
      </c>
      <c r="R172" s="300"/>
      <c r="S172" s="288"/>
      <c r="T172" s="288"/>
      <c r="U172" s="300"/>
      <c r="V172" s="288"/>
      <c r="W172" s="288"/>
      <c r="X172" s="288"/>
      <c r="Y172" s="300"/>
      <c r="Z172" s="2"/>
      <c r="AC172" s="300"/>
    </row>
    <row r="173" spans="3:29" hidden="1">
      <c r="C173" s="2"/>
      <c r="D173" s="5"/>
      <c r="E173" s="339"/>
      <c r="F173" s="340"/>
      <c r="G173" s="341" t="s">
        <v>151</v>
      </c>
      <c r="H173" s="319">
        <v>5</v>
      </c>
      <c r="I173" s="319">
        <v>12</v>
      </c>
      <c r="J173" s="319" t="str">
        <f t="shared" si="6"/>
        <v>EAT - EUROPASSISTANCE 5 12</v>
      </c>
      <c r="K173" s="320">
        <v>100000</v>
      </c>
      <c r="L173" s="321">
        <v>3.125E-2</v>
      </c>
      <c r="M173" s="326"/>
      <c r="N173" s="343" t="s">
        <v>147</v>
      </c>
      <c r="O173" s="310" t="s">
        <v>110</v>
      </c>
      <c r="P173" s="310" t="str">
        <f t="shared" si="5"/>
        <v>QUIXA PC</v>
      </c>
      <c r="Q173" s="311">
        <v>5</v>
      </c>
      <c r="R173" s="300"/>
      <c r="S173" s="288"/>
      <c r="T173" s="288"/>
      <c r="U173" s="300"/>
      <c r="V173" s="288"/>
      <c r="W173" s="288"/>
      <c r="X173" s="288"/>
      <c r="Y173" s="300"/>
      <c r="Z173" s="2"/>
      <c r="AC173" s="300"/>
    </row>
    <row r="174" spans="3:29" hidden="1">
      <c r="C174" s="2"/>
      <c r="D174" s="5"/>
      <c r="E174" s="339"/>
      <c r="F174" s="340"/>
      <c r="G174" s="341" t="s">
        <v>151</v>
      </c>
      <c r="H174" s="319">
        <v>5</v>
      </c>
      <c r="I174" s="319">
        <v>24</v>
      </c>
      <c r="J174" s="319" t="str">
        <f t="shared" si="6"/>
        <v>EAT - EUROPASSISTANCE 5 24</v>
      </c>
      <c r="K174" s="320">
        <v>100000</v>
      </c>
      <c r="L174" s="321">
        <v>5.9539999999999996E-2</v>
      </c>
      <c r="M174" s="326"/>
      <c r="N174" s="343" t="s">
        <v>147</v>
      </c>
      <c r="O174" s="310" t="s">
        <v>111</v>
      </c>
      <c r="P174" s="310" t="str">
        <f t="shared" si="5"/>
        <v>QUIXA PD</v>
      </c>
      <c r="Q174" s="311">
        <v>5</v>
      </c>
      <c r="R174" s="300"/>
      <c r="S174" s="288"/>
      <c r="T174" s="288"/>
      <c r="U174" s="300"/>
      <c r="V174" s="288"/>
      <c r="W174" s="288"/>
      <c r="X174" s="288"/>
      <c r="Y174" s="300"/>
      <c r="Z174" s="2"/>
      <c r="AC174" s="300"/>
    </row>
    <row r="175" spans="3:29" hidden="1">
      <c r="C175" s="2"/>
      <c r="D175" s="5"/>
      <c r="E175" s="339"/>
      <c r="F175" s="340"/>
      <c r="G175" s="341" t="s">
        <v>151</v>
      </c>
      <c r="H175" s="319">
        <v>5</v>
      </c>
      <c r="I175" s="319">
        <v>36</v>
      </c>
      <c r="J175" s="319" t="str">
        <f t="shared" si="6"/>
        <v>EAT - EUROPASSISTANCE 5 36</v>
      </c>
      <c r="K175" s="320">
        <v>100000</v>
      </c>
      <c r="L175" s="321">
        <v>8.931E-2</v>
      </c>
      <c r="M175" s="326"/>
      <c r="N175" s="343" t="s">
        <v>147</v>
      </c>
      <c r="O175" s="310" t="s">
        <v>74</v>
      </c>
      <c r="P175" s="310" t="str">
        <f t="shared" si="5"/>
        <v>QUIXA PE</v>
      </c>
      <c r="Q175" s="311">
        <v>4</v>
      </c>
      <c r="R175" s="300"/>
      <c r="S175" s="288"/>
      <c r="T175" s="288"/>
      <c r="U175" s="300"/>
      <c r="V175" s="288"/>
      <c r="W175" s="288"/>
      <c r="X175" s="288"/>
      <c r="Y175" s="300"/>
      <c r="Z175" s="2"/>
      <c r="AC175" s="300"/>
    </row>
    <row r="176" spans="3:29" hidden="1">
      <c r="C176" s="2"/>
      <c r="D176" s="5"/>
      <c r="E176" s="339"/>
      <c r="F176" s="340"/>
      <c r="G176" s="341" t="s">
        <v>151</v>
      </c>
      <c r="H176" s="319">
        <v>5</v>
      </c>
      <c r="I176" s="319">
        <v>48</v>
      </c>
      <c r="J176" s="319" t="str">
        <f t="shared" si="6"/>
        <v>EAT - EUROPASSISTANCE 5 48</v>
      </c>
      <c r="K176" s="320">
        <v>100000</v>
      </c>
      <c r="L176" s="321">
        <v>0.11907999999999999</v>
      </c>
      <c r="M176" s="326"/>
      <c r="N176" s="343" t="s">
        <v>147</v>
      </c>
      <c r="O176" s="310" t="s">
        <v>112</v>
      </c>
      <c r="P176" s="310" t="str">
        <f t="shared" si="5"/>
        <v>QUIXA PG</v>
      </c>
      <c r="Q176" s="311">
        <v>5</v>
      </c>
      <c r="R176" s="300"/>
      <c r="S176" s="288"/>
      <c r="T176" s="288"/>
      <c r="U176" s="300"/>
      <c r="V176" s="288"/>
      <c r="W176" s="288"/>
      <c r="X176" s="288"/>
      <c r="Y176" s="300"/>
      <c r="Z176" s="2"/>
      <c r="AC176" s="300"/>
    </row>
    <row r="177" spans="3:29" hidden="1">
      <c r="C177" s="2"/>
      <c r="D177" s="5"/>
      <c r="E177" s="339"/>
      <c r="F177" s="340"/>
      <c r="G177" s="341" t="s">
        <v>151</v>
      </c>
      <c r="H177" s="319">
        <v>5</v>
      </c>
      <c r="I177" s="319">
        <v>60</v>
      </c>
      <c r="J177" s="319" t="str">
        <f t="shared" si="6"/>
        <v>EAT - EUROPASSISTANCE 5 60</v>
      </c>
      <c r="K177" s="320">
        <v>100000</v>
      </c>
      <c r="L177" s="321">
        <v>0.14884999999999998</v>
      </c>
      <c r="M177" s="326"/>
      <c r="N177" s="343" t="s">
        <v>147</v>
      </c>
      <c r="O177" s="310" t="s">
        <v>113</v>
      </c>
      <c r="P177" s="310" t="str">
        <f t="shared" si="5"/>
        <v>QUIXA PI</v>
      </c>
      <c r="Q177" s="311">
        <v>5</v>
      </c>
      <c r="R177" s="300"/>
      <c r="S177" s="288"/>
      <c r="T177" s="288"/>
      <c r="U177" s="300"/>
      <c r="V177" s="288"/>
      <c r="W177" s="288"/>
      <c r="X177" s="288"/>
      <c r="Y177" s="300"/>
      <c r="Z177" s="2"/>
      <c r="AC177" s="300"/>
    </row>
    <row r="178" spans="3:29" hidden="1">
      <c r="C178" s="2"/>
      <c r="D178" s="5"/>
      <c r="E178" s="339"/>
      <c r="F178" s="340"/>
      <c r="G178" s="341" t="s">
        <v>151</v>
      </c>
      <c r="H178" s="319">
        <v>5</v>
      </c>
      <c r="I178" s="319">
        <v>72</v>
      </c>
      <c r="J178" s="319" t="str">
        <f t="shared" si="6"/>
        <v>EAT - EUROPASSISTANCE 5 72</v>
      </c>
      <c r="K178" s="320">
        <v>100000</v>
      </c>
      <c r="L178" s="321">
        <v>0.17862</v>
      </c>
      <c r="M178" s="326"/>
      <c r="N178" s="343" t="s">
        <v>147</v>
      </c>
      <c r="O178" s="310" t="s">
        <v>114</v>
      </c>
      <c r="P178" s="310" t="str">
        <f t="shared" si="5"/>
        <v>QUIXA PN</v>
      </c>
      <c r="Q178" s="311">
        <v>5</v>
      </c>
      <c r="R178" s="300"/>
      <c r="S178" s="288"/>
      <c r="T178" s="288"/>
      <c r="U178" s="300"/>
      <c r="V178" s="288"/>
      <c r="W178" s="288"/>
      <c r="X178" s="288"/>
      <c r="Y178" s="300"/>
      <c r="Z178" s="2"/>
      <c r="AC178" s="300"/>
    </row>
    <row r="179" spans="3:29" hidden="1">
      <c r="C179" s="2"/>
      <c r="D179" s="5"/>
      <c r="E179" s="339"/>
      <c r="F179" s="340"/>
      <c r="G179" s="341" t="s">
        <v>151</v>
      </c>
      <c r="H179" s="336">
        <v>6</v>
      </c>
      <c r="I179" s="336">
        <v>12</v>
      </c>
      <c r="J179" s="336" t="str">
        <f t="shared" si="6"/>
        <v>EAT - EUROPASSISTANCE 6 12</v>
      </c>
      <c r="K179" s="337">
        <v>35000</v>
      </c>
      <c r="L179" s="332">
        <v>8.5660000000000014E-2</v>
      </c>
      <c r="M179" s="326"/>
      <c r="N179" s="343" t="s">
        <v>147</v>
      </c>
      <c r="O179" s="310" t="s">
        <v>115</v>
      </c>
      <c r="P179" s="310" t="str">
        <f t="shared" si="5"/>
        <v>QUIXA PO</v>
      </c>
      <c r="Q179" s="311">
        <v>5</v>
      </c>
      <c r="R179" s="300"/>
      <c r="S179" s="288"/>
      <c r="T179" s="288"/>
      <c r="U179" s="300"/>
      <c r="V179" s="288"/>
      <c r="W179" s="288"/>
      <c r="X179" s="288"/>
      <c r="Y179" s="300"/>
      <c r="Z179" s="2"/>
      <c r="AC179" s="300"/>
    </row>
    <row r="180" spans="3:29" hidden="1">
      <c r="C180" s="2"/>
      <c r="D180" s="5"/>
      <c r="E180" s="339"/>
      <c r="F180" s="340"/>
      <c r="G180" s="341" t="s">
        <v>151</v>
      </c>
      <c r="H180" s="336">
        <v>6</v>
      </c>
      <c r="I180" s="336">
        <v>24</v>
      </c>
      <c r="J180" s="336" t="str">
        <f t="shared" si="6"/>
        <v>EAT - EUROPASSISTANCE 6 24</v>
      </c>
      <c r="K180" s="337">
        <v>35000</v>
      </c>
      <c r="L180" s="332">
        <v>0.16316</v>
      </c>
      <c r="M180" s="326"/>
      <c r="N180" s="343" t="s">
        <v>147</v>
      </c>
      <c r="O180" s="310" t="s">
        <v>116</v>
      </c>
      <c r="P180" s="310" t="str">
        <f t="shared" si="5"/>
        <v>QUIXA PR</v>
      </c>
      <c r="Q180" s="311">
        <v>5</v>
      </c>
      <c r="R180" s="300"/>
      <c r="S180" s="288"/>
      <c r="T180" s="288"/>
      <c r="U180" s="300"/>
      <c r="V180" s="288"/>
      <c r="W180" s="288"/>
      <c r="X180" s="288"/>
      <c r="Y180" s="300"/>
      <c r="Z180" s="2"/>
      <c r="AC180" s="300"/>
    </row>
    <row r="181" spans="3:29" hidden="1">
      <c r="C181" s="2"/>
      <c r="D181" s="5"/>
      <c r="E181" s="339"/>
      <c r="F181" s="340"/>
      <c r="G181" s="341" t="s">
        <v>151</v>
      </c>
      <c r="H181" s="336">
        <v>6</v>
      </c>
      <c r="I181" s="336">
        <v>36</v>
      </c>
      <c r="J181" s="336" t="str">
        <f t="shared" si="6"/>
        <v>EAT - EUROPASSISTANCE 6 36</v>
      </c>
      <c r="K181" s="337">
        <v>35000</v>
      </c>
      <c r="L181" s="332">
        <v>0.24474000000000001</v>
      </c>
      <c r="M181" s="326"/>
      <c r="N181" s="343" t="s">
        <v>147</v>
      </c>
      <c r="O181" s="310" t="s">
        <v>117</v>
      </c>
      <c r="P181" s="310" t="str">
        <f t="shared" si="5"/>
        <v>QUIXA PT</v>
      </c>
      <c r="Q181" s="311">
        <v>5</v>
      </c>
      <c r="R181" s="300"/>
      <c r="S181" s="288"/>
      <c r="T181" s="288"/>
      <c r="U181" s="300"/>
      <c r="V181" s="288"/>
      <c r="W181" s="288"/>
      <c r="X181" s="288"/>
      <c r="Y181" s="300"/>
      <c r="Z181" s="2"/>
      <c r="AC181" s="300"/>
    </row>
    <row r="182" spans="3:29" hidden="1">
      <c r="C182" s="2"/>
      <c r="D182" s="5"/>
      <c r="E182" s="339"/>
      <c r="F182" s="340"/>
      <c r="G182" s="341" t="s">
        <v>151</v>
      </c>
      <c r="H182" s="336">
        <v>6</v>
      </c>
      <c r="I182" s="336">
        <v>48</v>
      </c>
      <c r="J182" s="336" t="str">
        <f t="shared" si="6"/>
        <v>EAT - EUROPASSISTANCE 6 48</v>
      </c>
      <c r="K182" s="337">
        <v>35000</v>
      </c>
      <c r="L182" s="332">
        <v>0.32632</v>
      </c>
      <c r="M182" s="326"/>
      <c r="N182" s="343" t="s">
        <v>147</v>
      </c>
      <c r="O182" s="310" t="s">
        <v>118</v>
      </c>
      <c r="P182" s="310" t="str">
        <f t="shared" si="5"/>
        <v>QUIXA PU</v>
      </c>
      <c r="Q182" s="311">
        <v>5</v>
      </c>
      <c r="R182" s="300"/>
      <c r="S182" s="288"/>
      <c r="T182" s="288"/>
      <c r="U182" s="300"/>
      <c r="V182" s="288"/>
      <c r="W182" s="288"/>
      <c r="X182" s="288"/>
      <c r="Y182" s="300"/>
      <c r="Z182" s="2"/>
      <c r="AC182" s="300"/>
    </row>
    <row r="183" spans="3:29" hidden="1">
      <c r="C183" s="2"/>
      <c r="D183" s="5"/>
      <c r="E183" s="339"/>
      <c r="F183" s="340"/>
      <c r="G183" s="341" t="s">
        <v>151</v>
      </c>
      <c r="H183" s="336">
        <v>6</v>
      </c>
      <c r="I183" s="336">
        <v>60</v>
      </c>
      <c r="J183" s="336" t="str">
        <f t="shared" si="6"/>
        <v>EAT - EUROPASSISTANCE 6 60</v>
      </c>
      <c r="K183" s="337">
        <v>35000</v>
      </c>
      <c r="L183" s="332">
        <v>0.40789999999999998</v>
      </c>
      <c r="M183" s="326"/>
      <c r="N183" s="343" t="s">
        <v>147</v>
      </c>
      <c r="O183" s="310" t="s">
        <v>119</v>
      </c>
      <c r="P183" s="310" t="str">
        <f t="shared" si="5"/>
        <v>QUIXA PV</v>
      </c>
      <c r="Q183" s="311">
        <v>5</v>
      </c>
      <c r="R183" s="300"/>
      <c r="S183" s="288"/>
      <c r="T183" s="288"/>
      <c r="U183" s="300"/>
      <c r="V183" s="288"/>
      <c r="W183" s="288"/>
      <c r="X183" s="288"/>
      <c r="Y183" s="300"/>
      <c r="Z183" s="2"/>
      <c r="AC183" s="300"/>
    </row>
    <row r="184" spans="3:29" hidden="1">
      <c r="C184" s="2"/>
      <c r="D184" s="5"/>
      <c r="E184" s="339"/>
      <c r="F184" s="340"/>
      <c r="G184" s="341" t="s">
        <v>151</v>
      </c>
      <c r="H184" s="336">
        <v>6</v>
      </c>
      <c r="I184" s="336">
        <v>72</v>
      </c>
      <c r="J184" s="336" t="str">
        <f t="shared" si="6"/>
        <v>EAT - EUROPASSISTANCE 6 72</v>
      </c>
      <c r="K184" s="337">
        <v>35000</v>
      </c>
      <c r="L184" s="332">
        <v>0.48948000000000003</v>
      </c>
      <c r="M184" s="326"/>
      <c r="N184" s="343" t="s">
        <v>147</v>
      </c>
      <c r="O184" s="310" t="s">
        <v>60</v>
      </c>
      <c r="P184" s="310" t="str">
        <f t="shared" si="5"/>
        <v>QUIXA PZ</v>
      </c>
      <c r="Q184" s="311">
        <v>3</v>
      </c>
      <c r="R184" s="300"/>
      <c r="S184" s="288"/>
      <c r="T184" s="288"/>
      <c r="U184" s="300"/>
      <c r="V184" s="288"/>
      <c r="W184" s="288"/>
      <c r="X184" s="288"/>
      <c r="Y184" s="300"/>
      <c r="Z184" s="2"/>
      <c r="AC184" s="300"/>
    </row>
    <row r="185" spans="3:29" hidden="1">
      <c r="C185" s="2"/>
      <c r="D185" s="5"/>
      <c r="E185" s="339"/>
      <c r="F185" s="340"/>
      <c r="G185" s="341" t="s">
        <v>151</v>
      </c>
      <c r="H185" s="319">
        <v>7</v>
      </c>
      <c r="I185" s="319">
        <v>12</v>
      </c>
      <c r="J185" s="319" t="str">
        <f t="shared" si="6"/>
        <v>EAT - EUROPASSISTANCE 7 12</v>
      </c>
      <c r="K185" s="320">
        <v>100000</v>
      </c>
      <c r="L185" s="321">
        <v>2.836E-2</v>
      </c>
      <c r="M185" s="326"/>
      <c r="N185" s="343" t="s">
        <v>147</v>
      </c>
      <c r="O185" s="310" t="s">
        <v>120</v>
      </c>
      <c r="P185" s="310" t="str">
        <f t="shared" si="5"/>
        <v>QUIXA RA</v>
      </c>
      <c r="Q185" s="311">
        <v>5</v>
      </c>
      <c r="R185" s="300"/>
      <c r="S185" s="288"/>
      <c r="T185" s="288"/>
      <c r="U185" s="300"/>
      <c r="V185" s="288"/>
      <c r="W185" s="288"/>
      <c r="X185" s="288"/>
      <c r="Y185" s="300"/>
      <c r="Z185" s="2"/>
      <c r="AC185" s="300"/>
    </row>
    <row r="186" spans="3:29" hidden="1">
      <c r="C186" s="2"/>
      <c r="D186" s="5"/>
      <c r="E186" s="339"/>
      <c r="F186" s="340"/>
      <c r="G186" s="341" t="s">
        <v>151</v>
      </c>
      <c r="H186" s="319">
        <v>7</v>
      </c>
      <c r="I186" s="319">
        <v>24</v>
      </c>
      <c r="J186" s="319" t="str">
        <f t="shared" si="6"/>
        <v>EAT - EUROPASSISTANCE 7 24</v>
      </c>
      <c r="K186" s="320">
        <v>100000</v>
      </c>
      <c r="L186" s="321">
        <v>5.3999999999999999E-2</v>
      </c>
      <c r="M186" s="326"/>
      <c r="N186" s="343" t="s">
        <v>147</v>
      </c>
      <c r="O186" s="310" t="s">
        <v>47</v>
      </c>
      <c r="P186" s="310" t="str">
        <f t="shared" si="5"/>
        <v>QUIXA RC</v>
      </c>
      <c r="Q186" s="311">
        <v>2</v>
      </c>
      <c r="R186" s="300"/>
      <c r="S186" s="288"/>
      <c r="T186" s="288"/>
      <c r="U186" s="300"/>
      <c r="V186" s="288"/>
      <c r="W186" s="288"/>
      <c r="X186" s="288"/>
      <c r="Y186" s="300"/>
      <c r="Z186" s="2"/>
      <c r="AC186" s="300"/>
    </row>
    <row r="187" spans="3:29" hidden="1">
      <c r="C187" s="2"/>
      <c r="D187" s="5"/>
      <c r="E187" s="339"/>
      <c r="F187" s="340"/>
      <c r="G187" s="341" t="s">
        <v>151</v>
      </c>
      <c r="H187" s="319">
        <v>7</v>
      </c>
      <c r="I187" s="319">
        <v>36</v>
      </c>
      <c r="J187" s="319" t="str">
        <f t="shared" si="6"/>
        <v>EAT - EUROPASSISTANCE 7 36</v>
      </c>
      <c r="K187" s="320">
        <v>100000</v>
      </c>
      <c r="L187" s="321">
        <v>8.1000000000000003E-2</v>
      </c>
      <c r="M187" s="326"/>
      <c r="N187" s="343" t="s">
        <v>147</v>
      </c>
      <c r="O187" s="310" t="s">
        <v>121</v>
      </c>
      <c r="P187" s="310" t="str">
        <f t="shared" si="5"/>
        <v>QUIXA RE</v>
      </c>
      <c r="Q187" s="311">
        <v>5</v>
      </c>
      <c r="R187" s="300"/>
      <c r="S187" s="288"/>
      <c r="T187" s="288"/>
      <c r="U187" s="300"/>
      <c r="V187" s="288"/>
      <c r="W187" s="288"/>
      <c r="X187" s="288"/>
      <c r="Y187" s="300"/>
      <c r="Z187" s="2"/>
      <c r="AC187" s="300"/>
    </row>
    <row r="188" spans="3:29" hidden="1">
      <c r="C188" s="2"/>
      <c r="D188" s="5"/>
      <c r="E188" s="339"/>
      <c r="F188" s="340"/>
      <c r="G188" s="341" t="s">
        <v>151</v>
      </c>
      <c r="H188" s="319">
        <v>7</v>
      </c>
      <c r="I188" s="319">
        <v>48</v>
      </c>
      <c r="J188" s="319" t="str">
        <f t="shared" si="6"/>
        <v>EAT - EUROPASSISTANCE 7 48</v>
      </c>
      <c r="K188" s="320">
        <v>100000</v>
      </c>
      <c r="L188" s="321">
        <v>0.108</v>
      </c>
      <c r="M188" s="326"/>
      <c r="N188" s="343" t="s">
        <v>147</v>
      </c>
      <c r="O188" s="310" t="s">
        <v>61</v>
      </c>
      <c r="P188" s="310" t="str">
        <f t="shared" si="5"/>
        <v>QUIXA RG</v>
      </c>
      <c r="Q188" s="311">
        <v>3</v>
      </c>
      <c r="R188" s="300"/>
      <c r="S188" s="288"/>
      <c r="T188" s="288"/>
      <c r="U188" s="300"/>
      <c r="V188" s="288"/>
      <c r="W188" s="288"/>
      <c r="X188" s="288"/>
      <c r="Y188" s="300"/>
      <c r="Z188" s="2"/>
      <c r="AC188" s="300"/>
    </row>
    <row r="189" spans="3:29" hidden="1">
      <c r="C189" s="2"/>
      <c r="D189" s="5"/>
      <c r="E189" s="339"/>
      <c r="F189" s="340"/>
      <c r="G189" s="341" t="s">
        <v>151</v>
      </c>
      <c r="H189" s="319">
        <v>7</v>
      </c>
      <c r="I189" s="319">
        <v>60</v>
      </c>
      <c r="J189" s="319" t="str">
        <f t="shared" si="6"/>
        <v>EAT - EUROPASSISTANCE 7 60</v>
      </c>
      <c r="K189" s="320">
        <v>100000</v>
      </c>
      <c r="L189" s="321">
        <v>0.13500000000000001</v>
      </c>
      <c r="M189" s="326"/>
      <c r="N189" s="343" t="s">
        <v>147</v>
      </c>
      <c r="O189" s="310" t="s">
        <v>122</v>
      </c>
      <c r="P189" s="310" t="str">
        <f t="shared" si="5"/>
        <v>QUIXA RI</v>
      </c>
      <c r="Q189" s="311">
        <v>5</v>
      </c>
      <c r="R189" s="300"/>
      <c r="S189" s="288"/>
      <c r="T189" s="288"/>
      <c r="U189" s="300"/>
      <c r="V189" s="288"/>
      <c r="W189" s="288"/>
      <c r="X189" s="288"/>
      <c r="Y189" s="300"/>
      <c r="Z189" s="2"/>
      <c r="AC189" s="300"/>
    </row>
    <row r="190" spans="3:29" hidden="1">
      <c r="C190" s="2"/>
      <c r="D190" s="5"/>
      <c r="E190" s="339"/>
      <c r="F190" s="340"/>
      <c r="G190" s="341" t="s">
        <v>151</v>
      </c>
      <c r="H190" s="319">
        <v>7</v>
      </c>
      <c r="I190" s="319">
        <v>72</v>
      </c>
      <c r="J190" s="319" t="str">
        <f t="shared" si="6"/>
        <v>EAT - EUROPASSISTANCE 7 72</v>
      </c>
      <c r="K190" s="342">
        <v>100000</v>
      </c>
      <c r="L190" s="321">
        <v>0.16200000000000001</v>
      </c>
      <c r="M190" s="326"/>
      <c r="N190" s="343" t="s">
        <v>147</v>
      </c>
      <c r="O190" s="310" t="s">
        <v>62</v>
      </c>
      <c r="P190" s="310" t="str">
        <f t="shared" si="5"/>
        <v>QUIXA RM</v>
      </c>
      <c r="Q190" s="311">
        <v>3</v>
      </c>
      <c r="R190" s="300"/>
      <c r="S190" s="288"/>
      <c r="T190" s="288"/>
      <c r="U190" s="300"/>
      <c r="V190" s="288"/>
      <c r="W190" s="288"/>
      <c r="X190" s="288"/>
      <c r="Y190" s="300"/>
      <c r="Z190" s="2"/>
      <c r="AC190" s="300"/>
    </row>
    <row r="191" spans="3:29" hidden="1">
      <c r="C191" s="2"/>
      <c r="D191" s="5"/>
      <c r="E191" s="339"/>
      <c r="F191" s="340"/>
      <c r="G191" s="341" t="s">
        <v>151</v>
      </c>
      <c r="H191" s="336">
        <v>8</v>
      </c>
      <c r="I191" s="336">
        <v>12</v>
      </c>
      <c r="J191" s="336" t="str">
        <f t="shared" si="6"/>
        <v>EAT - EUROPASSISTANCE 8 12</v>
      </c>
      <c r="K191" s="337">
        <v>100000</v>
      </c>
      <c r="L191" s="332">
        <v>4.7699999999999992E-2</v>
      </c>
      <c r="M191" s="326"/>
      <c r="N191" s="343" t="s">
        <v>147</v>
      </c>
      <c r="O191" s="310" t="s">
        <v>123</v>
      </c>
      <c r="P191" s="310" t="str">
        <f t="shared" si="5"/>
        <v>QUIXA RN</v>
      </c>
      <c r="Q191" s="311">
        <v>5</v>
      </c>
      <c r="R191" s="300"/>
      <c r="S191" s="288"/>
      <c r="T191" s="288"/>
      <c r="U191" s="300"/>
      <c r="V191" s="288"/>
      <c r="W191" s="288"/>
      <c r="X191" s="288"/>
      <c r="Y191" s="300"/>
      <c r="Z191" s="2"/>
      <c r="AC191" s="300"/>
    </row>
    <row r="192" spans="3:29" hidden="1">
      <c r="C192" s="2"/>
      <c r="D192" s="5"/>
      <c r="E192" s="339"/>
      <c r="F192" s="340"/>
      <c r="G192" s="341" t="s">
        <v>151</v>
      </c>
      <c r="H192" s="336">
        <v>8</v>
      </c>
      <c r="I192" s="336">
        <v>24</v>
      </c>
      <c r="J192" s="336" t="str">
        <f t="shared" si="6"/>
        <v>EAT - EUROPASSISTANCE 8 24</v>
      </c>
      <c r="K192" s="337">
        <v>100000</v>
      </c>
      <c r="L192" s="332">
        <v>9.0859999999999996E-2</v>
      </c>
      <c r="M192" s="326"/>
      <c r="N192" s="343" t="s">
        <v>147</v>
      </c>
      <c r="O192" s="310" t="s">
        <v>124</v>
      </c>
      <c r="P192" s="310" t="str">
        <f t="shared" si="5"/>
        <v>QUIXA RO</v>
      </c>
      <c r="Q192" s="311">
        <v>5</v>
      </c>
      <c r="R192" s="300"/>
      <c r="S192" s="288"/>
      <c r="T192" s="288"/>
      <c r="U192" s="300"/>
      <c r="V192" s="288"/>
      <c r="W192" s="288"/>
      <c r="X192" s="288"/>
      <c r="Y192" s="300"/>
      <c r="Z192" s="2"/>
      <c r="AC192" s="300"/>
    </row>
    <row r="193" spans="3:29" hidden="1">
      <c r="C193" s="2"/>
      <c r="D193" s="5"/>
      <c r="E193" s="339"/>
      <c r="F193" s="340"/>
      <c r="G193" s="341" t="s">
        <v>151</v>
      </c>
      <c r="H193" s="336">
        <v>8</v>
      </c>
      <c r="I193" s="336">
        <v>36</v>
      </c>
      <c r="J193" s="336" t="str">
        <f t="shared" si="6"/>
        <v>EAT - EUROPASSISTANCE 8 36</v>
      </c>
      <c r="K193" s="337">
        <v>100000</v>
      </c>
      <c r="L193" s="332">
        <v>0.13628999999999999</v>
      </c>
      <c r="M193" s="326"/>
      <c r="N193" s="343" t="s">
        <v>147</v>
      </c>
      <c r="O193" s="310" t="s">
        <v>48</v>
      </c>
      <c r="P193" s="310" t="str">
        <f t="shared" si="5"/>
        <v>QUIXA SA</v>
      </c>
      <c r="Q193" s="311">
        <v>2</v>
      </c>
      <c r="R193" s="300"/>
      <c r="S193" s="288"/>
      <c r="T193" s="288"/>
      <c r="U193" s="300"/>
      <c r="V193" s="288"/>
      <c r="W193" s="288"/>
      <c r="X193" s="288"/>
      <c r="Y193" s="300"/>
      <c r="Z193" s="2"/>
      <c r="AC193" s="300"/>
    </row>
    <row r="194" spans="3:29" hidden="1">
      <c r="C194" s="2"/>
      <c r="D194" s="5"/>
      <c r="E194" s="339"/>
      <c r="F194" s="340"/>
      <c r="G194" s="341" t="s">
        <v>151</v>
      </c>
      <c r="H194" s="336">
        <v>8</v>
      </c>
      <c r="I194" s="336">
        <v>48</v>
      </c>
      <c r="J194" s="336" t="str">
        <f t="shared" si="6"/>
        <v>EAT - EUROPASSISTANCE 8 48</v>
      </c>
      <c r="K194" s="337">
        <v>100000</v>
      </c>
      <c r="L194" s="332">
        <v>0.18171999999999999</v>
      </c>
      <c r="M194" s="326"/>
      <c r="N194" s="343" t="s">
        <v>147</v>
      </c>
      <c r="O194" s="310" t="s">
        <v>125</v>
      </c>
      <c r="P194" s="310" t="str">
        <f t="shared" si="5"/>
        <v>QUIXA SI</v>
      </c>
      <c r="Q194" s="311">
        <v>5</v>
      </c>
      <c r="R194" s="300"/>
      <c r="S194" s="288"/>
      <c r="T194" s="288"/>
      <c r="U194" s="300"/>
      <c r="V194" s="288"/>
      <c r="W194" s="288"/>
      <c r="X194" s="288"/>
      <c r="Y194" s="300"/>
      <c r="Z194" s="2"/>
      <c r="AC194" s="300"/>
    </row>
    <row r="195" spans="3:29" hidden="1">
      <c r="C195" s="2"/>
      <c r="D195" s="5"/>
      <c r="E195" s="339"/>
      <c r="F195" s="340"/>
      <c r="G195" s="341" t="s">
        <v>151</v>
      </c>
      <c r="H195" s="336">
        <v>8</v>
      </c>
      <c r="I195" s="336">
        <v>60</v>
      </c>
      <c r="J195" s="336" t="str">
        <f t="shared" si="6"/>
        <v>EAT - EUROPASSISTANCE 8 60</v>
      </c>
      <c r="K195" s="337">
        <v>100000</v>
      </c>
      <c r="L195" s="332">
        <v>0.22715000000000002</v>
      </c>
      <c r="M195" s="326"/>
      <c r="N195" s="343" t="s">
        <v>147</v>
      </c>
      <c r="O195" s="310" t="s">
        <v>126</v>
      </c>
      <c r="P195" s="310" t="str">
        <f t="shared" si="5"/>
        <v>QUIXA SO</v>
      </c>
      <c r="Q195" s="311">
        <v>5</v>
      </c>
      <c r="R195" s="300"/>
      <c r="S195" s="288"/>
      <c r="T195" s="288"/>
      <c r="U195" s="300"/>
      <c r="V195" s="288"/>
      <c r="W195" s="288"/>
      <c r="X195" s="288"/>
      <c r="Y195" s="300"/>
      <c r="Z195" s="2"/>
      <c r="AC195" s="300"/>
    </row>
    <row r="196" spans="3:29" ht="15.75" hidden="1" thickBot="1">
      <c r="C196" s="2"/>
      <c r="D196" s="5"/>
      <c r="E196" s="339"/>
      <c r="F196" s="340"/>
      <c r="G196" s="341" t="s">
        <v>151</v>
      </c>
      <c r="H196" s="336">
        <v>8</v>
      </c>
      <c r="I196" s="336">
        <v>72</v>
      </c>
      <c r="J196" s="336" t="str">
        <f t="shared" si="6"/>
        <v>EAT - EUROPASSISTANCE 8 72</v>
      </c>
      <c r="K196" s="337">
        <v>100000</v>
      </c>
      <c r="L196" s="332">
        <v>0.27257999999999999</v>
      </c>
      <c r="M196" s="326"/>
      <c r="N196" s="343" t="s">
        <v>147</v>
      </c>
      <c r="O196" s="310" t="s">
        <v>127</v>
      </c>
      <c r="P196" s="310" t="str">
        <f t="shared" ref="P196:P259" si="7">CONCATENATE(N196," ",O196)</f>
        <v>QUIXA SP</v>
      </c>
      <c r="Q196" s="311">
        <v>5</v>
      </c>
      <c r="R196" s="300"/>
      <c r="S196" s="288"/>
      <c r="T196" s="288"/>
      <c r="U196" s="300"/>
      <c r="V196" s="288"/>
      <c r="W196" s="288"/>
      <c r="X196" s="288"/>
      <c r="Y196" s="300"/>
      <c r="Z196" s="2"/>
      <c r="AC196" s="300"/>
    </row>
    <row r="197" spans="3:29" hidden="1">
      <c r="C197" s="2"/>
      <c r="D197" s="5"/>
      <c r="E197" s="339"/>
      <c r="F197" s="340"/>
      <c r="G197" s="341" t="s">
        <v>156</v>
      </c>
      <c r="H197" s="344">
        <v>1</v>
      </c>
      <c r="I197" s="344">
        <v>12</v>
      </c>
      <c r="J197" s="344" t="str">
        <f t="shared" ref="J197:J260" si="8">CONCATENATE(G197," ",H197," ",I197)</f>
        <v>QXK - QUIXA 1 12</v>
      </c>
      <c r="K197" s="345">
        <v>100000</v>
      </c>
      <c r="L197" s="346">
        <v>0.12881999999999999</v>
      </c>
      <c r="M197" s="326"/>
      <c r="N197" s="343" t="s">
        <v>147</v>
      </c>
      <c r="O197" s="310" t="s">
        <v>49</v>
      </c>
      <c r="P197" s="310" t="str">
        <f t="shared" si="7"/>
        <v>QUIXA SR</v>
      </c>
      <c r="Q197" s="311">
        <v>2</v>
      </c>
      <c r="R197" s="300"/>
      <c r="S197" s="288"/>
      <c r="T197" s="288"/>
      <c r="U197" s="300"/>
      <c r="V197" s="288"/>
      <c r="W197" s="288"/>
      <c r="X197" s="288"/>
      <c r="Y197" s="300"/>
      <c r="Z197" s="2"/>
      <c r="AC197" s="300"/>
    </row>
    <row r="198" spans="3:29" hidden="1">
      <c r="C198" s="2"/>
      <c r="D198" s="5"/>
      <c r="E198" s="339"/>
      <c r="F198" s="340"/>
      <c r="G198" s="341" t="s">
        <v>156</v>
      </c>
      <c r="H198" s="319">
        <v>1</v>
      </c>
      <c r="I198" s="319">
        <v>24</v>
      </c>
      <c r="J198" s="319" t="str">
        <f t="shared" si="8"/>
        <v>QXK - QUIXA 1 24</v>
      </c>
      <c r="K198" s="320">
        <v>100000</v>
      </c>
      <c r="L198" s="321">
        <v>0.26536919999999997</v>
      </c>
      <c r="M198" s="326"/>
      <c r="N198" s="343" t="s">
        <v>147</v>
      </c>
      <c r="O198" s="310" t="s">
        <v>128</v>
      </c>
      <c r="P198" s="310" t="str">
        <f t="shared" si="7"/>
        <v>QUIXA SS</v>
      </c>
      <c r="Q198" s="311">
        <v>5</v>
      </c>
      <c r="R198" s="300"/>
      <c r="S198" s="288"/>
      <c r="T198" s="288"/>
      <c r="U198" s="300"/>
      <c r="V198" s="288"/>
      <c r="W198" s="288"/>
      <c r="X198" s="288"/>
      <c r="Y198" s="300"/>
      <c r="Z198" s="2"/>
      <c r="AC198" s="300"/>
    </row>
    <row r="199" spans="3:29" hidden="1">
      <c r="C199" s="2"/>
      <c r="D199" s="5"/>
      <c r="E199" s="339"/>
      <c r="F199" s="340"/>
      <c r="G199" s="341" t="s">
        <v>156</v>
      </c>
      <c r="H199" s="319">
        <v>1</v>
      </c>
      <c r="I199" s="319">
        <v>36</v>
      </c>
      <c r="J199" s="319" t="str">
        <f t="shared" si="8"/>
        <v>QXK - QUIXA 1 36</v>
      </c>
      <c r="K199" s="320">
        <v>100000</v>
      </c>
      <c r="L199" s="321">
        <v>0.4096476</v>
      </c>
      <c r="M199" s="326"/>
      <c r="N199" s="343" t="s">
        <v>147</v>
      </c>
      <c r="O199" s="310" t="s">
        <v>129</v>
      </c>
      <c r="P199" s="310" t="str">
        <f t="shared" si="7"/>
        <v>QUIXA SU</v>
      </c>
      <c r="Q199" s="311">
        <v>5</v>
      </c>
      <c r="R199" s="300"/>
      <c r="S199" s="288"/>
      <c r="T199" s="288"/>
      <c r="U199" s="300"/>
      <c r="V199" s="288"/>
      <c r="W199" s="288"/>
      <c r="X199" s="288"/>
      <c r="Y199" s="300"/>
      <c r="Z199" s="2"/>
      <c r="AC199" s="300"/>
    </row>
    <row r="200" spans="3:29" hidden="1">
      <c r="C200" s="2"/>
      <c r="D200" s="5"/>
      <c r="E200" s="339"/>
      <c r="F200" s="340"/>
      <c r="G200" s="341" t="s">
        <v>156</v>
      </c>
      <c r="H200" s="319">
        <v>1</v>
      </c>
      <c r="I200" s="319">
        <v>48</v>
      </c>
      <c r="J200" s="319" t="str">
        <f t="shared" si="8"/>
        <v>QXK - QUIXA 1 48</v>
      </c>
      <c r="K200" s="320">
        <v>100000</v>
      </c>
      <c r="L200" s="321">
        <v>0.56294339999999998</v>
      </c>
      <c r="M200" s="326"/>
      <c r="N200" s="343" t="s">
        <v>147</v>
      </c>
      <c r="O200" s="310" t="s">
        <v>130</v>
      </c>
      <c r="P200" s="310" t="str">
        <f t="shared" si="7"/>
        <v>QUIXA SV</v>
      </c>
      <c r="Q200" s="311">
        <v>5</v>
      </c>
      <c r="R200" s="300"/>
      <c r="S200" s="288"/>
      <c r="T200" s="288"/>
      <c r="U200" s="300"/>
      <c r="V200" s="288"/>
      <c r="W200" s="288"/>
      <c r="X200" s="288"/>
      <c r="Y200" s="300"/>
      <c r="Z200" s="2"/>
      <c r="AC200" s="300"/>
    </row>
    <row r="201" spans="3:29" hidden="1">
      <c r="C201" s="2"/>
      <c r="D201" s="5"/>
      <c r="E201" s="339"/>
      <c r="F201" s="340"/>
      <c r="G201" s="341" t="s">
        <v>156</v>
      </c>
      <c r="H201" s="319">
        <v>1</v>
      </c>
      <c r="I201" s="319">
        <v>60</v>
      </c>
      <c r="J201" s="319" t="str">
        <f t="shared" si="8"/>
        <v>QXK - QUIXA 1 60</v>
      </c>
      <c r="K201" s="320">
        <v>100000</v>
      </c>
      <c r="L201" s="321">
        <v>0.69047519999999996</v>
      </c>
      <c r="M201" s="326"/>
      <c r="N201" s="343" t="s">
        <v>147</v>
      </c>
      <c r="O201" s="310" t="s">
        <v>50</v>
      </c>
      <c r="P201" s="310" t="str">
        <f t="shared" si="7"/>
        <v>QUIXA TA</v>
      </c>
      <c r="Q201" s="311">
        <v>2</v>
      </c>
      <c r="R201" s="300"/>
      <c r="S201" s="288"/>
      <c r="T201" s="288"/>
      <c r="U201" s="300"/>
      <c r="V201" s="288"/>
      <c r="W201" s="288"/>
      <c r="X201" s="288"/>
      <c r="Y201" s="300"/>
      <c r="Z201" s="2"/>
      <c r="AC201" s="300"/>
    </row>
    <row r="202" spans="3:29" hidden="1">
      <c r="C202" s="2"/>
      <c r="D202" s="5"/>
      <c r="E202" s="339"/>
      <c r="F202" s="340"/>
      <c r="G202" s="341" t="s">
        <v>156</v>
      </c>
      <c r="H202" s="319">
        <v>1</v>
      </c>
      <c r="I202" s="319">
        <v>72</v>
      </c>
      <c r="J202" s="319" t="str">
        <f t="shared" si="8"/>
        <v>QXK - QUIXA 1 72</v>
      </c>
      <c r="K202" s="320">
        <v>100000</v>
      </c>
      <c r="L202" s="321">
        <v>0.82315979999999989</v>
      </c>
      <c r="M202" s="326"/>
      <c r="N202" s="343" t="s">
        <v>147</v>
      </c>
      <c r="O202" s="310" t="s">
        <v>131</v>
      </c>
      <c r="P202" s="310" t="str">
        <f t="shared" si="7"/>
        <v>QUIXA TE</v>
      </c>
      <c r="Q202" s="311">
        <v>5</v>
      </c>
      <c r="R202" s="300"/>
      <c r="S202" s="288"/>
      <c r="T202" s="288"/>
      <c r="U202" s="300"/>
      <c r="V202" s="288"/>
      <c r="W202" s="288"/>
      <c r="X202" s="288"/>
      <c r="Y202" s="300"/>
      <c r="Z202" s="2"/>
      <c r="AC202" s="300"/>
    </row>
    <row r="203" spans="3:29" hidden="1">
      <c r="C203" s="2"/>
      <c r="D203" s="5"/>
      <c r="E203" s="339"/>
      <c r="F203" s="340"/>
      <c r="G203" s="341" t="s">
        <v>156</v>
      </c>
      <c r="H203" s="336">
        <v>2</v>
      </c>
      <c r="I203" s="336">
        <v>12</v>
      </c>
      <c r="J203" s="336" t="str">
        <f t="shared" si="8"/>
        <v>QXK - QUIXA 2 12</v>
      </c>
      <c r="K203" s="337">
        <v>100000</v>
      </c>
      <c r="L203" s="332">
        <v>0.11505</v>
      </c>
      <c r="M203" s="326"/>
      <c r="N203" s="343" t="s">
        <v>147</v>
      </c>
      <c r="O203" s="310" t="s">
        <v>132</v>
      </c>
      <c r="P203" s="310" t="str">
        <f t="shared" si="7"/>
        <v>QUIXA TN</v>
      </c>
      <c r="Q203" s="311">
        <v>7</v>
      </c>
      <c r="R203" s="300"/>
      <c r="S203" s="288"/>
      <c r="T203" s="288"/>
      <c r="U203" s="300"/>
      <c r="V203" s="288"/>
      <c r="W203" s="288"/>
      <c r="X203" s="288"/>
      <c r="Y203" s="300"/>
      <c r="Z203" s="2"/>
      <c r="AC203" s="300"/>
    </row>
    <row r="204" spans="3:29" hidden="1">
      <c r="C204" s="2"/>
      <c r="D204" s="5"/>
      <c r="E204" s="339"/>
      <c r="F204" s="340"/>
      <c r="G204" s="341" t="s">
        <v>156</v>
      </c>
      <c r="H204" s="336">
        <v>2</v>
      </c>
      <c r="I204" s="336">
        <v>24</v>
      </c>
      <c r="J204" s="336" t="str">
        <f t="shared" si="8"/>
        <v>QXK - QUIXA 2 24</v>
      </c>
      <c r="K204" s="337">
        <v>100000</v>
      </c>
      <c r="L204" s="332">
        <v>0.23700299999999999</v>
      </c>
      <c r="M204" s="326"/>
      <c r="N204" s="343" t="s">
        <v>147</v>
      </c>
      <c r="O204" s="310" t="s">
        <v>63</v>
      </c>
      <c r="P204" s="310" t="str">
        <f t="shared" si="7"/>
        <v>QUIXA TO</v>
      </c>
      <c r="Q204" s="311">
        <v>3</v>
      </c>
      <c r="R204" s="300"/>
      <c r="S204" s="288"/>
      <c r="T204" s="288"/>
      <c r="U204" s="300"/>
      <c r="V204" s="288"/>
      <c r="W204" s="288"/>
      <c r="X204" s="288"/>
      <c r="Y204" s="300"/>
      <c r="Z204" s="2"/>
      <c r="AC204" s="300"/>
    </row>
    <row r="205" spans="3:29" hidden="1">
      <c r="C205" s="2"/>
      <c r="D205" s="5"/>
      <c r="E205" s="339"/>
      <c r="F205" s="340"/>
      <c r="G205" s="341" t="s">
        <v>156</v>
      </c>
      <c r="H205" s="336">
        <v>2</v>
      </c>
      <c r="I205" s="336">
        <v>36</v>
      </c>
      <c r="J205" s="336" t="str">
        <f t="shared" si="8"/>
        <v>QXK - QUIXA 2 36</v>
      </c>
      <c r="K205" s="337">
        <v>100000</v>
      </c>
      <c r="L205" s="332">
        <v>0.36585899999999999</v>
      </c>
      <c r="M205" s="326"/>
      <c r="N205" s="343" t="s">
        <v>147</v>
      </c>
      <c r="O205" s="310" t="s">
        <v>75</v>
      </c>
      <c r="P205" s="310" t="str">
        <f t="shared" si="7"/>
        <v>QUIXA TP</v>
      </c>
      <c r="Q205" s="311">
        <v>4</v>
      </c>
      <c r="R205" s="300"/>
      <c r="S205" s="288"/>
      <c r="T205" s="288"/>
      <c r="U205" s="300"/>
      <c r="V205" s="288"/>
      <c r="W205" s="288"/>
      <c r="X205" s="288"/>
      <c r="Y205" s="300"/>
      <c r="Z205" s="2"/>
      <c r="AC205" s="300"/>
    </row>
    <row r="206" spans="3:29" hidden="1">
      <c r="C206" s="2"/>
      <c r="D206" s="5"/>
      <c r="E206" s="339"/>
      <c r="F206" s="340"/>
      <c r="G206" s="341" t="s">
        <v>156</v>
      </c>
      <c r="H206" s="336">
        <v>2</v>
      </c>
      <c r="I206" s="336">
        <v>48</v>
      </c>
      <c r="J206" s="336" t="str">
        <f t="shared" si="8"/>
        <v>QXK - QUIXA 2 48</v>
      </c>
      <c r="K206" s="337">
        <v>100000</v>
      </c>
      <c r="L206" s="332">
        <v>0.50276850000000006</v>
      </c>
      <c r="M206" s="326"/>
      <c r="N206" s="343" t="s">
        <v>147</v>
      </c>
      <c r="O206" s="310" t="s">
        <v>134</v>
      </c>
      <c r="P206" s="310" t="str">
        <f t="shared" si="7"/>
        <v>QUIXA TR</v>
      </c>
      <c r="Q206" s="311">
        <v>5</v>
      </c>
      <c r="R206" s="300"/>
      <c r="S206" s="288"/>
      <c r="T206" s="288"/>
      <c r="U206" s="300"/>
      <c r="V206" s="288"/>
      <c r="W206" s="288"/>
      <c r="X206" s="288"/>
      <c r="Y206" s="300"/>
      <c r="Z206" s="2"/>
      <c r="AC206" s="300"/>
    </row>
    <row r="207" spans="3:29" hidden="1">
      <c r="C207" s="2"/>
      <c r="D207" s="5"/>
      <c r="E207" s="339"/>
      <c r="F207" s="340"/>
      <c r="G207" s="341" t="s">
        <v>156</v>
      </c>
      <c r="H207" s="336">
        <v>2</v>
      </c>
      <c r="I207" s="336">
        <v>60</v>
      </c>
      <c r="J207" s="336" t="str">
        <f t="shared" si="8"/>
        <v>QXK - QUIXA 2 60</v>
      </c>
      <c r="K207" s="337">
        <v>100000</v>
      </c>
      <c r="L207" s="332">
        <v>0.61666799999999999</v>
      </c>
      <c r="M207" s="326"/>
      <c r="N207" s="343" t="s">
        <v>147</v>
      </c>
      <c r="O207" s="310" t="s">
        <v>135</v>
      </c>
      <c r="P207" s="310" t="str">
        <f t="shared" si="7"/>
        <v>QUIXA TS</v>
      </c>
      <c r="Q207" s="311">
        <v>5</v>
      </c>
      <c r="R207" s="300"/>
      <c r="S207" s="288"/>
      <c r="T207" s="288"/>
      <c r="U207" s="300"/>
      <c r="V207" s="288"/>
      <c r="W207" s="288"/>
      <c r="X207" s="288"/>
      <c r="Y207" s="300"/>
      <c r="Z207" s="2"/>
      <c r="AC207" s="300"/>
    </row>
    <row r="208" spans="3:29" hidden="1">
      <c r="C208" s="2"/>
      <c r="D208" s="5"/>
      <c r="E208" s="339"/>
      <c r="F208" s="340"/>
      <c r="G208" s="341" t="s">
        <v>156</v>
      </c>
      <c r="H208" s="336">
        <v>2</v>
      </c>
      <c r="I208" s="336">
        <v>72</v>
      </c>
      <c r="J208" s="336" t="str">
        <f t="shared" si="8"/>
        <v>QXK - QUIXA 2 72</v>
      </c>
      <c r="K208" s="337">
        <v>100000</v>
      </c>
      <c r="L208" s="332">
        <v>0.73516949999999992</v>
      </c>
      <c r="M208" s="326"/>
      <c r="N208" s="343" t="s">
        <v>147</v>
      </c>
      <c r="O208" s="310" t="s">
        <v>133</v>
      </c>
      <c r="P208" s="310" t="str">
        <f t="shared" si="7"/>
        <v>QUIXA TV</v>
      </c>
      <c r="Q208" s="311">
        <v>5</v>
      </c>
      <c r="R208" s="300"/>
      <c r="S208" s="288"/>
      <c r="T208" s="288"/>
      <c r="U208" s="300"/>
      <c r="V208" s="288"/>
      <c r="W208" s="288"/>
      <c r="X208" s="288"/>
      <c r="Y208" s="300"/>
      <c r="Z208" s="2"/>
      <c r="AC208" s="300"/>
    </row>
    <row r="209" spans="3:29" hidden="1">
      <c r="C209" s="2"/>
      <c r="D209" s="5"/>
      <c r="E209" s="339"/>
      <c r="F209" s="340"/>
      <c r="G209" s="341" t="s">
        <v>156</v>
      </c>
      <c r="H209" s="319">
        <v>3</v>
      </c>
      <c r="I209" s="319">
        <v>12</v>
      </c>
      <c r="J209" s="319" t="str">
        <f t="shared" si="8"/>
        <v>QXK - QUIXA 3 12</v>
      </c>
      <c r="K209" s="320">
        <v>100000</v>
      </c>
      <c r="L209" s="321">
        <v>9.3120000000000008E-2</v>
      </c>
      <c r="M209" s="326"/>
      <c r="N209" s="343" t="s">
        <v>147</v>
      </c>
      <c r="O209" s="310" t="s">
        <v>136</v>
      </c>
      <c r="P209" s="310" t="str">
        <f t="shared" si="7"/>
        <v>QUIXA UD</v>
      </c>
      <c r="Q209" s="311">
        <v>5</v>
      </c>
      <c r="R209" s="300"/>
      <c r="S209" s="288"/>
      <c r="T209" s="288"/>
      <c r="U209" s="300"/>
      <c r="V209" s="288"/>
      <c r="W209" s="288"/>
      <c r="X209" s="288"/>
      <c r="Y209" s="300"/>
      <c r="Z209" s="2"/>
      <c r="AC209" s="300"/>
    </row>
    <row r="210" spans="3:29" hidden="1">
      <c r="C210" s="2"/>
      <c r="D210" s="5"/>
      <c r="E210" s="339"/>
      <c r="F210" s="340"/>
      <c r="G210" s="341" t="s">
        <v>156</v>
      </c>
      <c r="H210" s="319">
        <v>3</v>
      </c>
      <c r="I210" s="319">
        <v>24</v>
      </c>
      <c r="J210" s="319" t="str">
        <f t="shared" si="8"/>
        <v>QXK - QUIXA 3 24</v>
      </c>
      <c r="K210" s="320">
        <v>100000</v>
      </c>
      <c r="L210" s="321">
        <v>0.19182720000000003</v>
      </c>
      <c r="M210" s="326"/>
      <c r="N210" s="343" t="s">
        <v>147</v>
      </c>
      <c r="O210" s="310" t="s">
        <v>137</v>
      </c>
      <c r="P210" s="310" t="str">
        <f t="shared" si="7"/>
        <v>QUIXA VA</v>
      </c>
      <c r="Q210" s="311">
        <v>5</v>
      </c>
      <c r="R210" s="300"/>
      <c r="S210" s="288"/>
      <c r="T210" s="288"/>
      <c r="U210" s="300"/>
      <c r="V210" s="288"/>
      <c r="W210" s="288"/>
      <c r="X210" s="288"/>
      <c r="Y210" s="300"/>
      <c r="Z210" s="2"/>
      <c r="AC210" s="300"/>
    </row>
    <row r="211" spans="3:29" hidden="1">
      <c r="C211" s="2"/>
      <c r="D211" s="5"/>
      <c r="E211" s="339"/>
      <c r="F211" s="340"/>
      <c r="G211" s="341" t="s">
        <v>156</v>
      </c>
      <c r="H211" s="319">
        <v>3</v>
      </c>
      <c r="I211" s="319">
        <v>36</v>
      </c>
      <c r="J211" s="319" t="str">
        <f t="shared" si="8"/>
        <v>QXK - QUIXA 3 36</v>
      </c>
      <c r="K211" s="320">
        <v>100000</v>
      </c>
      <c r="L211" s="321">
        <v>0.29612160000000004</v>
      </c>
      <c r="M211" s="326"/>
      <c r="N211" s="343" t="s">
        <v>147</v>
      </c>
      <c r="O211" s="310" t="s">
        <v>138</v>
      </c>
      <c r="P211" s="310" t="str">
        <f t="shared" si="7"/>
        <v>QUIXA VB</v>
      </c>
      <c r="Q211" s="311">
        <v>5</v>
      </c>
      <c r="R211" s="300"/>
      <c r="S211" s="288"/>
      <c r="T211" s="288"/>
      <c r="U211" s="300"/>
      <c r="V211" s="288"/>
      <c r="W211" s="288"/>
      <c r="X211" s="288"/>
      <c r="Y211" s="300"/>
      <c r="Z211" s="2"/>
      <c r="AC211" s="300"/>
    </row>
    <row r="212" spans="3:29" hidden="1">
      <c r="C212" s="2"/>
      <c r="D212" s="5"/>
      <c r="E212" s="339"/>
      <c r="F212" s="340"/>
      <c r="G212" s="341" t="s">
        <v>156</v>
      </c>
      <c r="H212" s="319">
        <v>3</v>
      </c>
      <c r="I212" s="319">
        <v>48</v>
      </c>
      <c r="J212" s="319" t="str">
        <f t="shared" si="8"/>
        <v>QXK - QUIXA 3 48</v>
      </c>
      <c r="K212" s="320">
        <v>100000</v>
      </c>
      <c r="L212" s="321">
        <v>0.40693440000000003</v>
      </c>
      <c r="M212" s="326"/>
      <c r="N212" s="343" t="s">
        <v>147</v>
      </c>
      <c r="O212" s="310" t="s">
        <v>139</v>
      </c>
      <c r="P212" s="310" t="str">
        <f t="shared" si="7"/>
        <v>QUIXA VC</v>
      </c>
      <c r="Q212" s="311">
        <v>5</v>
      </c>
      <c r="R212" s="300"/>
      <c r="S212" s="288"/>
      <c r="T212" s="288"/>
      <c r="U212" s="300"/>
      <c r="V212" s="288"/>
      <c r="W212" s="288"/>
      <c r="X212" s="288"/>
      <c r="Y212" s="300"/>
      <c r="Z212" s="2"/>
      <c r="AC212" s="300"/>
    </row>
    <row r="213" spans="3:29" hidden="1">
      <c r="C213" s="2"/>
      <c r="D213" s="5"/>
      <c r="E213" s="339"/>
      <c r="F213" s="340"/>
      <c r="G213" s="341" t="s">
        <v>156</v>
      </c>
      <c r="H213" s="319">
        <v>3</v>
      </c>
      <c r="I213" s="319">
        <v>60</v>
      </c>
      <c r="J213" s="319" t="str">
        <f t="shared" si="8"/>
        <v>QXK - QUIXA 3 60</v>
      </c>
      <c r="K213" s="320">
        <v>100000</v>
      </c>
      <c r="L213" s="321">
        <v>0.4991232000000001</v>
      </c>
      <c r="M213" s="326"/>
      <c r="N213" s="343" t="s">
        <v>147</v>
      </c>
      <c r="O213" s="310" t="s">
        <v>140</v>
      </c>
      <c r="P213" s="310" t="str">
        <f t="shared" si="7"/>
        <v>QUIXA VE</v>
      </c>
      <c r="Q213" s="311">
        <v>5</v>
      </c>
      <c r="R213" s="300"/>
      <c r="S213" s="288"/>
      <c r="T213" s="288"/>
      <c r="U213" s="300"/>
      <c r="V213" s="288"/>
      <c r="W213" s="288"/>
      <c r="X213" s="288"/>
      <c r="Y213" s="300"/>
      <c r="Z213" s="2"/>
      <c r="AC213" s="300"/>
    </row>
    <row r="214" spans="3:29" hidden="1">
      <c r="C214" s="2"/>
      <c r="D214" s="5"/>
      <c r="E214" s="339"/>
      <c r="F214" s="340"/>
      <c r="G214" s="341" t="s">
        <v>156</v>
      </c>
      <c r="H214" s="319">
        <v>3</v>
      </c>
      <c r="I214" s="319">
        <v>72</v>
      </c>
      <c r="J214" s="319" t="str">
        <f t="shared" si="8"/>
        <v>QXK - QUIXA 3 72</v>
      </c>
      <c r="K214" s="320">
        <v>100000</v>
      </c>
      <c r="L214" s="321">
        <v>0.59503680000000003</v>
      </c>
      <c r="M214" s="326"/>
      <c r="N214" s="343" t="s">
        <v>147</v>
      </c>
      <c r="O214" s="310" t="s">
        <v>141</v>
      </c>
      <c r="P214" s="310" t="str">
        <f t="shared" si="7"/>
        <v>QUIXA VI</v>
      </c>
      <c r="Q214" s="311">
        <v>5</v>
      </c>
      <c r="R214" s="300"/>
      <c r="S214" s="288"/>
      <c r="T214" s="288"/>
      <c r="U214" s="300"/>
      <c r="V214" s="288"/>
      <c r="W214" s="288"/>
      <c r="X214" s="288"/>
      <c r="Y214" s="300"/>
      <c r="Z214" s="2"/>
      <c r="AC214" s="300"/>
    </row>
    <row r="215" spans="3:29" hidden="1">
      <c r="C215" s="2"/>
      <c r="D215" s="5"/>
      <c r="E215" s="339"/>
      <c r="F215" s="340"/>
      <c r="G215" s="341" t="s">
        <v>156</v>
      </c>
      <c r="H215" s="336">
        <v>4</v>
      </c>
      <c r="I215" s="336">
        <v>12</v>
      </c>
      <c r="J215" s="336" t="str">
        <f t="shared" si="8"/>
        <v>QXK - QUIXA 4 12</v>
      </c>
      <c r="K215" s="337">
        <v>100000</v>
      </c>
      <c r="L215" s="332">
        <v>9.1060000000000002E-2</v>
      </c>
      <c r="M215" s="326"/>
      <c r="N215" s="343" t="s">
        <v>147</v>
      </c>
      <c r="O215" s="310" t="s">
        <v>142</v>
      </c>
      <c r="P215" s="310" t="str">
        <f t="shared" si="7"/>
        <v>QUIXA VR</v>
      </c>
      <c r="Q215" s="311">
        <v>5</v>
      </c>
      <c r="R215" s="300"/>
      <c r="S215" s="288"/>
      <c r="T215" s="288"/>
      <c r="U215" s="300"/>
      <c r="V215" s="288"/>
      <c r="W215" s="288"/>
      <c r="X215" s="288"/>
      <c r="Y215" s="300"/>
      <c r="Z215" s="2"/>
      <c r="AC215" s="300"/>
    </row>
    <row r="216" spans="3:29" hidden="1">
      <c r="C216" s="2"/>
      <c r="D216" s="5"/>
      <c r="E216" s="339"/>
      <c r="F216" s="340"/>
      <c r="G216" s="341" t="s">
        <v>156</v>
      </c>
      <c r="H216" s="336">
        <v>4</v>
      </c>
      <c r="I216" s="336">
        <v>24</v>
      </c>
      <c r="J216" s="336" t="str">
        <f t="shared" si="8"/>
        <v>QXK - QUIXA 4 24</v>
      </c>
      <c r="K216" s="337">
        <v>100000</v>
      </c>
      <c r="L216" s="332">
        <v>0.18758360000000002</v>
      </c>
      <c r="M216" s="326"/>
      <c r="N216" s="343" t="s">
        <v>147</v>
      </c>
      <c r="O216" s="310" t="s">
        <v>143</v>
      </c>
      <c r="P216" s="310" t="str">
        <f t="shared" si="7"/>
        <v>QUIXA VT</v>
      </c>
      <c r="Q216" s="311">
        <v>5</v>
      </c>
      <c r="R216" s="300"/>
      <c r="S216" s="288"/>
      <c r="T216" s="288"/>
      <c r="U216" s="300"/>
      <c r="V216" s="288"/>
      <c r="W216" s="288"/>
      <c r="X216" s="288"/>
      <c r="Y216" s="300"/>
      <c r="Z216" s="2"/>
      <c r="AC216" s="300"/>
    </row>
    <row r="217" spans="3:29" hidden="1">
      <c r="C217" s="2"/>
      <c r="D217" s="5"/>
      <c r="E217" s="339"/>
      <c r="F217" s="340"/>
      <c r="G217" s="341" t="s">
        <v>156</v>
      </c>
      <c r="H217" s="336">
        <v>4</v>
      </c>
      <c r="I217" s="336">
        <v>36</v>
      </c>
      <c r="J217" s="336" t="str">
        <f t="shared" si="8"/>
        <v>QXK - QUIXA 4 36</v>
      </c>
      <c r="K217" s="337">
        <v>100000</v>
      </c>
      <c r="L217" s="332">
        <v>0.28957080000000002</v>
      </c>
      <c r="M217" s="326"/>
      <c r="N217" s="343" t="s">
        <v>147</v>
      </c>
      <c r="O217" s="310" t="s">
        <v>64</v>
      </c>
      <c r="P217" s="310" t="str">
        <f t="shared" si="7"/>
        <v>QUIXA VV</v>
      </c>
      <c r="Q217" s="311">
        <v>3</v>
      </c>
      <c r="R217" s="300"/>
      <c r="S217" s="288"/>
      <c r="T217" s="288"/>
      <c r="U217" s="300"/>
      <c r="V217" s="288"/>
      <c r="W217" s="288"/>
      <c r="X217" s="288"/>
      <c r="Y217" s="300"/>
      <c r="Z217" s="2"/>
      <c r="AC217" s="300"/>
    </row>
    <row r="218" spans="3:29" hidden="1">
      <c r="C218" s="2"/>
      <c r="D218" s="5"/>
      <c r="E218" s="339"/>
      <c r="F218" s="340"/>
      <c r="G218" s="341" t="s">
        <v>156</v>
      </c>
      <c r="H218" s="336">
        <v>4</v>
      </c>
      <c r="I218" s="336">
        <v>48</v>
      </c>
      <c r="J218" s="336" t="str">
        <f t="shared" si="8"/>
        <v>QXK - QUIXA 4 48</v>
      </c>
      <c r="K218" s="337">
        <v>100000</v>
      </c>
      <c r="L218" s="332">
        <v>0.39793220000000001</v>
      </c>
      <c r="M218" s="326"/>
      <c r="N218" s="343" t="s">
        <v>148</v>
      </c>
      <c r="O218" s="310" t="s">
        <v>51</v>
      </c>
      <c r="P218" s="310" t="str">
        <f t="shared" si="7"/>
        <v>UNIPOL AG</v>
      </c>
      <c r="Q218" s="311">
        <v>3</v>
      </c>
      <c r="R218" s="300"/>
      <c r="S218" s="288"/>
      <c r="T218" s="288"/>
      <c r="U218" s="300"/>
      <c r="V218" s="288"/>
      <c r="W218" s="288"/>
      <c r="X218" s="288"/>
      <c r="Y218" s="300"/>
      <c r="Z218" s="2"/>
      <c r="AC218" s="300"/>
    </row>
    <row r="219" spans="3:29" hidden="1">
      <c r="C219" s="2"/>
      <c r="D219" s="5"/>
      <c r="E219" s="339"/>
      <c r="F219" s="340"/>
      <c r="G219" s="341" t="s">
        <v>156</v>
      </c>
      <c r="H219" s="336">
        <v>4</v>
      </c>
      <c r="I219" s="336">
        <v>60</v>
      </c>
      <c r="J219" s="336" t="str">
        <f t="shared" si="8"/>
        <v>QXK - QUIXA 4 60</v>
      </c>
      <c r="K219" s="337">
        <v>100000</v>
      </c>
      <c r="L219" s="332">
        <v>0.48808160000000006</v>
      </c>
      <c r="M219" s="326"/>
      <c r="N219" s="343" t="s">
        <v>148</v>
      </c>
      <c r="O219" s="310" t="s">
        <v>76</v>
      </c>
      <c r="P219" s="310" t="str">
        <f t="shared" si="7"/>
        <v>UNIPOL AL</v>
      </c>
      <c r="Q219" s="311">
        <v>5</v>
      </c>
      <c r="R219" s="300"/>
      <c r="S219" s="288"/>
      <c r="T219" s="288"/>
      <c r="U219" s="300"/>
      <c r="V219" s="288"/>
      <c r="W219" s="288"/>
      <c r="X219" s="288"/>
      <c r="Y219" s="300"/>
      <c r="Z219" s="2"/>
      <c r="AC219" s="300"/>
    </row>
    <row r="220" spans="3:29" hidden="1">
      <c r="C220" s="2"/>
      <c r="D220" s="5"/>
      <c r="E220" s="339"/>
      <c r="F220" s="340"/>
      <c r="G220" s="341" t="s">
        <v>156</v>
      </c>
      <c r="H220" s="336">
        <v>4</v>
      </c>
      <c r="I220" s="336">
        <v>72</v>
      </c>
      <c r="J220" s="336" t="str">
        <f t="shared" si="8"/>
        <v>QXK - QUIXA 4 72</v>
      </c>
      <c r="K220" s="337">
        <v>100000</v>
      </c>
      <c r="L220" s="332">
        <v>0.58187339999999999</v>
      </c>
      <c r="M220" s="326"/>
      <c r="N220" s="343" t="s">
        <v>148</v>
      </c>
      <c r="O220" s="310" t="s">
        <v>77</v>
      </c>
      <c r="P220" s="310" t="str">
        <f t="shared" si="7"/>
        <v>UNIPOL AN</v>
      </c>
      <c r="Q220" s="311">
        <v>5</v>
      </c>
      <c r="R220" s="300"/>
      <c r="S220" s="288"/>
      <c r="T220" s="288"/>
      <c r="U220" s="300"/>
      <c r="V220" s="288"/>
      <c r="W220" s="288"/>
      <c r="X220" s="288"/>
      <c r="Y220" s="300"/>
      <c r="Z220" s="2"/>
      <c r="AC220" s="300"/>
    </row>
    <row r="221" spans="3:29" hidden="1">
      <c r="C221" s="2"/>
      <c r="D221" s="5"/>
      <c r="E221" s="339"/>
      <c r="F221" s="340"/>
      <c r="G221" s="341" t="s">
        <v>156</v>
      </c>
      <c r="H221" s="319">
        <v>5</v>
      </c>
      <c r="I221" s="319">
        <v>12</v>
      </c>
      <c r="J221" s="319" t="str">
        <f t="shared" si="8"/>
        <v>QXK - QUIXA 5 12</v>
      </c>
      <c r="K221" s="320">
        <v>100000</v>
      </c>
      <c r="L221" s="321">
        <v>8.2430000000000003E-2</v>
      </c>
      <c r="M221" s="326"/>
      <c r="N221" s="343" t="s">
        <v>148</v>
      </c>
      <c r="O221" s="310" t="s">
        <v>78</v>
      </c>
      <c r="P221" s="310" t="str">
        <f t="shared" si="7"/>
        <v>UNIPOL AO</v>
      </c>
      <c r="Q221" s="311">
        <v>5</v>
      </c>
      <c r="R221" s="300"/>
      <c r="S221" s="288"/>
      <c r="T221" s="288"/>
      <c r="U221" s="300"/>
      <c r="V221" s="288"/>
      <c r="W221" s="288"/>
      <c r="X221" s="288"/>
      <c r="Y221" s="300"/>
      <c r="Z221" s="2"/>
      <c r="AC221" s="300"/>
    </row>
    <row r="222" spans="3:29" hidden="1">
      <c r="C222" s="2"/>
      <c r="D222" s="5"/>
      <c r="E222" s="339"/>
      <c r="F222" s="340"/>
      <c r="G222" s="341" t="s">
        <v>156</v>
      </c>
      <c r="H222" s="319">
        <v>5</v>
      </c>
      <c r="I222" s="319">
        <v>24</v>
      </c>
      <c r="J222" s="319" t="str">
        <f t="shared" si="8"/>
        <v>QXK - QUIXA 5 24</v>
      </c>
      <c r="K222" s="320">
        <v>100000</v>
      </c>
      <c r="L222" s="321">
        <v>0.16980580000000001</v>
      </c>
      <c r="M222" s="326"/>
      <c r="N222" s="343" t="s">
        <v>148</v>
      </c>
      <c r="O222" s="310" t="s">
        <v>79</v>
      </c>
      <c r="P222" s="310" t="str">
        <f t="shared" si="7"/>
        <v>UNIPOL AP</v>
      </c>
      <c r="Q222" s="311">
        <v>5</v>
      </c>
      <c r="R222" s="300"/>
      <c r="S222" s="288"/>
      <c r="T222" s="288"/>
      <c r="U222" s="300"/>
      <c r="V222" s="288"/>
      <c r="W222" s="288"/>
      <c r="X222" s="288"/>
      <c r="Y222" s="300"/>
      <c r="Z222" s="2"/>
      <c r="AC222" s="300"/>
    </row>
    <row r="223" spans="3:29" hidden="1">
      <c r="C223" s="2"/>
      <c r="D223" s="5"/>
      <c r="E223" s="339"/>
      <c r="F223" s="340"/>
      <c r="G223" s="341" t="s">
        <v>156</v>
      </c>
      <c r="H223" s="319">
        <v>5</v>
      </c>
      <c r="I223" s="319">
        <v>36</v>
      </c>
      <c r="J223" s="319" t="str">
        <f t="shared" si="8"/>
        <v>QXK - QUIXA 5 36</v>
      </c>
      <c r="K223" s="320">
        <v>100000</v>
      </c>
      <c r="L223" s="321">
        <v>0.26212740000000001</v>
      </c>
      <c r="M223" s="326"/>
      <c r="N223" s="343" t="s">
        <v>148</v>
      </c>
      <c r="O223" s="310" t="s">
        <v>65</v>
      </c>
      <c r="P223" s="310" t="str">
        <f t="shared" si="7"/>
        <v>UNIPOL AQ</v>
      </c>
      <c r="Q223" s="311">
        <v>4</v>
      </c>
      <c r="R223" s="300"/>
      <c r="S223" s="288"/>
      <c r="T223" s="288"/>
      <c r="U223" s="300"/>
      <c r="V223" s="288"/>
      <c r="W223" s="288"/>
      <c r="X223" s="288"/>
      <c r="Y223" s="300"/>
      <c r="Z223" s="2"/>
      <c r="AC223" s="300"/>
    </row>
    <row r="224" spans="3:29" hidden="1">
      <c r="C224" s="2"/>
      <c r="D224" s="5"/>
      <c r="E224" s="339"/>
      <c r="F224" s="340"/>
      <c r="G224" s="341" t="s">
        <v>156</v>
      </c>
      <c r="H224" s="319">
        <v>5</v>
      </c>
      <c r="I224" s="319">
        <v>48</v>
      </c>
      <c r="J224" s="319" t="str">
        <f t="shared" si="8"/>
        <v>QXK - QUIXA 5 48</v>
      </c>
      <c r="K224" s="320">
        <v>100000</v>
      </c>
      <c r="L224" s="321">
        <v>0.36021910000000001</v>
      </c>
      <c r="M224" s="326"/>
      <c r="N224" s="343" t="s">
        <v>148</v>
      </c>
      <c r="O224" s="310" t="s">
        <v>80</v>
      </c>
      <c r="P224" s="310" t="str">
        <f t="shared" si="7"/>
        <v>UNIPOL AR</v>
      </c>
      <c r="Q224" s="311">
        <v>5</v>
      </c>
      <c r="R224" s="300"/>
      <c r="S224" s="288"/>
      <c r="T224" s="288"/>
      <c r="U224" s="300"/>
      <c r="V224" s="288"/>
      <c r="W224" s="288"/>
      <c r="X224" s="288"/>
      <c r="Y224" s="300"/>
      <c r="Z224" s="2"/>
      <c r="AC224" s="300"/>
    </row>
    <row r="225" spans="3:29" hidden="1">
      <c r="C225" s="2"/>
      <c r="D225" s="5"/>
      <c r="E225" s="339"/>
      <c r="F225" s="340"/>
      <c r="G225" s="341" t="s">
        <v>156</v>
      </c>
      <c r="H225" s="319">
        <v>5</v>
      </c>
      <c r="I225" s="319">
        <v>60</v>
      </c>
      <c r="J225" s="319" t="str">
        <f t="shared" si="8"/>
        <v>QXK - QUIXA 5 60</v>
      </c>
      <c r="K225" s="320">
        <v>100000</v>
      </c>
      <c r="L225" s="321">
        <v>0.44182480000000002</v>
      </c>
      <c r="M225" s="326"/>
      <c r="N225" s="343" t="s">
        <v>148</v>
      </c>
      <c r="O225" s="310" t="s">
        <v>66</v>
      </c>
      <c r="P225" s="310" t="str">
        <f t="shared" si="7"/>
        <v>UNIPOL AT</v>
      </c>
      <c r="Q225" s="311">
        <v>4</v>
      </c>
      <c r="R225" s="300"/>
      <c r="S225" s="288"/>
      <c r="T225" s="288"/>
      <c r="U225" s="300"/>
      <c r="V225" s="288"/>
      <c r="W225" s="288"/>
      <c r="X225" s="288"/>
      <c r="Y225" s="300"/>
      <c r="Z225" s="2"/>
      <c r="AC225" s="300"/>
    </row>
    <row r="226" spans="3:29" hidden="1">
      <c r="C226" s="2"/>
      <c r="D226" s="5"/>
      <c r="E226" s="339"/>
      <c r="F226" s="340"/>
      <c r="G226" s="341" t="s">
        <v>156</v>
      </c>
      <c r="H226" s="319">
        <v>5</v>
      </c>
      <c r="I226" s="319">
        <v>72</v>
      </c>
      <c r="J226" s="319" t="str">
        <f t="shared" si="8"/>
        <v>QXK - QUIXA 5 72</v>
      </c>
      <c r="K226" s="320">
        <v>100000</v>
      </c>
      <c r="L226" s="321">
        <v>0.52672770000000002</v>
      </c>
      <c r="M226" s="326"/>
      <c r="N226" s="343" t="s">
        <v>148</v>
      </c>
      <c r="O226" s="310" t="s">
        <v>52</v>
      </c>
      <c r="P226" s="310" t="str">
        <f t="shared" si="7"/>
        <v>UNIPOL AV</v>
      </c>
      <c r="Q226" s="311">
        <v>3</v>
      </c>
      <c r="R226" s="300"/>
      <c r="S226" s="288"/>
      <c r="T226" s="288"/>
      <c r="U226" s="300"/>
      <c r="V226" s="288"/>
      <c r="W226" s="288"/>
      <c r="X226" s="288"/>
      <c r="Y226" s="300"/>
      <c r="Z226" s="2"/>
      <c r="AC226" s="300"/>
    </row>
    <row r="227" spans="3:29" hidden="1">
      <c r="C227" s="2"/>
      <c r="D227" s="5"/>
      <c r="E227" s="339"/>
      <c r="F227" s="340"/>
      <c r="G227" s="341" t="s">
        <v>156</v>
      </c>
      <c r="H227" s="336">
        <v>6</v>
      </c>
      <c r="I227" s="336">
        <v>12</v>
      </c>
      <c r="J227" s="336" t="str">
        <f t="shared" si="8"/>
        <v>QXK - QUIXA 6 12</v>
      </c>
      <c r="K227" s="337">
        <v>35000</v>
      </c>
      <c r="L227" s="332">
        <v>0.12881999999999999</v>
      </c>
      <c r="M227" s="326"/>
      <c r="N227" s="343" t="s">
        <v>148</v>
      </c>
      <c r="O227" s="310" t="s">
        <v>41</v>
      </c>
      <c r="P227" s="310" t="str">
        <f t="shared" si="7"/>
        <v>UNIPOL BA</v>
      </c>
      <c r="Q227" s="311">
        <v>2</v>
      </c>
      <c r="R227" s="300"/>
      <c r="S227" s="288"/>
      <c r="T227" s="288"/>
      <c r="U227" s="300"/>
      <c r="V227" s="288"/>
      <c r="W227" s="288"/>
      <c r="X227" s="288"/>
      <c r="Y227" s="300"/>
      <c r="Z227" s="2"/>
      <c r="AC227" s="300"/>
    </row>
    <row r="228" spans="3:29" hidden="1">
      <c r="C228" s="2"/>
      <c r="D228" s="5"/>
      <c r="E228" s="339"/>
      <c r="F228" s="340"/>
      <c r="G228" s="341" t="s">
        <v>156</v>
      </c>
      <c r="H228" s="336">
        <v>6</v>
      </c>
      <c r="I228" s="336">
        <v>24</v>
      </c>
      <c r="J228" s="336" t="str">
        <f t="shared" si="8"/>
        <v>QXK - QUIXA 6 24</v>
      </c>
      <c r="K228" s="337">
        <v>35000</v>
      </c>
      <c r="L228" s="332">
        <v>0.26536919999999997</v>
      </c>
      <c r="M228" s="326"/>
      <c r="N228" s="343" t="s">
        <v>148</v>
      </c>
      <c r="O228" s="310" t="s">
        <v>81</v>
      </c>
      <c r="P228" s="310" t="str">
        <f t="shared" si="7"/>
        <v>UNIPOL BG</v>
      </c>
      <c r="Q228" s="311">
        <v>5</v>
      </c>
      <c r="R228" s="300"/>
      <c r="S228" s="288"/>
      <c r="T228" s="288"/>
      <c r="U228" s="300"/>
      <c r="V228" s="288"/>
      <c r="W228" s="288"/>
      <c r="X228" s="288"/>
      <c r="Y228" s="300"/>
      <c r="Z228" s="2"/>
      <c r="AC228" s="300"/>
    </row>
    <row r="229" spans="3:29" hidden="1">
      <c r="C229" s="2"/>
      <c r="D229" s="5"/>
      <c r="E229" s="339"/>
      <c r="F229" s="340"/>
      <c r="G229" s="341" t="s">
        <v>156</v>
      </c>
      <c r="H229" s="336">
        <v>6</v>
      </c>
      <c r="I229" s="336">
        <v>36</v>
      </c>
      <c r="J229" s="336" t="str">
        <f t="shared" si="8"/>
        <v>QXK - QUIXA 6 36</v>
      </c>
      <c r="K229" s="337">
        <v>35000</v>
      </c>
      <c r="L229" s="332">
        <v>0.4096476</v>
      </c>
      <c r="M229" s="326"/>
      <c r="N229" s="343" t="s">
        <v>148</v>
      </c>
      <c r="O229" s="310" t="s">
        <v>82</v>
      </c>
      <c r="P229" s="310" t="str">
        <f t="shared" si="7"/>
        <v>UNIPOL BI</v>
      </c>
      <c r="Q229" s="311">
        <v>5</v>
      </c>
      <c r="R229" s="300"/>
      <c r="S229" s="288"/>
      <c r="T229" s="288"/>
      <c r="U229" s="300"/>
      <c r="V229" s="288"/>
      <c r="W229" s="288"/>
      <c r="X229" s="288"/>
      <c r="Y229" s="300"/>
      <c r="Z229" s="2"/>
      <c r="AC229" s="300"/>
    </row>
    <row r="230" spans="3:29" hidden="1">
      <c r="C230" s="2"/>
      <c r="D230" s="5"/>
      <c r="E230" s="339"/>
      <c r="F230" s="340"/>
      <c r="G230" s="341" t="s">
        <v>156</v>
      </c>
      <c r="H230" s="336">
        <v>6</v>
      </c>
      <c r="I230" s="336">
        <v>48</v>
      </c>
      <c r="J230" s="336" t="str">
        <f t="shared" si="8"/>
        <v>QXK - QUIXA 6 48</v>
      </c>
      <c r="K230" s="337">
        <v>35000</v>
      </c>
      <c r="L230" s="332">
        <v>0.56294339999999998</v>
      </c>
      <c r="M230" s="326"/>
      <c r="N230" s="343" t="s">
        <v>148</v>
      </c>
      <c r="O230" s="310" t="s">
        <v>83</v>
      </c>
      <c r="P230" s="310" t="str">
        <f t="shared" si="7"/>
        <v>UNIPOL BL</v>
      </c>
      <c r="Q230" s="311">
        <v>5</v>
      </c>
      <c r="R230" s="300"/>
      <c r="S230" s="288"/>
      <c r="T230" s="288"/>
      <c r="U230" s="300"/>
      <c r="V230" s="288"/>
      <c r="W230" s="288"/>
      <c r="X230" s="288"/>
      <c r="Y230" s="300"/>
      <c r="Z230" s="2"/>
      <c r="AC230" s="300"/>
    </row>
    <row r="231" spans="3:29" hidden="1">
      <c r="C231" s="2"/>
      <c r="D231" s="5"/>
      <c r="E231" s="339"/>
      <c r="F231" s="340"/>
      <c r="G231" s="341" t="s">
        <v>156</v>
      </c>
      <c r="H231" s="336">
        <v>6</v>
      </c>
      <c r="I231" s="336">
        <v>60</v>
      </c>
      <c r="J231" s="336" t="str">
        <f t="shared" si="8"/>
        <v>QXK - QUIXA 6 60</v>
      </c>
      <c r="K231" s="337">
        <v>35000</v>
      </c>
      <c r="L231" s="332">
        <v>0.69047519999999996</v>
      </c>
      <c r="M231" s="326"/>
      <c r="N231" s="343" t="s">
        <v>148</v>
      </c>
      <c r="O231" s="310" t="s">
        <v>53</v>
      </c>
      <c r="P231" s="310" t="str">
        <f t="shared" si="7"/>
        <v>UNIPOL BN</v>
      </c>
      <c r="Q231" s="311">
        <v>3</v>
      </c>
      <c r="R231" s="300"/>
      <c r="S231" s="288"/>
      <c r="T231" s="288"/>
      <c r="U231" s="300"/>
      <c r="V231" s="288"/>
      <c r="W231" s="288"/>
      <c r="X231" s="288"/>
      <c r="Y231" s="300"/>
      <c r="Z231" s="2"/>
      <c r="AC231" s="300"/>
    </row>
    <row r="232" spans="3:29" hidden="1">
      <c r="C232" s="2"/>
      <c r="D232" s="5"/>
      <c r="E232" s="339"/>
      <c r="F232" s="340"/>
      <c r="G232" s="341" t="s">
        <v>156</v>
      </c>
      <c r="H232" s="336">
        <v>6</v>
      </c>
      <c r="I232" s="336">
        <v>72</v>
      </c>
      <c r="J232" s="336" t="str">
        <f t="shared" si="8"/>
        <v>QXK - QUIXA 6 72</v>
      </c>
      <c r="K232" s="337">
        <v>35000</v>
      </c>
      <c r="L232" s="332">
        <v>0.82315979999999989</v>
      </c>
      <c r="M232" s="326"/>
      <c r="N232" s="343" t="s">
        <v>148</v>
      </c>
      <c r="O232" s="310" t="s">
        <v>84</v>
      </c>
      <c r="P232" s="310" t="str">
        <f t="shared" si="7"/>
        <v>UNIPOL BO</v>
      </c>
      <c r="Q232" s="311">
        <v>5</v>
      </c>
      <c r="R232" s="300"/>
      <c r="S232" s="288"/>
      <c r="T232" s="288"/>
      <c r="U232" s="300"/>
      <c r="V232" s="288"/>
      <c r="W232" s="288"/>
      <c r="X232" s="288"/>
      <c r="Y232" s="300"/>
      <c r="Z232" s="2"/>
      <c r="AC232" s="300"/>
    </row>
    <row r="233" spans="3:29" hidden="1">
      <c r="C233" s="2"/>
      <c r="D233" s="5"/>
      <c r="E233" s="339"/>
      <c r="F233" s="340"/>
      <c r="G233" s="341" t="s">
        <v>156</v>
      </c>
      <c r="H233" s="319">
        <v>7</v>
      </c>
      <c r="I233" s="319">
        <v>12</v>
      </c>
      <c r="J233" s="319" t="str">
        <f t="shared" si="8"/>
        <v>QXK - QUIXA 7 12</v>
      </c>
      <c r="K233" s="320">
        <v>100000</v>
      </c>
      <c r="L233" s="321">
        <v>8.1069999999999989E-2</v>
      </c>
      <c r="M233" s="326"/>
      <c r="N233" s="343" t="s">
        <v>148</v>
      </c>
      <c r="O233" s="310" t="s">
        <v>42</v>
      </c>
      <c r="P233" s="310" t="str">
        <f t="shared" si="7"/>
        <v>UNIPOL BR</v>
      </c>
      <c r="Q233" s="311">
        <v>2</v>
      </c>
      <c r="R233" s="300"/>
      <c r="S233" s="288"/>
      <c r="T233" s="288"/>
      <c r="U233" s="300"/>
      <c r="V233" s="288"/>
      <c r="W233" s="288"/>
      <c r="X233" s="288"/>
      <c r="Y233" s="300"/>
      <c r="Z233" s="2"/>
      <c r="AC233" s="300"/>
    </row>
    <row r="234" spans="3:29" hidden="1">
      <c r="C234" s="2"/>
      <c r="D234" s="5"/>
      <c r="E234" s="339"/>
      <c r="F234" s="340"/>
      <c r="G234" s="341" t="s">
        <v>156</v>
      </c>
      <c r="H234" s="319">
        <v>7</v>
      </c>
      <c r="I234" s="319">
        <v>24</v>
      </c>
      <c r="J234" s="319" t="str">
        <f t="shared" si="8"/>
        <v>QXK - QUIXA 7 24</v>
      </c>
      <c r="K234" s="320">
        <v>100000</v>
      </c>
      <c r="L234" s="321">
        <v>0.16700419999999999</v>
      </c>
      <c r="M234" s="326"/>
      <c r="N234" s="343" t="s">
        <v>148</v>
      </c>
      <c r="O234" s="310" t="s">
        <v>85</v>
      </c>
      <c r="P234" s="310" t="str">
        <f t="shared" si="7"/>
        <v>UNIPOL BS</v>
      </c>
      <c r="Q234" s="311">
        <v>5</v>
      </c>
      <c r="R234" s="300"/>
      <c r="S234" s="288"/>
      <c r="T234" s="288"/>
      <c r="U234" s="300"/>
      <c r="V234" s="288"/>
      <c r="W234" s="288"/>
      <c r="X234" s="288"/>
      <c r="Y234" s="300"/>
      <c r="Z234" s="2"/>
      <c r="AC234" s="300"/>
    </row>
    <row r="235" spans="3:29" hidden="1">
      <c r="C235" s="2"/>
      <c r="D235" s="5"/>
      <c r="E235" s="339"/>
      <c r="F235" s="340"/>
      <c r="G235" s="341" t="s">
        <v>156</v>
      </c>
      <c r="H235" s="319">
        <v>7</v>
      </c>
      <c r="I235" s="319">
        <v>36</v>
      </c>
      <c r="J235" s="319" t="str">
        <f t="shared" si="8"/>
        <v>QXK - QUIXA 7 36</v>
      </c>
      <c r="K235" s="320">
        <v>100000</v>
      </c>
      <c r="L235" s="321">
        <v>0.25780259999999999</v>
      </c>
      <c r="M235" s="326"/>
      <c r="N235" s="343" t="s">
        <v>148</v>
      </c>
      <c r="O235" s="310" t="s">
        <v>39</v>
      </c>
      <c r="P235" s="310" t="str">
        <f t="shared" si="7"/>
        <v>UNIPOL BT</v>
      </c>
      <c r="Q235" s="311">
        <v>1</v>
      </c>
      <c r="R235" s="300"/>
      <c r="S235" s="288"/>
      <c r="T235" s="288"/>
      <c r="U235" s="300"/>
      <c r="V235" s="288"/>
      <c r="W235" s="288"/>
      <c r="X235" s="288"/>
      <c r="Y235" s="300"/>
      <c r="Z235" s="2"/>
      <c r="AC235" s="300"/>
    </row>
    <row r="236" spans="3:29" hidden="1">
      <c r="C236" s="2"/>
      <c r="D236" s="5"/>
      <c r="E236" s="339"/>
      <c r="F236" s="340"/>
      <c r="G236" s="341" t="s">
        <v>156</v>
      </c>
      <c r="H236" s="319">
        <v>7</v>
      </c>
      <c r="I236" s="319">
        <v>48</v>
      </c>
      <c r="J236" s="319" t="str">
        <f t="shared" si="8"/>
        <v>QXK - QUIXA 7 48</v>
      </c>
      <c r="K236" s="320">
        <v>100000</v>
      </c>
      <c r="L236" s="321">
        <v>0.35427589999999998</v>
      </c>
      <c r="M236" s="326"/>
      <c r="N236" s="343" t="s">
        <v>148</v>
      </c>
      <c r="O236" s="310" t="s">
        <v>145</v>
      </c>
      <c r="P236" s="310" t="str">
        <f t="shared" si="7"/>
        <v>UNIPOL BZ</v>
      </c>
      <c r="Q236" s="311">
        <v>7</v>
      </c>
      <c r="R236" s="300"/>
      <c r="S236" s="288"/>
      <c r="T236" s="288"/>
      <c r="U236" s="300"/>
      <c r="V236" s="288"/>
      <c r="W236" s="288"/>
      <c r="X236" s="288"/>
      <c r="Y236" s="300"/>
      <c r="Z236" s="2"/>
      <c r="AC236" s="300"/>
    </row>
    <row r="237" spans="3:29" hidden="1">
      <c r="C237" s="2"/>
      <c r="D237" s="5"/>
      <c r="E237" s="339"/>
      <c r="F237" s="340"/>
      <c r="G237" s="341" t="s">
        <v>156</v>
      </c>
      <c r="H237" s="319">
        <v>7</v>
      </c>
      <c r="I237" s="319">
        <v>60</v>
      </c>
      <c r="J237" s="319" t="str">
        <f t="shared" si="8"/>
        <v>QXK - QUIXA 7 60</v>
      </c>
      <c r="K237" s="320">
        <v>100000</v>
      </c>
      <c r="L237" s="321">
        <v>0.43453519999999995</v>
      </c>
      <c r="M237" s="326"/>
      <c r="N237" s="343" t="s">
        <v>148</v>
      </c>
      <c r="O237" s="310" t="s">
        <v>86</v>
      </c>
      <c r="P237" s="310" t="str">
        <f t="shared" si="7"/>
        <v>UNIPOL CA</v>
      </c>
      <c r="Q237" s="311">
        <v>5</v>
      </c>
      <c r="R237" s="300"/>
      <c r="S237" s="288"/>
      <c r="T237" s="288"/>
      <c r="U237" s="300"/>
      <c r="V237" s="288"/>
      <c r="W237" s="288"/>
      <c r="X237" s="288"/>
      <c r="Y237" s="300"/>
      <c r="Z237" s="2"/>
      <c r="AC237" s="300"/>
    </row>
    <row r="238" spans="3:29" hidden="1">
      <c r="C238" s="2"/>
      <c r="D238" s="5"/>
      <c r="E238" s="339"/>
      <c r="F238" s="340"/>
      <c r="G238" s="341" t="s">
        <v>156</v>
      </c>
      <c r="H238" s="319">
        <v>7</v>
      </c>
      <c r="I238" s="319">
        <v>72</v>
      </c>
      <c r="J238" s="319" t="str">
        <f t="shared" si="8"/>
        <v>QXK - QUIXA 7 72</v>
      </c>
      <c r="K238" s="342">
        <v>100000</v>
      </c>
      <c r="L238" s="321">
        <v>0.51803729999999992</v>
      </c>
      <c r="M238" s="326"/>
      <c r="N238" s="343" t="s">
        <v>148</v>
      </c>
      <c r="O238" s="310" t="s">
        <v>87</v>
      </c>
      <c r="P238" s="310" t="str">
        <f t="shared" si="7"/>
        <v>UNIPOL CB</v>
      </c>
      <c r="Q238" s="311">
        <v>5</v>
      </c>
      <c r="R238" s="300"/>
      <c r="S238" s="288"/>
      <c r="T238" s="288"/>
      <c r="U238" s="300"/>
      <c r="V238" s="288"/>
      <c r="W238" s="288"/>
      <c r="X238" s="288"/>
      <c r="Y238" s="300"/>
      <c r="Z238" s="2"/>
      <c r="AC238" s="300"/>
    </row>
    <row r="239" spans="3:29" hidden="1">
      <c r="C239" s="2"/>
      <c r="D239" s="5"/>
      <c r="E239" s="339"/>
      <c r="F239" s="340"/>
      <c r="G239" s="341" t="s">
        <v>155</v>
      </c>
      <c r="H239" s="319">
        <v>1</v>
      </c>
      <c r="I239" s="319">
        <v>12</v>
      </c>
      <c r="J239" s="319" t="str">
        <f t="shared" si="8"/>
        <v>QXT - QUIXA 1 12</v>
      </c>
      <c r="K239" s="320">
        <v>100000</v>
      </c>
      <c r="L239" s="321">
        <v>8.5250000000000006E-2</v>
      </c>
      <c r="M239" s="326"/>
      <c r="N239" s="343" t="s">
        <v>148</v>
      </c>
      <c r="O239" s="310" t="s">
        <v>144</v>
      </c>
      <c r="P239" s="310" t="str">
        <f t="shared" si="7"/>
        <v>UNIPOL CE</v>
      </c>
      <c r="Q239" s="311">
        <v>6</v>
      </c>
      <c r="R239" s="300"/>
      <c r="S239" s="288"/>
      <c r="T239" s="288"/>
      <c r="U239" s="300"/>
      <c r="V239" s="288"/>
      <c r="W239" s="288"/>
      <c r="X239" s="288"/>
      <c r="Y239" s="300"/>
      <c r="Z239" s="2"/>
      <c r="AC239" s="300"/>
    </row>
    <row r="240" spans="3:29" hidden="1">
      <c r="C240" s="2"/>
      <c r="D240" s="5"/>
      <c r="E240" s="339"/>
      <c r="F240" s="340"/>
      <c r="G240" s="341" t="s">
        <v>155</v>
      </c>
      <c r="H240" s="319">
        <v>1</v>
      </c>
      <c r="I240" s="319">
        <v>24</v>
      </c>
      <c r="J240" s="319" t="str">
        <f t="shared" si="8"/>
        <v>QXT - QUIXA 1 24</v>
      </c>
      <c r="K240" s="320">
        <v>100000</v>
      </c>
      <c r="L240" s="321">
        <v>0.17561499999999999</v>
      </c>
      <c r="M240" s="326"/>
      <c r="N240" s="343" t="s">
        <v>148</v>
      </c>
      <c r="O240" s="310" t="s">
        <v>67</v>
      </c>
      <c r="P240" s="310" t="str">
        <f t="shared" si="7"/>
        <v>UNIPOL CH</v>
      </c>
      <c r="Q240" s="311">
        <v>4</v>
      </c>
      <c r="R240" s="300"/>
      <c r="S240" s="288"/>
      <c r="T240" s="288"/>
      <c r="U240" s="300"/>
      <c r="V240" s="288"/>
      <c r="W240" s="288"/>
      <c r="X240" s="288"/>
      <c r="Y240" s="300"/>
      <c r="Z240" s="2"/>
      <c r="AC240" s="300"/>
    </row>
    <row r="241" spans="3:29" hidden="1">
      <c r="C241" s="2"/>
      <c r="D241" s="5"/>
      <c r="E241" s="339"/>
      <c r="F241" s="340"/>
      <c r="G241" s="341" t="s">
        <v>155</v>
      </c>
      <c r="H241" s="319">
        <v>1</v>
      </c>
      <c r="I241" s="319">
        <v>36</v>
      </c>
      <c r="J241" s="319" t="str">
        <f t="shared" si="8"/>
        <v>QXT - QUIXA 1 36</v>
      </c>
      <c r="K241" s="320">
        <v>100000</v>
      </c>
      <c r="L241" s="321">
        <v>0.27109499999999997</v>
      </c>
      <c r="M241" s="326"/>
      <c r="N241" s="343" t="s">
        <v>148</v>
      </c>
      <c r="O241" s="310" t="s">
        <v>88</v>
      </c>
      <c r="P241" s="310" t="str">
        <f t="shared" si="7"/>
        <v>UNIPOL CL</v>
      </c>
      <c r="Q241" s="311">
        <v>5</v>
      </c>
      <c r="R241" s="300"/>
      <c r="S241" s="288"/>
      <c r="T241" s="288"/>
      <c r="U241" s="300"/>
      <c r="V241" s="288"/>
      <c r="W241" s="288"/>
      <c r="X241" s="288"/>
      <c r="Y241" s="300"/>
      <c r="Z241" s="2"/>
      <c r="AC241" s="300"/>
    </row>
    <row r="242" spans="3:29" hidden="1">
      <c r="C242" s="2"/>
      <c r="D242" s="5"/>
      <c r="E242" s="339"/>
      <c r="F242" s="340"/>
      <c r="G242" s="341" t="s">
        <v>155</v>
      </c>
      <c r="H242" s="319">
        <v>1</v>
      </c>
      <c r="I242" s="319">
        <v>48</v>
      </c>
      <c r="J242" s="319" t="str">
        <f t="shared" si="8"/>
        <v>QXT - QUIXA 1 48</v>
      </c>
      <c r="K242" s="320">
        <v>100000</v>
      </c>
      <c r="L242" s="321">
        <v>0.37254300000000001</v>
      </c>
      <c r="M242" s="326"/>
      <c r="N242" s="343" t="s">
        <v>148</v>
      </c>
      <c r="O242" s="310" t="s">
        <v>89</v>
      </c>
      <c r="P242" s="310" t="str">
        <f t="shared" si="7"/>
        <v>UNIPOL CN</v>
      </c>
      <c r="Q242" s="311">
        <v>5</v>
      </c>
      <c r="R242" s="300"/>
      <c r="S242" s="288"/>
      <c r="T242" s="288"/>
      <c r="U242" s="300"/>
      <c r="V242" s="288"/>
      <c r="W242" s="288"/>
      <c r="X242" s="288"/>
      <c r="Y242" s="300"/>
      <c r="Z242" s="2"/>
      <c r="AC242" s="300"/>
    </row>
    <row r="243" spans="3:29" hidden="1">
      <c r="C243" s="2"/>
      <c r="D243" s="5"/>
      <c r="E243" s="339"/>
      <c r="F243" s="340"/>
      <c r="G243" s="341" t="s">
        <v>155</v>
      </c>
      <c r="H243" s="319">
        <v>1</v>
      </c>
      <c r="I243" s="319">
        <v>60</v>
      </c>
      <c r="J243" s="319" t="str">
        <f t="shared" si="8"/>
        <v>QXT - QUIXA 1 60</v>
      </c>
      <c r="K243" s="320">
        <v>100000</v>
      </c>
      <c r="L243" s="321">
        <v>0.45694000000000001</v>
      </c>
      <c r="M243" s="326"/>
      <c r="N243" s="343" t="s">
        <v>148</v>
      </c>
      <c r="O243" s="310" t="s">
        <v>90</v>
      </c>
      <c r="P243" s="310" t="str">
        <f t="shared" si="7"/>
        <v>UNIPOL CO</v>
      </c>
      <c r="Q243" s="311">
        <v>5</v>
      </c>
      <c r="R243" s="300"/>
      <c r="S243" s="288"/>
      <c r="T243" s="288"/>
      <c r="U243" s="300"/>
      <c r="V243" s="288"/>
      <c r="W243" s="288"/>
      <c r="X243" s="288"/>
      <c r="Y243" s="300"/>
      <c r="Z243" s="2"/>
      <c r="AC243" s="300"/>
    </row>
    <row r="244" spans="3:29" hidden="1">
      <c r="C244" s="2"/>
      <c r="D244" s="5"/>
      <c r="E244" s="339"/>
      <c r="F244" s="340"/>
      <c r="G244" s="341" t="s">
        <v>155</v>
      </c>
      <c r="H244" s="319">
        <v>1</v>
      </c>
      <c r="I244" s="319">
        <v>72</v>
      </c>
      <c r="J244" s="319" t="str">
        <f t="shared" si="8"/>
        <v>QXT - QUIXA 1 72</v>
      </c>
      <c r="K244" s="320">
        <v>100000</v>
      </c>
      <c r="L244" s="321">
        <v>0.54474800000000001</v>
      </c>
      <c r="M244" s="326"/>
      <c r="N244" s="343" t="s">
        <v>148</v>
      </c>
      <c r="O244" s="310" t="s">
        <v>91</v>
      </c>
      <c r="P244" s="310" t="str">
        <f t="shared" si="7"/>
        <v>UNIPOL CR</v>
      </c>
      <c r="Q244" s="311">
        <v>5</v>
      </c>
      <c r="R244" s="300"/>
      <c r="S244" s="288"/>
      <c r="T244" s="288"/>
      <c r="U244" s="300"/>
      <c r="V244" s="288"/>
      <c r="W244" s="288"/>
      <c r="X244" s="288"/>
      <c r="Y244" s="300"/>
      <c r="Z244" s="2"/>
      <c r="AC244" s="300"/>
    </row>
    <row r="245" spans="3:29" hidden="1">
      <c r="C245" s="2"/>
      <c r="D245" s="5"/>
      <c r="E245" s="339"/>
      <c r="F245" s="340"/>
      <c r="G245" s="341" t="s">
        <v>155</v>
      </c>
      <c r="H245" s="336">
        <v>2</v>
      </c>
      <c r="I245" s="336">
        <v>12</v>
      </c>
      <c r="J245" s="336" t="str">
        <f t="shared" si="8"/>
        <v>QXT - QUIXA 2 12</v>
      </c>
      <c r="K245" s="337">
        <v>100000</v>
      </c>
      <c r="L245" s="332">
        <v>6.9199999999999998E-2</v>
      </c>
      <c r="M245" s="326"/>
      <c r="N245" s="343" t="s">
        <v>148</v>
      </c>
      <c r="O245" s="310" t="s">
        <v>54</v>
      </c>
      <c r="P245" s="310" t="str">
        <f t="shared" si="7"/>
        <v>UNIPOL CS</v>
      </c>
      <c r="Q245" s="311">
        <v>3</v>
      </c>
      <c r="R245" s="300"/>
      <c r="S245" s="288"/>
      <c r="T245" s="288"/>
      <c r="U245" s="300"/>
      <c r="V245" s="288"/>
      <c r="W245" s="288"/>
      <c r="X245" s="288"/>
      <c r="Y245" s="300"/>
      <c r="Z245" s="2"/>
      <c r="AC245" s="300"/>
    </row>
    <row r="246" spans="3:29" hidden="1">
      <c r="C246" s="2"/>
      <c r="D246" s="5"/>
      <c r="E246" s="339"/>
      <c r="F246" s="340"/>
      <c r="G246" s="341" t="s">
        <v>155</v>
      </c>
      <c r="H246" s="336">
        <v>2</v>
      </c>
      <c r="I246" s="336">
        <v>24</v>
      </c>
      <c r="J246" s="336" t="str">
        <f t="shared" si="8"/>
        <v>QXT - QUIXA 2 24</v>
      </c>
      <c r="K246" s="337">
        <v>100000</v>
      </c>
      <c r="L246" s="332">
        <v>0.14255200000000001</v>
      </c>
      <c r="M246" s="326"/>
      <c r="N246" s="343" t="s">
        <v>148</v>
      </c>
      <c r="O246" s="310" t="s">
        <v>55</v>
      </c>
      <c r="P246" s="310" t="str">
        <f t="shared" si="7"/>
        <v>UNIPOL CT</v>
      </c>
      <c r="Q246" s="311">
        <v>3</v>
      </c>
      <c r="R246" s="300"/>
      <c r="S246" s="288"/>
      <c r="T246" s="288"/>
      <c r="U246" s="300"/>
      <c r="V246" s="288"/>
      <c r="W246" s="288"/>
      <c r="X246" s="288"/>
      <c r="Y246" s="300"/>
      <c r="Z246" s="2"/>
      <c r="AC246" s="300"/>
    </row>
    <row r="247" spans="3:29" hidden="1">
      <c r="C247" s="2"/>
      <c r="D247" s="5"/>
      <c r="E247" s="339"/>
      <c r="F247" s="340"/>
      <c r="G247" s="341" t="s">
        <v>155</v>
      </c>
      <c r="H247" s="336">
        <v>2</v>
      </c>
      <c r="I247" s="336">
        <v>36</v>
      </c>
      <c r="J247" s="336" t="str">
        <f t="shared" si="8"/>
        <v>QXT - QUIXA 2 36</v>
      </c>
      <c r="K247" s="337">
        <v>100000</v>
      </c>
      <c r="L247" s="332">
        <v>0.220056</v>
      </c>
      <c r="M247" s="326"/>
      <c r="N247" s="343" t="s">
        <v>148</v>
      </c>
      <c r="O247" s="310" t="s">
        <v>56</v>
      </c>
      <c r="P247" s="310" t="str">
        <f t="shared" si="7"/>
        <v>UNIPOL CZ</v>
      </c>
      <c r="Q247" s="311">
        <v>3</v>
      </c>
      <c r="R247" s="300"/>
      <c r="S247" s="288"/>
      <c r="T247" s="288"/>
      <c r="U247" s="300"/>
      <c r="V247" s="288"/>
      <c r="W247" s="288"/>
      <c r="X247" s="288"/>
      <c r="Y247" s="300"/>
      <c r="Z247" s="2"/>
      <c r="AC247" s="300"/>
    </row>
    <row r="248" spans="3:29" hidden="1">
      <c r="C248" s="2"/>
      <c r="D248" s="5"/>
      <c r="E248" s="339"/>
      <c r="F248" s="340"/>
      <c r="G248" s="341" t="s">
        <v>155</v>
      </c>
      <c r="H248" s="336">
        <v>2</v>
      </c>
      <c r="I248" s="336">
        <v>48</v>
      </c>
      <c r="J248" s="336" t="str">
        <f t="shared" si="8"/>
        <v>QXT - QUIXA 2 48</v>
      </c>
      <c r="K248" s="337">
        <v>100000</v>
      </c>
      <c r="L248" s="332">
        <v>0.30240400000000001</v>
      </c>
      <c r="M248" s="326"/>
      <c r="N248" s="343" t="s">
        <v>148</v>
      </c>
      <c r="O248" s="310" t="s">
        <v>68</v>
      </c>
      <c r="P248" s="310" t="str">
        <f t="shared" si="7"/>
        <v>UNIPOL EN</v>
      </c>
      <c r="Q248" s="311">
        <v>4</v>
      </c>
      <c r="R248" s="300"/>
      <c r="S248" s="288"/>
      <c r="T248" s="288"/>
      <c r="U248" s="300"/>
      <c r="V248" s="288"/>
      <c r="W248" s="288"/>
      <c r="X248" s="288"/>
      <c r="Y248" s="300"/>
      <c r="Z248" s="2"/>
      <c r="AC248" s="300"/>
    </row>
    <row r="249" spans="3:29" hidden="1">
      <c r="C249" s="2"/>
      <c r="D249" s="5"/>
      <c r="E249" s="339"/>
      <c r="F249" s="340"/>
      <c r="G249" s="341" t="s">
        <v>155</v>
      </c>
      <c r="H249" s="336">
        <v>2</v>
      </c>
      <c r="I249" s="336">
        <v>60</v>
      </c>
      <c r="J249" s="336" t="str">
        <f t="shared" si="8"/>
        <v>QXT - QUIXA 2 60</v>
      </c>
      <c r="K249" s="337">
        <v>100000</v>
      </c>
      <c r="L249" s="332">
        <v>0.37091200000000002</v>
      </c>
      <c r="M249" s="326"/>
      <c r="N249" s="343" t="s">
        <v>148</v>
      </c>
      <c r="O249" s="310" t="s">
        <v>92</v>
      </c>
      <c r="P249" s="310" t="str">
        <f t="shared" si="7"/>
        <v>UNIPOL FC</v>
      </c>
      <c r="Q249" s="311">
        <v>5</v>
      </c>
      <c r="R249" s="300"/>
      <c r="S249" s="288"/>
      <c r="T249" s="288"/>
      <c r="U249" s="300"/>
      <c r="V249" s="288"/>
      <c r="W249" s="288"/>
      <c r="X249" s="288"/>
      <c r="Y249" s="300"/>
      <c r="Z249" s="2"/>
      <c r="AC249" s="300"/>
    </row>
    <row r="250" spans="3:29" hidden="1">
      <c r="C250" s="2"/>
      <c r="D250" s="5"/>
      <c r="E250" s="339"/>
      <c r="F250" s="340"/>
      <c r="G250" s="341" t="s">
        <v>155</v>
      </c>
      <c r="H250" s="336">
        <v>2</v>
      </c>
      <c r="I250" s="336">
        <v>72</v>
      </c>
      <c r="J250" s="336" t="str">
        <f t="shared" si="8"/>
        <v>QXT - QUIXA 2 72</v>
      </c>
      <c r="K250" s="337">
        <v>100000</v>
      </c>
      <c r="L250" s="332">
        <v>0.44218800000000003</v>
      </c>
      <c r="M250" s="326"/>
      <c r="N250" s="343" t="s">
        <v>148</v>
      </c>
      <c r="O250" s="310" t="s">
        <v>69</v>
      </c>
      <c r="P250" s="310" t="str">
        <f t="shared" si="7"/>
        <v>UNIPOL FE</v>
      </c>
      <c r="Q250" s="311">
        <v>4</v>
      </c>
      <c r="R250" s="300"/>
      <c r="S250" s="288"/>
      <c r="T250" s="288"/>
      <c r="U250" s="300"/>
      <c r="V250" s="288"/>
      <c r="W250" s="288"/>
      <c r="X250" s="288"/>
      <c r="Y250" s="300"/>
      <c r="Z250" s="2"/>
      <c r="AC250" s="300"/>
    </row>
    <row r="251" spans="3:29" hidden="1">
      <c r="C251" s="2"/>
      <c r="D251" s="5"/>
      <c r="E251" s="339"/>
      <c r="F251" s="340"/>
      <c r="G251" s="341" t="s">
        <v>155</v>
      </c>
      <c r="H251" s="319">
        <v>3</v>
      </c>
      <c r="I251" s="319">
        <v>12</v>
      </c>
      <c r="J251" s="319" t="str">
        <f t="shared" si="8"/>
        <v>QXT - QUIXA 3 12</v>
      </c>
      <c r="K251" s="320">
        <v>100000</v>
      </c>
      <c r="L251" s="321">
        <v>4.3639999999999998E-2</v>
      </c>
      <c r="M251" s="326"/>
      <c r="N251" s="343" t="s">
        <v>148</v>
      </c>
      <c r="O251" s="310" t="s">
        <v>40</v>
      </c>
      <c r="P251" s="310" t="str">
        <f t="shared" si="7"/>
        <v>UNIPOL FG</v>
      </c>
      <c r="Q251" s="311">
        <v>1</v>
      </c>
      <c r="R251" s="300"/>
      <c r="S251" s="288"/>
      <c r="T251" s="288"/>
      <c r="U251" s="300"/>
      <c r="V251" s="288"/>
      <c r="W251" s="288"/>
      <c r="X251" s="288"/>
      <c r="Y251" s="300"/>
      <c r="Z251" s="2"/>
      <c r="AC251" s="300"/>
    </row>
    <row r="252" spans="3:29" hidden="1">
      <c r="C252" s="2"/>
      <c r="D252" s="5"/>
      <c r="E252" s="339"/>
      <c r="F252" s="340"/>
      <c r="G252" s="341" t="s">
        <v>155</v>
      </c>
      <c r="H252" s="319">
        <v>3</v>
      </c>
      <c r="I252" s="319">
        <v>24</v>
      </c>
      <c r="J252" s="319" t="str">
        <f t="shared" si="8"/>
        <v>QXT - QUIXA 3 24</v>
      </c>
      <c r="K252" s="320">
        <v>100000</v>
      </c>
      <c r="L252" s="321">
        <v>8.9898000000000006E-2</v>
      </c>
      <c r="M252" s="326"/>
      <c r="N252" s="343" t="s">
        <v>148</v>
      </c>
      <c r="O252" s="310" t="s">
        <v>93</v>
      </c>
      <c r="P252" s="310" t="str">
        <f t="shared" si="7"/>
        <v>UNIPOL FI</v>
      </c>
      <c r="Q252" s="311">
        <v>5</v>
      </c>
      <c r="R252" s="300"/>
      <c r="S252" s="288"/>
      <c r="T252" s="288"/>
      <c r="U252" s="300"/>
      <c r="V252" s="288"/>
      <c r="W252" s="288"/>
      <c r="X252" s="288"/>
      <c r="Y252" s="300"/>
      <c r="Z252" s="2"/>
      <c r="AC252" s="300"/>
    </row>
    <row r="253" spans="3:29" hidden="1">
      <c r="C253" s="2"/>
      <c r="D253" s="5"/>
      <c r="E253" s="339"/>
      <c r="F253" s="340"/>
      <c r="G253" s="341" t="s">
        <v>155</v>
      </c>
      <c r="H253" s="319">
        <v>3</v>
      </c>
      <c r="I253" s="319">
        <v>36</v>
      </c>
      <c r="J253" s="319" t="str">
        <f t="shared" si="8"/>
        <v>QXT - QUIXA 3 36</v>
      </c>
      <c r="K253" s="320">
        <v>100000</v>
      </c>
      <c r="L253" s="321">
        <v>0.13877500000000001</v>
      </c>
      <c r="M253" s="326"/>
      <c r="N253" s="343" t="s">
        <v>148</v>
      </c>
      <c r="O253" s="310" t="s">
        <v>94</v>
      </c>
      <c r="P253" s="310" t="str">
        <f t="shared" si="7"/>
        <v>UNIPOL FM</v>
      </c>
      <c r="Q253" s="311">
        <v>5</v>
      </c>
      <c r="R253" s="300"/>
      <c r="S253" s="288"/>
      <c r="T253" s="288"/>
      <c r="U253" s="300"/>
      <c r="V253" s="288"/>
      <c r="W253" s="288"/>
      <c r="X253" s="288"/>
      <c r="Y253" s="300"/>
      <c r="Z253" s="2"/>
      <c r="AC253" s="300"/>
    </row>
    <row r="254" spans="3:29" hidden="1">
      <c r="C254" s="2"/>
      <c r="D254" s="5"/>
      <c r="E254" s="339"/>
      <c r="F254" s="340"/>
      <c r="G254" s="341" t="s">
        <v>155</v>
      </c>
      <c r="H254" s="319">
        <v>3</v>
      </c>
      <c r="I254" s="319">
        <v>48</v>
      </c>
      <c r="J254" s="319" t="str">
        <f t="shared" si="8"/>
        <v>QXT - QUIXA 3 48</v>
      </c>
      <c r="K254" s="320">
        <v>100000</v>
      </c>
      <c r="L254" s="321">
        <v>0.19070699999999999</v>
      </c>
      <c r="M254" s="326"/>
      <c r="N254" s="343" t="s">
        <v>148</v>
      </c>
      <c r="O254" s="310" t="s">
        <v>57</v>
      </c>
      <c r="P254" s="310" t="str">
        <f t="shared" si="7"/>
        <v>UNIPOL FR</v>
      </c>
      <c r="Q254" s="311">
        <v>3</v>
      </c>
      <c r="R254" s="300"/>
      <c r="S254" s="288"/>
      <c r="T254" s="288"/>
      <c r="U254" s="300"/>
      <c r="V254" s="288"/>
      <c r="W254" s="288"/>
      <c r="X254" s="288"/>
      <c r="Y254" s="300"/>
      <c r="Z254" s="2"/>
      <c r="AC254" s="300"/>
    </row>
    <row r="255" spans="3:29" hidden="1">
      <c r="C255" s="2"/>
      <c r="D255" s="5"/>
      <c r="E255" s="339"/>
      <c r="F255" s="340"/>
      <c r="G255" s="341" t="s">
        <v>155</v>
      </c>
      <c r="H255" s="319">
        <v>3</v>
      </c>
      <c r="I255" s="319">
        <v>60</v>
      </c>
      <c r="J255" s="319" t="str">
        <f t="shared" si="8"/>
        <v>QXT - QUIXA 3 60</v>
      </c>
      <c r="K255" s="320">
        <v>100000</v>
      </c>
      <c r="L255" s="321">
        <v>0.23391000000000001</v>
      </c>
      <c r="M255" s="326"/>
      <c r="N255" s="343" t="s">
        <v>148</v>
      </c>
      <c r="O255" s="310" t="s">
        <v>95</v>
      </c>
      <c r="P255" s="310" t="str">
        <f t="shared" si="7"/>
        <v>UNIPOL GE</v>
      </c>
      <c r="Q255" s="311">
        <v>5</v>
      </c>
      <c r="R255" s="300"/>
      <c r="S255" s="288"/>
      <c r="T255" s="288"/>
      <c r="U255" s="300"/>
      <c r="V255" s="288"/>
      <c r="W255" s="288"/>
      <c r="X255" s="288"/>
      <c r="Y255" s="300"/>
      <c r="Z255" s="2"/>
      <c r="AC255" s="300"/>
    </row>
    <row r="256" spans="3:29" hidden="1">
      <c r="C256" s="2"/>
      <c r="D256" s="5"/>
      <c r="E256" s="339"/>
      <c r="F256" s="340"/>
      <c r="G256" s="341" t="s">
        <v>155</v>
      </c>
      <c r="H256" s="319">
        <v>3</v>
      </c>
      <c r="I256" s="319">
        <v>72</v>
      </c>
      <c r="J256" s="319" t="str">
        <f t="shared" si="8"/>
        <v>QXT - QUIXA 3 72</v>
      </c>
      <c r="K256" s="320">
        <v>100000</v>
      </c>
      <c r="L256" s="321">
        <v>0.27886</v>
      </c>
      <c r="M256" s="326"/>
      <c r="N256" s="343" t="s">
        <v>148</v>
      </c>
      <c r="O256" s="310" t="s">
        <v>96</v>
      </c>
      <c r="P256" s="310" t="str">
        <f t="shared" si="7"/>
        <v>UNIPOL GO</v>
      </c>
      <c r="Q256" s="311">
        <v>5</v>
      </c>
      <c r="R256" s="300"/>
      <c r="S256" s="288"/>
      <c r="T256" s="288"/>
      <c r="U256" s="300"/>
      <c r="V256" s="288"/>
      <c r="W256" s="288"/>
      <c r="X256" s="288"/>
      <c r="Y256" s="300"/>
      <c r="Z256" s="2"/>
      <c r="AC256" s="300"/>
    </row>
    <row r="257" spans="3:29" hidden="1">
      <c r="C257" s="2"/>
      <c r="D257" s="5"/>
      <c r="E257" s="339"/>
      <c r="F257" s="340"/>
      <c r="G257" s="341" t="s">
        <v>155</v>
      </c>
      <c r="H257" s="336">
        <v>4</v>
      </c>
      <c r="I257" s="336">
        <v>12</v>
      </c>
      <c r="J257" s="336" t="str">
        <f t="shared" si="8"/>
        <v>QXT - QUIXA 4 12</v>
      </c>
      <c r="K257" s="337">
        <v>100000</v>
      </c>
      <c r="L257" s="332">
        <v>4.1230000000000003E-2</v>
      </c>
      <c r="M257" s="326"/>
      <c r="N257" s="343" t="s">
        <v>148</v>
      </c>
      <c r="O257" s="310" t="s">
        <v>97</v>
      </c>
      <c r="P257" s="310" t="str">
        <f t="shared" si="7"/>
        <v>UNIPOL GR</v>
      </c>
      <c r="Q257" s="311">
        <v>5</v>
      </c>
      <c r="R257" s="300"/>
      <c r="S257" s="288"/>
      <c r="T257" s="288"/>
      <c r="U257" s="300"/>
      <c r="V257" s="288"/>
      <c r="W257" s="288"/>
      <c r="X257" s="288"/>
      <c r="Y257" s="300"/>
      <c r="Z257" s="2"/>
      <c r="AC257" s="300"/>
    </row>
    <row r="258" spans="3:29" hidden="1">
      <c r="C258" s="2"/>
      <c r="D258" s="5"/>
      <c r="E258" s="339"/>
      <c r="F258" s="340"/>
      <c r="G258" s="341" t="s">
        <v>155</v>
      </c>
      <c r="H258" s="336">
        <v>4</v>
      </c>
      <c r="I258" s="336">
        <v>24</v>
      </c>
      <c r="J258" s="336" t="str">
        <f t="shared" si="8"/>
        <v>QXT - QUIXA 4 24</v>
      </c>
      <c r="K258" s="337">
        <v>100000</v>
      </c>
      <c r="L258" s="332">
        <v>8.4933999999999996E-2</v>
      </c>
      <c r="M258" s="326"/>
      <c r="N258" s="343" t="s">
        <v>148</v>
      </c>
      <c r="O258" s="310" t="s">
        <v>70</v>
      </c>
      <c r="P258" s="310" t="str">
        <f t="shared" si="7"/>
        <v>UNIPOL IM</v>
      </c>
      <c r="Q258" s="311">
        <v>4</v>
      </c>
      <c r="R258" s="300"/>
      <c r="S258" s="288"/>
      <c r="T258" s="288"/>
      <c r="U258" s="300"/>
      <c r="V258" s="288"/>
      <c r="W258" s="288"/>
      <c r="X258" s="288"/>
      <c r="Y258" s="300"/>
      <c r="Z258" s="2"/>
      <c r="AC258" s="300"/>
    </row>
    <row r="259" spans="3:29" hidden="1">
      <c r="C259" s="2"/>
      <c r="D259" s="5"/>
      <c r="E259" s="339"/>
      <c r="F259" s="340"/>
      <c r="G259" s="341" t="s">
        <v>155</v>
      </c>
      <c r="H259" s="336">
        <v>4</v>
      </c>
      <c r="I259" s="336">
        <v>36</v>
      </c>
      <c r="J259" s="336" t="str">
        <f t="shared" si="8"/>
        <v>QXT - QUIXA 4 36</v>
      </c>
      <c r="K259" s="337">
        <v>100000</v>
      </c>
      <c r="L259" s="332">
        <v>0.13111100000000001</v>
      </c>
      <c r="M259" s="326"/>
      <c r="N259" s="343" t="s">
        <v>148</v>
      </c>
      <c r="O259" s="310" t="s">
        <v>71</v>
      </c>
      <c r="P259" s="310" t="str">
        <f t="shared" si="7"/>
        <v>UNIPOL IS</v>
      </c>
      <c r="Q259" s="311">
        <v>4</v>
      </c>
      <c r="R259" s="300"/>
      <c r="S259" s="288"/>
      <c r="T259" s="288"/>
      <c r="U259" s="300"/>
      <c r="V259" s="288"/>
      <c r="W259" s="288"/>
      <c r="X259" s="288"/>
      <c r="Y259" s="300"/>
      <c r="Z259" s="2"/>
      <c r="AC259" s="300"/>
    </row>
    <row r="260" spans="3:29" hidden="1">
      <c r="C260" s="2"/>
      <c r="D260" s="5"/>
      <c r="E260" s="339"/>
      <c r="F260" s="340"/>
      <c r="G260" s="341" t="s">
        <v>155</v>
      </c>
      <c r="H260" s="336">
        <v>4</v>
      </c>
      <c r="I260" s="336">
        <v>48</v>
      </c>
      <c r="J260" s="336" t="str">
        <f t="shared" si="8"/>
        <v>QXT - QUIXA 4 48</v>
      </c>
      <c r="K260" s="337">
        <v>100000</v>
      </c>
      <c r="L260" s="332">
        <v>0.180175</v>
      </c>
      <c r="M260" s="326"/>
      <c r="N260" s="343" t="s">
        <v>148</v>
      </c>
      <c r="O260" s="310" t="s">
        <v>43</v>
      </c>
      <c r="P260" s="310" t="str">
        <f t="shared" ref="P260:P323" si="9">CONCATENATE(N260," ",O260)</f>
        <v>UNIPOL KR</v>
      </c>
      <c r="Q260" s="311">
        <v>2</v>
      </c>
      <c r="R260" s="300"/>
      <c r="S260" s="288"/>
      <c r="T260" s="288"/>
      <c r="U260" s="300"/>
      <c r="V260" s="288"/>
      <c r="W260" s="288"/>
      <c r="X260" s="288"/>
      <c r="Y260" s="300"/>
      <c r="Z260" s="2"/>
      <c r="AC260" s="300"/>
    </row>
    <row r="261" spans="3:29" hidden="1">
      <c r="C261" s="2"/>
      <c r="D261" s="5"/>
      <c r="E261" s="339"/>
      <c r="F261" s="340"/>
      <c r="G261" s="341" t="s">
        <v>155</v>
      </c>
      <c r="H261" s="336">
        <v>4</v>
      </c>
      <c r="I261" s="336">
        <v>60</v>
      </c>
      <c r="J261" s="336" t="str">
        <f t="shared" ref="J261:J324" si="10">CONCATENATE(G261," ",H261," ",I261)</f>
        <v>QXT - QUIXA 4 60</v>
      </c>
      <c r="K261" s="337">
        <v>100000</v>
      </c>
      <c r="L261" s="332">
        <v>0.22099299999999999</v>
      </c>
      <c r="M261" s="326"/>
      <c r="N261" s="343" t="s">
        <v>148</v>
      </c>
      <c r="O261" s="310" t="s">
        <v>98</v>
      </c>
      <c r="P261" s="310" t="str">
        <f t="shared" si="9"/>
        <v>UNIPOL LC</v>
      </c>
      <c r="Q261" s="311">
        <v>5</v>
      </c>
      <c r="R261" s="300"/>
      <c r="S261" s="288"/>
      <c r="T261" s="288"/>
      <c r="U261" s="300"/>
      <c r="V261" s="288"/>
      <c r="W261" s="288"/>
      <c r="X261" s="288"/>
      <c r="Y261" s="300"/>
      <c r="Z261" s="2"/>
      <c r="AC261" s="300"/>
    </row>
    <row r="262" spans="3:29" hidden="1">
      <c r="C262" s="2"/>
      <c r="D262" s="5"/>
      <c r="E262" s="339"/>
      <c r="F262" s="340"/>
      <c r="G262" s="341" t="s">
        <v>155</v>
      </c>
      <c r="H262" s="336">
        <v>4</v>
      </c>
      <c r="I262" s="336">
        <v>72</v>
      </c>
      <c r="J262" s="336" t="str">
        <f t="shared" si="10"/>
        <v>QXT - QUIXA 4 72</v>
      </c>
      <c r="K262" s="337">
        <v>100000</v>
      </c>
      <c r="L262" s="332">
        <v>0.26346000000000003</v>
      </c>
      <c r="M262" s="326"/>
      <c r="N262" s="343" t="s">
        <v>148</v>
      </c>
      <c r="O262" s="310" t="s">
        <v>44</v>
      </c>
      <c r="P262" s="310" t="str">
        <f t="shared" si="9"/>
        <v>UNIPOL LE</v>
      </c>
      <c r="Q262" s="311">
        <v>2</v>
      </c>
      <c r="R262" s="300"/>
      <c r="S262" s="288"/>
      <c r="T262" s="288"/>
      <c r="U262" s="300"/>
      <c r="V262" s="288"/>
      <c r="W262" s="288"/>
      <c r="X262" s="288"/>
      <c r="Y262" s="300"/>
      <c r="Z262" s="2"/>
      <c r="AC262" s="300"/>
    </row>
    <row r="263" spans="3:29" hidden="1">
      <c r="C263" s="2"/>
      <c r="D263" s="5"/>
      <c r="E263" s="339"/>
      <c r="F263" s="340"/>
      <c r="G263" s="341" t="s">
        <v>155</v>
      </c>
      <c r="H263" s="319">
        <v>5</v>
      </c>
      <c r="I263" s="319">
        <v>12</v>
      </c>
      <c r="J263" s="319" t="str">
        <f t="shared" si="10"/>
        <v>QXT - QUIXA 5 12</v>
      </c>
      <c r="K263" s="320">
        <v>100000</v>
      </c>
      <c r="L263" s="321">
        <v>3.117E-2</v>
      </c>
      <c r="M263" s="326"/>
      <c r="N263" s="343" t="s">
        <v>148</v>
      </c>
      <c r="O263" s="310" t="s">
        <v>99</v>
      </c>
      <c r="P263" s="310" t="str">
        <f t="shared" si="9"/>
        <v>UNIPOL LI</v>
      </c>
      <c r="Q263" s="311">
        <v>5</v>
      </c>
      <c r="R263" s="300"/>
      <c r="S263" s="288"/>
      <c r="T263" s="288"/>
      <c r="U263" s="300"/>
      <c r="V263" s="288"/>
      <c r="W263" s="288"/>
      <c r="X263" s="288"/>
      <c r="Y263" s="300"/>
      <c r="Z263" s="2"/>
      <c r="AC263" s="300"/>
    </row>
    <row r="264" spans="3:29" hidden="1">
      <c r="C264" s="2"/>
      <c r="D264" s="5"/>
      <c r="E264" s="339"/>
      <c r="F264" s="340"/>
      <c r="G264" s="341" t="s">
        <v>155</v>
      </c>
      <c r="H264" s="319">
        <v>5</v>
      </c>
      <c r="I264" s="319">
        <v>24</v>
      </c>
      <c r="J264" s="319" t="str">
        <f t="shared" si="10"/>
        <v>QXT - QUIXA 5 24</v>
      </c>
      <c r="K264" s="320">
        <v>100000</v>
      </c>
      <c r="L264" s="321">
        <v>6.4210000000000003E-2</v>
      </c>
      <c r="M264" s="326"/>
      <c r="N264" s="343" t="s">
        <v>148</v>
      </c>
      <c r="O264" s="310" t="s">
        <v>100</v>
      </c>
      <c r="P264" s="310" t="str">
        <f t="shared" si="9"/>
        <v>UNIPOL LO</v>
      </c>
      <c r="Q264" s="311">
        <v>5</v>
      </c>
      <c r="R264" s="300"/>
      <c r="S264" s="288"/>
      <c r="T264" s="288"/>
      <c r="U264" s="300"/>
      <c r="V264" s="288"/>
      <c r="W264" s="288"/>
      <c r="X264" s="288"/>
      <c r="Y264" s="300"/>
      <c r="Z264" s="2"/>
      <c r="AC264" s="300"/>
    </row>
    <row r="265" spans="3:29" hidden="1">
      <c r="C265" s="2"/>
      <c r="D265" s="5"/>
      <c r="E265" s="339"/>
      <c r="F265" s="340"/>
      <c r="G265" s="341" t="s">
        <v>155</v>
      </c>
      <c r="H265" s="319">
        <v>5</v>
      </c>
      <c r="I265" s="319">
        <v>36</v>
      </c>
      <c r="J265" s="319" t="str">
        <f t="shared" si="10"/>
        <v>QXT - QUIXA 5 36</v>
      </c>
      <c r="K265" s="320">
        <v>100000</v>
      </c>
      <c r="L265" s="321">
        <v>9.9121000000000001E-2</v>
      </c>
      <c r="M265" s="326"/>
      <c r="N265" s="343" t="s">
        <v>148</v>
      </c>
      <c r="O265" s="310" t="s">
        <v>101</v>
      </c>
      <c r="P265" s="310" t="str">
        <f t="shared" si="9"/>
        <v>UNIPOL LT</v>
      </c>
      <c r="Q265" s="311">
        <v>5</v>
      </c>
      <c r="R265" s="300"/>
      <c r="S265" s="288"/>
      <c r="T265" s="288"/>
      <c r="U265" s="300"/>
      <c r="V265" s="288"/>
      <c r="W265" s="288"/>
      <c r="X265" s="288"/>
      <c r="Y265" s="300"/>
      <c r="Z265" s="2"/>
      <c r="AC265" s="300"/>
    </row>
    <row r="266" spans="3:29" hidden="1">
      <c r="C266" s="2"/>
      <c r="D266" s="5"/>
      <c r="E266" s="339"/>
      <c r="F266" s="340"/>
      <c r="G266" s="341" t="s">
        <v>155</v>
      </c>
      <c r="H266" s="319">
        <v>5</v>
      </c>
      <c r="I266" s="319">
        <v>48</v>
      </c>
      <c r="J266" s="319" t="str">
        <f t="shared" si="10"/>
        <v>QXT - QUIXA 5 48</v>
      </c>
      <c r="K266" s="320">
        <v>100000</v>
      </c>
      <c r="L266" s="321">
        <v>0.136213</v>
      </c>
      <c r="M266" s="326"/>
      <c r="N266" s="343" t="s">
        <v>148</v>
      </c>
      <c r="O266" s="310" t="s">
        <v>102</v>
      </c>
      <c r="P266" s="310" t="str">
        <f t="shared" si="9"/>
        <v>UNIPOL LU</v>
      </c>
      <c r="Q266" s="311">
        <v>5</v>
      </c>
      <c r="R266" s="300"/>
      <c r="S266" s="288"/>
      <c r="T266" s="288"/>
      <c r="U266" s="300"/>
      <c r="V266" s="288"/>
      <c r="W266" s="288"/>
      <c r="X266" s="288"/>
      <c r="Y266" s="300"/>
      <c r="Z266" s="2"/>
      <c r="AC266" s="300"/>
    </row>
    <row r="267" spans="3:29" hidden="1">
      <c r="C267" s="2"/>
      <c r="D267" s="5"/>
      <c r="E267" s="339"/>
      <c r="F267" s="340"/>
      <c r="G267" s="341" t="s">
        <v>155</v>
      </c>
      <c r="H267" s="319">
        <v>5</v>
      </c>
      <c r="I267" s="319">
        <v>60</v>
      </c>
      <c r="J267" s="319" t="str">
        <f t="shared" si="10"/>
        <v>QXT - QUIXA 5 60</v>
      </c>
      <c r="K267" s="320">
        <v>100000</v>
      </c>
      <c r="L267" s="321">
        <v>0.167071</v>
      </c>
      <c r="M267" s="326"/>
      <c r="N267" s="343" t="s">
        <v>148</v>
      </c>
      <c r="O267" s="310" t="s">
        <v>72</v>
      </c>
      <c r="P267" s="310" t="str">
        <f t="shared" si="9"/>
        <v>UNIPOL MB</v>
      </c>
      <c r="Q267" s="311">
        <v>4</v>
      </c>
      <c r="R267" s="300"/>
      <c r="S267" s="288"/>
      <c r="T267" s="288"/>
      <c r="U267" s="300"/>
      <c r="V267" s="288"/>
      <c r="W267" s="288"/>
      <c r="X267" s="288"/>
      <c r="Y267" s="300"/>
      <c r="Z267" s="2"/>
      <c r="AC267" s="300"/>
    </row>
    <row r="268" spans="3:29" hidden="1">
      <c r="C268" s="2"/>
      <c r="D268" s="5"/>
      <c r="E268" s="339"/>
      <c r="F268" s="340"/>
      <c r="G268" s="341" t="s">
        <v>155</v>
      </c>
      <c r="H268" s="319">
        <v>5</v>
      </c>
      <c r="I268" s="319">
        <v>72</v>
      </c>
      <c r="J268" s="319" t="str">
        <f t="shared" si="10"/>
        <v>QXT - QUIXA 5 72</v>
      </c>
      <c r="K268" s="320">
        <v>100000</v>
      </c>
      <c r="L268" s="321">
        <v>0.19917599999999999</v>
      </c>
      <c r="M268" s="326"/>
      <c r="N268" s="343" t="s">
        <v>148</v>
      </c>
      <c r="O268" s="310" t="s">
        <v>103</v>
      </c>
      <c r="P268" s="310" t="str">
        <f t="shared" si="9"/>
        <v>UNIPOL MC</v>
      </c>
      <c r="Q268" s="311">
        <v>5</v>
      </c>
      <c r="R268" s="300"/>
      <c r="S268" s="288"/>
      <c r="T268" s="288"/>
      <c r="U268" s="300"/>
      <c r="V268" s="288"/>
      <c r="W268" s="288"/>
      <c r="X268" s="288"/>
      <c r="Y268" s="300"/>
      <c r="Z268" s="2"/>
      <c r="AC268" s="300"/>
    </row>
    <row r="269" spans="3:29" hidden="1">
      <c r="C269" s="2"/>
      <c r="D269" s="5"/>
      <c r="E269" s="339"/>
      <c r="F269" s="340"/>
      <c r="G269" s="341" t="s">
        <v>155</v>
      </c>
      <c r="H269" s="336">
        <v>6</v>
      </c>
      <c r="I269" s="336">
        <v>12</v>
      </c>
      <c r="J269" s="336" t="str">
        <f t="shared" si="10"/>
        <v>QXT - QUIXA 6 12</v>
      </c>
      <c r="K269" s="337">
        <v>35000</v>
      </c>
      <c r="L269" s="332">
        <v>8.5250000000000006E-2</v>
      </c>
      <c r="M269" s="326"/>
      <c r="N269" s="343" t="s">
        <v>148</v>
      </c>
      <c r="O269" s="310" t="s">
        <v>58</v>
      </c>
      <c r="P269" s="310" t="str">
        <f t="shared" si="9"/>
        <v>UNIPOL ME</v>
      </c>
      <c r="Q269" s="311">
        <v>3</v>
      </c>
      <c r="R269" s="300"/>
      <c r="S269" s="288"/>
      <c r="T269" s="288"/>
      <c r="U269" s="300"/>
      <c r="V269" s="288"/>
      <c r="W269" s="288"/>
      <c r="X269" s="288"/>
      <c r="Y269" s="300"/>
      <c r="Z269" s="2"/>
      <c r="AC269" s="300"/>
    </row>
    <row r="270" spans="3:29" hidden="1">
      <c r="C270" s="2"/>
      <c r="D270" s="5"/>
      <c r="E270" s="339"/>
      <c r="F270" s="340"/>
      <c r="G270" s="341" t="s">
        <v>155</v>
      </c>
      <c r="H270" s="336">
        <v>6</v>
      </c>
      <c r="I270" s="336">
        <v>24</v>
      </c>
      <c r="J270" s="336" t="str">
        <f t="shared" si="10"/>
        <v>QXT - QUIXA 6 24</v>
      </c>
      <c r="K270" s="337">
        <v>35000</v>
      </c>
      <c r="L270" s="332">
        <v>0.17561499999999999</v>
      </c>
      <c r="M270" s="326"/>
      <c r="N270" s="343" t="s">
        <v>148</v>
      </c>
      <c r="O270" s="310" t="s">
        <v>73</v>
      </c>
      <c r="P270" s="310" t="str">
        <f t="shared" si="9"/>
        <v>UNIPOL MI</v>
      </c>
      <c r="Q270" s="311">
        <v>4</v>
      </c>
      <c r="R270" s="300"/>
      <c r="S270" s="288"/>
      <c r="T270" s="288"/>
      <c r="U270" s="300"/>
      <c r="V270" s="288"/>
      <c r="W270" s="288"/>
      <c r="X270" s="288"/>
      <c r="Y270" s="300"/>
      <c r="Z270" s="2"/>
      <c r="AC270" s="300"/>
    </row>
    <row r="271" spans="3:29" hidden="1">
      <c r="C271" s="2"/>
      <c r="D271" s="5"/>
      <c r="E271" s="339"/>
      <c r="F271" s="340"/>
      <c r="G271" s="341" t="s">
        <v>155</v>
      </c>
      <c r="H271" s="336">
        <v>6</v>
      </c>
      <c r="I271" s="336">
        <v>36</v>
      </c>
      <c r="J271" s="336" t="str">
        <f t="shared" si="10"/>
        <v>QXT - QUIXA 6 36</v>
      </c>
      <c r="K271" s="337">
        <v>35000</v>
      </c>
      <c r="L271" s="332">
        <v>0.27109499999999997</v>
      </c>
      <c r="M271" s="326"/>
      <c r="N271" s="343" t="s">
        <v>148</v>
      </c>
      <c r="O271" s="310" t="s">
        <v>104</v>
      </c>
      <c r="P271" s="310" t="str">
        <f t="shared" si="9"/>
        <v>UNIPOL MN</v>
      </c>
      <c r="Q271" s="311">
        <v>5</v>
      </c>
      <c r="R271" s="300"/>
      <c r="S271" s="288"/>
      <c r="T271" s="288"/>
      <c r="U271" s="300"/>
      <c r="V271" s="288"/>
      <c r="W271" s="288"/>
      <c r="X271" s="288"/>
      <c r="Y271" s="300"/>
      <c r="Z271" s="2"/>
      <c r="AC271" s="300"/>
    </row>
    <row r="272" spans="3:29" hidden="1">
      <c r="C272" s="2"/>
      <c r="D272" s="5"/>
      <c r="E272" s="339"/>
      <c r="F272" s="340"/>
      <c r="G272" s="341" t="s">
        <v>155</v>
      </c>
      <c r="H272" s="336">
        <v>6</v>
      </c>
      <c r="I272" s="336">
        <v>48</v>
      </c>
      <c r="J272" s="336" t="str">
        <f t="shared" si="10"/>
        <v>QXT - QUIXA 6 48</v>
      </c>
      <c r="K272" s="337">
        <v>35000</v>
      </c>
      <c r="L272" s="332">
        <v>0.37254300000000001</v>
      </c>
      <c r="M272" s="326"/>
      <c r="N272" s="343" t="s">
        <v>148</v>
      </c>
      <c r="O272" s="310" t="s">
        <v>105</v>
      </c>
      <c r="P272" s="310" t="str">
        <f t="shared" si="9"/>
        <v>UNIPOL MO</v>
      </c>
      <c r="Q272" s="311">
        <v>5</v>
      </c>
      <c r="R272" s="300"/>
      <c r="S272" s="288"/>
      <c r="T272" s="288"/>
      <c r="U272" s="300"/>
      <c r="V272" s="288"/>
      <c r="W272" s="288"/>
      <c r="X272" s="288"/>
      <c r="Y272" s="300"/>
      <c r="Z272" s="2"/>
      <c r="AC272" s="300"/>
    </row>
    <row r="273" spans="3:29" hidden="1">
      <c r="C273" s="2"/>
      <c r="D273" s="5"/>
      <c r="E273" s="339"/>
      <c r="F273" s="340"/>
      <c r="G273" s="341" t="s">
        <v>155</v>
      </c>
      <c r="H273" s="336">
        <v>6</v>
      </c>
      <c r="I273" s="336">
        <v>60</v>
      </c>
      <c r="J273" s="336" t="str">
        <f t="shared" si="10"/>
        <v>QXT - QUIXA 6 60</v>
      </c>
      <c r="K273" s="337">
        <v>35000</v>
      </c>
      <c r="L273" s="332">
        <v>0.45694000000000001</v>
      </c>
      <c r="M273" s="326"/>
      <c r="N273" s="343" t="s">
        <v>148</v>
      </c>
      <c r="O273" s="310" t="s">
        <v>106</v>
      </c>
      <c r="P273" s="310" t="str">
        <f t="shared" si="9"/>
        <v>UNIPOL MS</v>
      </c>
      <c r="Q273" s="311">
        <v>5</v>
      </c>
      <c r="R273" s="300"/>
      <c r="S273" s="288"/>
      <c r="T273" s="288"/>
      <c r="U273" s="300"/>
      <c r="V273" s="288"/>
      <c r="W273" s="288"/>
      <c r="X273" s="288"/>
      <c r="Y273" s="300"/>
      <c r="Z273" s="2"/>
      <c r="AC273" s="300"/>
    </row>
    <row r="274" spans="3:29" hidden="1">
      <c r="C274" s="2"/>
      <c r="D274" s="5"/>
      <c r="E274" s="339"/>
      <c r="F274" s="340"/>
      <c r="G274" s="341" t="s">
        <v>155</v>
      </c>
      <c r="H274" s="336">
        <v>6</v>
      </c>
      <c r="I274" s="336">
        <v>72</v>
      </c>
      <c r="J274" s="336" t="str">
        <f t="shared" si="10"/>
        <v>QXT - QUIXA 6 72</v>
      </c>
      <c r="K274" s="337">
        <v>35000</v>
      </c>
      <c r="L274" s="332">
        <v>0.54474800000000001</v>
      </c>
      <c r="M274" s="326"/>
      <c r="N274" s="343" t="s">
        <v>148</v>
      </c>
      <c r="O274" s="310" t="s">
        <v>59</v>
      </c>
      <c r="P274" s="310" t="str">
        <f t="shared" si="9"/>
        <v>UNIPOL MT</v>
      </c>
      <c r="Q274" s="311">
        <v>3</v>
      </c>
      <c r="R274" s="300"/>
      <c r="S274" s="288"/>
      <c r="T274" s="288"/>
      <c r="U274" s="300"/>
      <c r="V274" s="288"/>
      <c r="W274" s="288"/>
      <c r="X274" s="288"/>
      <c r="Y274" s="300"/>
      <c r="Z274" s="2"/>
      <c r="AC274" s="300"/>
    </row>
    <row r="275" spans="3:29" hidden="1">
      <c r="C275" s="2"/>
      <c r="D275" s="5"/>
      <c r="E275" s="339"/>
      <c r="F275" s="340"/>
      <c r="G275" s="341" t="s">
        <v>155</v>
      </c>
      <c r="H275" s="319">
        <v>7</v>
      </c>
      <c r="I275" s="319">
        <v>12</v>
      </c>
      <c r="J275" s="319" t="str">
        <f t="shared" si="10"/>
        <v>QXT - QUIXA 7 12</v>
      </c>
      <c r="K275" s="320">
        <v>100000</v>
      </c>
      <c r="L275" s="321">
        <v>2.9590000000000002E-2</v>
      </c>
      <c r="M275" s="326"/>
      <c r="N275" s="343" t="s">
        <v>148</v>
      </c>
      <c r="O275" s="310" t="s">
        <v>45</v>
      </c>
      <c r="P275" s="310" t="str">
        <f t="shared" si="9"/>
        <v>UNIPOL NA</v>
      </c>
      <c r="Q275" s="311">
        <v>2</v>
      </c>
      <c r="R275" s="300"/>
      <c r="S275" s="288"/>
      <c r="T275" s="288"/>
      <c r="U275" s="300"/>
      <c r="V275" s="288"/>
      <c r="W275" s="288"/>
      <c r="X275" s="288"/>
      <c r="Y275" s="300"/>
      <c r="Z275" s="2"/>
      <c r="AC275" s="300"/>
    </row>
    <row r="276" spans="3:29" hidden="1">
      <c r="C276" s="2"/>
      <c r="D276" s="5"/>
      <c r="E276" s="339"/>
      <c r="F276" s="340"/>
      <c r="G276" s="341" t="s">
        <v>155</v>
      </c>
      <c r="H276" s="319">
        <v>7</v>
      </c>
      <c r="I276" s="319">
        <v>24</v>
      </c>
      <c r="J276" s="319" t="str">
        <f t="shared" si="10"/>
        <v>QXT - QUIXA 7 24</v>
      </c>
      <c r="K276" s="320">
        <v>100000</v>
      </c>
      <c r="L276" s="321">
        <v>6.0955000000000002E-2</v>
      </c>
      <c r="M276" s="326"/>
      <c r="N276" s="343" t="s">
        <v>148</v>
      </c>
      <c r="O276" s="310" t="s">
        <v>107</v>
      </c>
      <c r="P276" s="310" t="str">
        <f t="shared" si="9"/>
        <v>UNIPOL NO</v>
      </c>
      <c r="Q276" s="311">
        <v>5</v>
      </c>
      <c r="R276" s="300"/>
      <c r="S276" s="288"/>
      <c r="T276" s="288"/>
      <c r="U276" s="300"/>
      <c r="V276" s="288"/>
      <c r="W276" s="288"/>
      <c r="X276" s="288"/>
      <c r="Y276" s="300"/>
      <c r="Z276" s="2"/>
      <c r="AC276" s="300"/>
    </row>
    <row r="277" spans="3:29" hidden="1">
      <c r="C277" s="2"/>
      <c r="D277" s="5"/>
      <c r="E277" s="339"/>
      <c r="F277" s="340"/>
      <c r="G277" s="341" t="s">
        <v>155</v>
      </c>
      <c r="H277" s="319">
        <v>7</v>
      </c>
      <c r="I277" s="319">
        <v>36</v>
      </c>
      <c r="J277" s="319" t="str">
        <f t="shared" si="10"/>
        <v>QXT - QUIXA 7 36</v>
      </c>
      <c r="K277" s="320">
        <v>100000</v>
      </c>
      <c r="L277" s="321">
        <v>9.4095999999999999E-2</v>
      </c>
      <c r="M277" s="326"/>
      <c r="N277" s="343" t="s">
        <v>148</v>
      </c>
      <c r="O277" s="310" t="s">
        <v>108</v>
      </c>
      <c r="P277" s="310" t="str">
        <f t="shared" si="9"/>
        <v>UNIPOL NU</v>
      </c>
      <c r="Q277" s="311">
        <v>5</v>
      </c>
      <c r="R277" s="300"/>
      <c r="S277" s="288"/>
      <c r="T277" s="288"/>
      <c r="U277" s="300"/>
      <c r="V277" s="288"/>
      <c r="W277" s="288"/>
      <c r="X277" s="288"/>
      <c r="Y277" s="300"/>
      <c r="Z277" s="2"/>
      <c r="AC277" s="300"/>
    </row>
    <row r="278" spans="3:29" hidden="1">
      <c r="C278" s="2"/>
      <c r="D278" s="5"/>
      <c r="E278" s="339"/>
      <c r="F278" s="340"/>
      <c r="G278" s="341" t="s">
        <v>155</v>
      </c>
      <c r="H278" s="319">
        <v>7</v>
      </c>
      <c r="I278" s="319">
        <v>48</v>
      </c>
      <c r="J278" s="319" t="str">
        <f t="shared" si="10"/>
        <v>QXT - QUIXA 7 48</v>
      </c>
      <c r="K278" s="320">
        <v>100000</v>
      </c>
      <c r="L278" s="321">
        <v>0.12930800000000001</v>
      </c>
      <c r="M278" s="326"/>
      <c r="N278" s="343" t="s">
        <v>148</v>
      </c>
      <c r="O278" s="310" t="s">
        <v>109</v>
      </c>
      <c r="P278" s="310" t="str">
        <f t="shared" si="9"/>
        <v>UNIPOL OR</v>
      </c>
      <c r="Q278" s="311">
        <v>5</v>
      </c>
      <c r="R278" s="300"/>
      <c r="S278" s="288"/>
      <c r="T278" s="288"/>
      <c r="U278" s="300"/>
      <c r="V278" s="288"/>
      <c r="W278" s="288"/>
      <c r="X278" s="288"/>
      <c r="Y278" s="300"/>
      <c r="Z278" s="2"/>
      <c r="AC278" s="300"/>
    </row>
    <row r="279" spans="3:29" hidden="1">
      <c r="C279" s="2"/>
      <c r="D279" s="5"/>
      <c r="E279" s="339"/>
      <c r="F279" s="340"/>
      <c r="G279" s="341" t="s">
        <v>155</v>
      </c>
      <c r="H279" s="319">
        <v>7</v>
      </c>
      <c r="I279" s="319">
        <v>60</v>
      </c>
      <c r="J279" s="319" t="str">
        <f t="shared" si="10"/>
        <v>QXT - QUIXA 7 60</v>
      </c>
      <c r="K279" s="320">
        <v>100000</v>
      </c>
      <c r="L279" s="321">
        <v>0.15860199999999999</v>
      </c>
      <c r="M279" s="326"/>
      <c r="N279" s="343" t="s">
        <v>148</v>
      </c>
      <c r="O279" s="310" t="s">
        <v>46</v>
      </c>
      <c r="P279" s="310" t="str">
        <f t="shared" si="9"/>
        <v>UNIPOL PA</v>
      </c>
      <c r="Q279" s="311">
        <v>2</v>
      </c>
      <c r="R279" s="300"/>
      <c r="S279" s="288"/>
      <c r="T279" s="288"/>
      <c r="U279" s="300"/>
      <c r="V279" s="288"/>
      <c r="W279" s="288"/>
      <c r="X279" s="288"/>
      <c r="Y279" s="300"/>
      <c r="Z279" s="2"/>
      <c r="AC279" s="300"/>
    </row>
    <row r="280" spans="3:29" ht="15.75" hidden="1" thickBot="1">
      <c r="C280" s="2"/>
      <c r="D280" s="5"/>
      <c r="E280" s="339"/>
      <c r="F280" s="340"/>
      <c r="G280" s="341" t="s">
        <v>155</v>
      </c>
      <c r="H280" s="319">
        <v>7</v>
      </c>
      <c r="I280" s="319">
        <v>72</v>
      </c>
      <c r="J280" s="319" t="str">
        <f t="shared" si="10"/>
        <v>QXT - QUIXA 7 72</v>
      </c>
      <c r="K280" s="342">
        <v>100000</v>
      </c>
      <c r="L280" s="321">
        <v>0.18908</v>
      </c>
      <c r="M280" s="326"/>
      <c r="N280" s="343" t="s">
        <v>148</v>
      </c>
      <c r="O280" s="310" t="s">
        <v>110</v>
      </c>
      <c r="P280" s="310" t="str">
        <f t="shared" si="9"/>
        <v>UNIPOL PC</v>
      </c>
      <c r="Q280" s="311">
        <v>5</v>
      </c>
      <c r="R280" s="300"/>
      <c r="S280" s="288"/>
      <c r="T280" s="288"/>
      <c r="U280" s="300"/>
      <c r="V280" s="288"/>
      <c r="W280" s="288"/>
      <c r="X280" s="288"/>
      <c r="Y280" s="300"/>
      <c r="Z280" s="2"/>
      <c r="AC280" s="300"/>
    </row>
    <row r="281" spans="3:29" hidden="1">
      <c r="C281" s="2"/>
      <c r="D281" s="5"/>
      <c r="E281" s="339"/>
      <c r="F281" s="340"/>
      <c r="G281" s="341" t="s">
        <v>158</v>
      </c>
      <c r="H281" s="344">
        <v>1</v>
      </c>
      <c r="I281" s="344">
        <v>12</v>
      </c>
      <c r="J281" s="344" t="str">
        <f t="shared" si="10"/>
        <v>USK - UNIPOL 1 12</v>
      </c>
      <c r="K281" s="345">
        <v>100000</v>
      </c>
      <c r="L281" s="346">
        <v>0.13303399999999999</v>
      </c>
      <c r="M281" s="326"/>
      <c r="N281" s="343" t="s">
        <v>148</v>
      </c>
      <c r="O281" s="310" t="s">
        <v>111</v>
      </c>
      <c r="P281" s="310" t="str">
        <f t="shared" si="9"/>
        <v>UNIPOL PD</v>
      </c>
      <c r="Q281" s="311">
        <v>5</v>
      </c>
      <c r="R281" s="300"/>
      <c r="S281" s="288"/>
      <c r="T281" s="288"/>
      <c r="U281" s="300"/>
      <c r="V281" s="288"/>
      <c r="W281" s="288"/>
      <c r="X281" s="288"/>
      <c r="Y281" s="300"/>
      <c r="Z281" s="2"/>
      <c r="AC281" s="300"/>
    </row>
    <row r="282" spans="3:29" hidden="1">
      <c r="C282" s="2"/>
      <c r="D282" s="5"/>
      <c r="E282" s="339"/>
      <c r="F282" s="340"/>
      <c r="G282" s="341" t="s">
        <v>158</v>
      </c>
      <c r="H282" s="319">
        <v>1</v>
      </c>
      <c r="I282" s="319">
        <v>24</v>
      </c>
      <c r="J282" s="319" t="str">
        <f t="shared" si="10"/>
        <v>USK - UNIPOL 1 24</v>
      </c>
      <c r="K282" s="320">
        <v>100000</v>
      </c>
      <c r="L282" s="321">
        <v>0.25279200000000002</v>
      </c>
      <c r="M282" s="326"/>
      <c r="N282" s="343" t="s">
        <v>148</v>
      </c>
      <c r="O282" s="310" t="s">
        <v>74</v>
      </c>
      <c r="P282" s="310" t="str">
        <f t="shared" si="9"/>
        <v>UNIPOL PE</v>
      </c>
      <c r="Q282" s="311">
        <v>4</v>
      </c>
      <c r="R282" s="300"/>
      <c r="S282" s="288"/>
      <c r="T282" s="288"/>
      <c r="U282" s="300"/>
      <c r="V282" s="288"/>
      <c r="W282" s="288"/>
      <c r="X282" s="288"/>
      <c r="Y282" s="300"/>
      <c r="Z282" s="2"/>
      <c r="AC282" s="300"/>
    </row>
    <row r="283" spans="3:29" hidden="1">
      <c r="C283" s="2"/>
      <c r="D283" s="5"/>
      <c r="E283" s="339"/>
      <c r="F283" s="340"/>
      <c r="G283" s="341" t="s">
        <v>158</v>
      </c>
      <c r="H283" s="319">
        <v>1</v>
      </c>
      <c r="I283" s="319">
        <v>36</v>
      </c>
      <c r="J283" s="319" t="str">
        <f t="shared" si="10"/>
        <v>USK - UNIPOL 1 36</v>
      </c>
      <c r="K283" s="320">
        <v>100000</v>
      </c>
      <c r="L283" s="321">
        <v>0.37410399999999999</v>
      </c>
      <c r="M283" s="326"/>
      <c r="N283" s="343" t="s">
        <v>148</v>
      </c>
      <c r="O283" s="310" t="s">
        <v>112</v>
      </c>
      <c r="P283" s="310" t="str">
        <f t="shared" si="9"/>
        <v>UNIPOL PG</v>
      </c>
      <c r="Q283" s="311">
        <v>5</v>
      </c>
      <c r="R283" s="300"/>
      <c r="S283" s="288"/>
      <c r="T283" s="288"/>
      <c r="U283" s="300"/>
      <c r="V283" s="288"/>
      <c r="W283" s="288"/>
      <c r="X283" s="288"/>
      <c r="Y283" s="300"/>
      <c r="Z283" s="2"/>
      <c r="AC283" s="300"/>
    </row>
    <row r="284" spans="3:29" hidden="1">
      <c r="C284" s="2"/>
      <c r="D284" s="5"/>
      <c r="E284" s="339"/>
      <c r="F284" s="340"/>
      <c r="G284" s="341" t="s">
        <v>158</v>
      </c>
      <c r="H284" s="319">
        <v>1</v>
      </c>
      <c r="I284" s="319">
        <v>48</v>
      </c>
      <c r="J284" s="319" t="str">
        <f t="shared" si="10"/>
        <v>USK - UNIPOL 1 48</v>
      </c>
      <c r="K284" s="320">
        <v>100000</v>
      </c>
      <c r="L284" s="321">
        <v>0.49535700000000005</v>
      </c>
      <c r="M284" s="326"/>
      <c r="N284" s="343" t="s">
        <v>148</v>
      </c>
      <c r="O284" s="310" t="s">
        <v>113</v>
      </c>
      <c r="P284" s="310" t="str">
        <f t="shared" si="9"/>
        <v>UNIPOL PI</v>
      </c>
      <c r="Q284" s="311">
        <v>5</v>
      </c>
      <c r="R284" s="300"/>
      <c r="S284" s="288"/>
      <c r="T284" s="288"/>
      <c r="U284" s="300"/>
      <c r="V284" s="288"/>
      <c r="W284" s="288"/>
      <c r="X284" s="288"/>
      <c r="Y284" s="300"/>
      <c r="Z284" s="2"/>
      <c r="AC284" s="300"/>
    </row>
    <row r="285" spans="3:29" hidden="1">
      <c r="C285" s="2"/>
      <c r="D285" s="5"/>
      <c r="E285" s="339"/>
      <c r="F285" s="340"/>
      <c r="G285" s="341" t="s">
        <v>158</v>
      </c>
      <c r="H285" s="319">
        <v>1</v>
      </c>
      <c r="I285" s="319">
        <v>60</v>
      </c>
      <c r="J285" s="319" t="str">
        <f t="shared" si="10"/>
        <v>USK - UNIPOL 1 60</v>
      </c>
      <c r="K285" s="320">
        <v>100000</v>
      </c>
      <c r="L285" s="321">
        <v>0.61661100000000002</v>
      </c>
      <c r="M285" s="326"/>
      <c r="N285" s="343" t="s">
        <v>148</v>
      </c>
      <c r="O285" s="310" t="s">
        <v>114</v>
      </c>
      <c r="P285" s="310" t="str">
        <f t="shared" si="9"/>
        <v>UNIPOL PN</v>
      </c>
      <c r="Q285" s="311">
        <v>5</v>
      </c>
      <c r="R285" s="300"/>
      <c r="S285" s="288"/>
      <c r="T285" s="288"/>
      <c r="U285" s="300"/>
      <c r="V285" s="288"/>
      <c r="W285" s="288"/>
      <c r="X285" s="288"/>
      <c r="Y285" s="300"/>
      <c r="Z285" s="2"/>
      <c r="AC285" s="300"/>
    </row>
    <row r="286" spans="3:29" hidden="1">
      <c r="C286" s="2"/>
      <c r="D286" s="5"/>
      <c r="E286" s="339"/>
      <c r="F286" s="340"/>
      <c r="G286" s="341" t="s">
        <v>158</v>
      </c>
      <c r="H286" s="319">
        <v>1</v>
      </c>
      <c r="I286" s="319">
        <v>72</v>
      </c>
      <c r="J286" s="319" t="str">
        <f t="shared" si="10"/>
        <v>USK - UNIPOL 1 72</v>
      </c>
      <c r="K286" s="320">
        <v>100000</v>
      </c>
      <c r="L286" s="321">
        <v>0.73786499999999999</v>
      </c>
      <c r="M286" s="326"/>
      <c r="N286" s="343" t="s">
        <v>148</v>
      </c>
      <c r="O286" s="310" t="s">
        <v>115</v>
      </c>
      <c r="P286" s="310" t="str">
        <f t="shared" si="9"/>
        <v>UNIPOL PO</v>
      </c>
      <c r="Q286" s="311">
        <v>5</v>
      </c>
      <c r="R286" s="300"/>
      <c r="S286" s="288"/>
      <c r="T286" s="288"/>
      <c r="U286" s="300"/>
      <c r="V286" s="288"/>
      <c r="W286" s="288"/>
      <c r="X286" s="288"/>
      <c r="Y286" s="300"/>
      <c r="Z286" s="2"/>
      <c r="AC286" s="300"/>
    </row>
    <row r="287" spans="3:29" hidden="1">
      <c r="C287" s="2"/>
      <c r="D287" s="5"/>
      <c r="E287" s="339"/>
      <c r="F287" s="340"/>
      <c r="G287" s="341" t="s">
        <v>158</v>
      </c>
      <c r="H287" s="336">
        <v>2</v>
      </c>
      <c r="I287" s="336">
        <v>12</v>
      </c>
      <c r="J287" s="336" t="str">
        <f t="shared" si="10"/>
        <v>USK - UNIPOL 2 12</v>
      </c>
      <c r="K287" s="337">
        <v>100000</v>
      </c>
      <c r="L287" s="332">
        <v>0.11594499999999999</v>
      </c>
      <c r="M287" s="326"/>
      <c r="N287" s="343" t="s">
        <v>148</v>
      </c>
      <c r="O287" s="310" t="s">
        <v>116</v>
      </c>
      <c r="P287" s="310" t="str">
        <f t="shared" si="9"/>
        <v>UNIPOL PR</v>
      </c>
      <c r="Q287" s="311">
        <v>5</v>
      </c>
      <c r="R287" s="300"/>
      <c r="S287" s="288"/>
      <c r="T287" s="288"/>
      <c r="U287" s="300"/>
      <c r="V287" s="288"/>
      <c r="W287" s="288"/>
      <c r="X287" s="288"/>
      <c r="Y287" s="300"/>
      <c r="Z287" s="2"/>
      <c r="AC287" s="300"/>
    </row>
    <row r="288" spans="3:29" hidden="1">
      <c r="C288" s="2"/>
      <c r="D288" s="5"/>
      <c r="E288" s="339"/>
      <c r="F288" s="340"/>
      <c r="G288" s="341" t="s">
        <v>158</v>
      </c>
      <c r="H288" s="336">
        <v>2</v>
      </c>
      <c r="I288" s="336">
        <v>24</v>
      </c>
      <c r="J288" s="336" t="str">
        <f t="shared" si="10"/>
        <v>USK - UNIPOL 2 24</v>
      </c>
      <c r="K288" s="337">
        <v>100000</v>
      </c>
      <c r="L288" s="332">
        <v>0.220306</v>
      </c>
      <c r="M288" s="326"/>
      <c r="N288" s="343" t="s">
        <v>148</v>
      </c>
      <c r="O288" s="310" t="s">
        <v>117</v>
      </c>
      <c r="P288" s="310" t="str">
        <f t="shared" si="9"/>
        <v>UNIPOL PT</v>
      </c>
      <c r="Q288" s="311">
        <v>5</v>
      </c>
      <c r="R288" s="300"/>
      <c r="S288" s="288"/>
      <c r="T288" s="288"/>
      <c r="U288" s="300"/>
      <c r="V288" s="288"/>
      <c r="W288" s="288"/>
      <c r="X288" s="288"/>
      <c r="Y288" s="300"/>
      <c r="Z288" s="2"/>
      <c r="AC288" s="300"/>
    </row>
    <row r="289" spans="3:29" hidden="1">
      <c r="C289" s="2"/>
      <c r="D289" s="5"/>
      <c r="E289" s="339"/>
      <c r="F289" s="340"/>
      <c r="G289" s="341" t="s">
        <v>158</v>
      </c>
      <c r="H289" s="336">
        <v>2</v>
      </c>
      <c r="I289" s="336">
        <v>36</v>
      </c>
      <c r="J289" s="336" t="str">
        <f t="shared" si="10"/>
        <v>USK - UNIPOL 2 36</v>
      </c>
      <c r="K289" s="337">
        <v>100000</v>
      </c>
      <c r="L289" s="332">
        <v>0.32563300000000001</v>
      </c>
      <c r="M289" s="326"/>
      <c r="N289" s="343" t="s">
        <v>148</v>
      </c>
      <c r="O289" s="310" t="s">
        <v>118</v>
      </c>
      <c r="P289" s="310" t="str">
        <f t="shared" si="9"/>
        <v>UNIPOL PU</v>
      </c>
      <c r="Q289" s="311">
        <v>5</v>
      </c>
      <c r="R289" s="300"/>
      <c r="S289" s="288"/>
      <c r="T289" s="288"/>
      <c r="U289" s="300"/>
      <c r="V289" s="288"/>
      <c r="W289" s="288"/>
      <c r="X289" s="288"/>
      <c r="Y289" s="300"/>
      <c r="Z289" s="2"/>
      <c r="AC289" s="300"/>
    </row>
    <row r="290" spans="3:29" hidden="1">
      <c r="C290" s="2"/>
      <c r="D290" s="5"/>
      <c r="E290" s="339"/>
      <c r="F290" s="340"/>
      <c r="G290" s="341" t="s">
        <v>158</v>
      </c>
      <c r="H290" s="336">
        <v>2</v>
      </c>
      <c r="I290" s="336">
        <v>48</v>
      </c>
      <c r="J290" s="336" t="str">
        <f t="shared" si="10"/>
        <v>USK - UNIPOL 2 48</v>
      </c>
      <c r="K290" s="337">
        <v>100000</v>
      </c>
      <c r="L290" s="332">
        <v>0.43090300000000004</v>
      </c>
      <c r="M290" s="326"/>
      <c r="N290" s="343" t="s">
        <v>148</v>
      </c>
      <c r="O290" s="310" t="s">
        <v>119</v>
      </c>
      <c r="P290" s="310" t="str">
        <f t="shared" si="9"/>
        <v>UNIPOL PV</v>
      </c>
      <c r="Q290" s="311">
        <v>5</v>
      </c>
      <c r="R290" s="300"/>
      <c r="S290" s="288"/>
      <c r="T290" s="288"/>
      <c r="U290" s="300"/>
      <c r="V290" s="288"/>
      <c r="W290" s="288"/>
      <c r="X290" s="288"/>
      <c r="Y290" s="300"/>
      <c r="Z290" s="2"/>
      <c r="AC290" s="300"/>
    </row>
    <row r="291" spans="3:29" hidden="1">
      <c r="C291" s="2"/>
      <c r="D291" s="5"/>
      <c r="E291" s="339"/>
      <c r="F291" s="340"/>
      <c r="G291" s="341" t="s">
        <v>158</v>
      </c>
      <c r="H291" s="336">
        <v>2</v>
      </c>
      <c r="I291" s="336">
        <v>60</v>
      </c>
      <c r="J291" s="336" t="str">
        <f t="shared" si="10"/>
        <v>USK - UNIPOL 2 60</v>
      </c>
      <c r="K291" s="337">
        <v>100000</v>
      </c>
      <c r="L291" s="332">
        <v>0.53617399999999993</v>
      </c>
      <c r="M291" s="326"/>
      <c r="N291" s="343" t="s">
        <v>148</v>
      </c>
      <c r="O291" s="310" t="s">
        <v>60</v>
      </c>
      <c r="P291" s="310" t="str">
        <f t="shared" si="9"/>
        <v>UNIPOL PZ</v>
      </c>
      <c r="Q291" s="311">
        <v>3</v>
      </c>
      <c r="R291" s="300"/>
      <c r="S291" s="288"/>
      <c r="T291" s="288"/>
      <c r="U291" s="300"/>
      <c r="V291" s="288"/>
      <c r="W291" s="288"/>
      <c r="X291" s="288"/>
      <c r="Y291" s="300"/>
      <c r="Z291" s="2"/>
      <c r="AC291" s="300"/>
    </row>
    <row r="292" spans="3:29" hidden="1">
      <c r="C292" s="2"/>
      <c r="D292" s="5"/>
      <c r="E292" s="339"/>
      <c r="F292" s="340"/>
      <c r="G292" s="341" t="s">
        <v>158</v>
      </c>
      <c r="H292" s="336">
        <v>2</v>
      </c>
      <c r="I292" s="336">
        <v>72</v>
      </c>
      <c r="J292" s="336" t="str">
        <f t="shared" si="10"/>
        <v>USK - UNIPOL 2 72</v>
      </c>
      <c r="K292" s="337">
        <v>100000</v>
      </c>
      <c r="L292" s="332">
        <v>0.64144500000000004</v>
      </c>
      <c r="M292" s="326"/>
      <c r="N292" s="343" t="s">
        <v>148</v>
      </c>
      <c r="O292" s="310" t="s">
        <v>120</v>
      </c>
      <c r="P292" s="310" t="str">
        <f t="shared" si="9"/>
        <v>UNIPOL RA</v>
      </c>
      <c r="Q292" s="311">
        <v>5</v>
      </c>
      <c r="R292" s="300"/>
      <c r="S292" s="288"/>
      <c r="T292" s="288"/>
      <c r="U292" s="300"/>
      <c r="V292" s="288"/>
      <c r="W292" s="288"/>
      <c r="X292" s="288"/>
      <c r="Y292" s="300"/>
      <c r="Z292" s="2"/>
      <c r="AC292" s="300"/>
    </row>
    <row r="293" spans="3:29" hidden="1">
      <c r="C293" s="2"/>
      <c r="D293" s="5"/>
      <c r="E293" s="339"/>
      <c r="F293" s="340"/>
      <c r="G293" s="341" t="s">
        <v>158</v>
      </c>
      <c r="H293" s="319">
        <v>3</v>
      </c>
      <c r="I293" s="319">
        <v>12</v>
      </c>
      <c r="J293" s="319" t="str">
        <f t="shared" si="10"/>
        <v>USK - UNIPOL 3 12</v>
      </c>
      <c r="K293" s="320">
        <v>100000</v>
      </c>
      <c r="L293" s="321">
        <v>9.2757000000000006E-2</v>
      </c>
      <c r="M293" s="326"/>
      <c r="N293" s="343" t="s">
        <v>148</v>
      </c>
      <c r="O293" s="310" t="s">
        <v>47</v>
      </c>
      <c r="P293" s="310" t="str">
        <f t="shared" si="9"/>
        <v>UNIPOL RC</v>
      </c>
      <c r="Q293" s="311">
        <v>2</v>
      </c>
      <c r="R293" s="300"/>
      <c r="S293" s="288"/>
      <c r="T293" s="288"/>
      <c r="U293" s="300"/>
      <c r="V293" s="288"/>
      <c r="W293" s="288"/>
      <c r="X293" s="288"/>
      <c r="Y293" s="300"/>
      <c r="Z293" s="2"/>
      <c r="AC293" s="300"/>
    </row>
    <row r="294" spans="3:29" hidden="1">
      <c r="C294" s="2"/>
      <c r="D294" s="5"/>
      <c r="E294" s="339"/>
      <c r="F294" s="340"/>
      <c r="G294" s="341" t="s">
        <v>158</v>
      </c>
      <c r="H294" s="319">
        <v>3</v>
      </c>
      <c r="I294" s="319">
        <v>24</v>
      </c>
      <c r="J294" s="319" t="str">
        <f t="shared" si="10"/>
        <v>USK - UNIPOL 3 24</v>
      </c>
      <c r="K294" s="320">
        <v>100000</v>
      </c>
      <c r="L294" s="321">
        <v>0.176202</v>
      </c>
      <c r="M294" s="326"/>
      <c r="N294" s="343" t="s">
        <v>148</v>
      </c>
      <c r="O294" s="310" t="s">
        <v>121</v>
      </c>
      <c r="P294" s="310" t="str">
        <f t="shared" si="9"/>
        <v>UNIPOL RE</v>
      </c>
      <c r="Q294" s="311">
        <v>5</v>
      </c>
      <c r="R294" s="300"/>
      <c r="S294" s="288"/>
      <c r="T294" s="288"/>
      <c r="U294" s="300"/>
      <c r="V294" s="288"/>
      <c r="W294" s="288"/>
      <c r="X294" s="288"/>
      <c r="Y294" s="300"/>
      <c r="Z294" s="2"/>
      <c r="AC294" s="300"/>
    </row>
    <row r="295" spans="3:29" hidden="1">
      <c r="C295" s="2"/>
      <c r="D295" s="5"/>
      <c r="E295" s="339"/>
      <c r="F295" s="340"/>
      <c r="G295" s="341" t="s">
        <v>158</v>
      </c>
      <c r="H295" s="319">
        <v>3</v>
      </c>
      <c r="I295" s="319">
        <v>36</v>
      </c>
      <c r="J295" s="319" t="str">
        <f t="shared" si="10"/>
        <v>USK - UNIPOL 3 36</v>
      </c>
      <c r="K295" s="320">
        <v>100000</v>
      </c>
      <c r="L295" s="321">
        <v>0.25947699999999996</v>
      </c>
      <c r="M295" s="326"/>
      <c r="N295" s="343" t="s">
        <v>148</v>
      </c>
      <c r="O295" s="310" t="s">
        <v>61</v>
      </c>
      <c r="P295" s="310" t="str">
        <f t="shared" si="9"/>
        <v>UNIPOL RG</v>
      </c>
      <c r="Q295" s="311">
        <v>3</v>
      </c>
      <c r="R295" s="300"/>
      <c r="S295" s="288"/>
      <c r="T295" s="288"/>
      <c r="U295" s="300"/>
      <c r="V295" s="288"/>
      <c r="W295" s="288"/>
      <c r="X295" s="288"/>
      <c r="Y295" s="300"/>
      <c r="Z295" s="2"/>
      <c r="AC295" s="300"/>
    </row>
    <row r="296" spans="3:29" hidden="1">
      <c r="C296" s="2"/>
      <c r="D296" s="5"/>
      <c r="E296" s="339"/>
      <c r="F296" s="340"/>
      <c r="G296" s="341" t="s">
        <v>158</v>
      </c>
      <c r="H296" s="319">
        <v>3</v>
      </c>
      <c r="I296" s="319">
        <v>48</v>
      </c>
      <c r="J296" s="319" t="str">
        <f t="shared" si="10"/>
        <v>USK - UNIPOL 3 48</v>
      </c>
      <c r="K296" s="320">
        <v>100000</v>
      </c>
      <c r="L296" s="321">
        <v>0.342696</v>
      </c>
      <c r="M296" s="326"/>
      <c r="N296" s="343" t="s">
        <v>148</v>
      </c>
      <c r="O296" s="310" t="s">
        <v>122</v>
      </c>
      <c r="P296" s="310" t="str">
        <f t="shared" si="9"/>
        <v>UNIPOL RI</v>
      </c>
      <c r="Q296" s="311">
        <v>5</v>
      </c>
      <c r="R296" s="300"/>
      <c r="S296" s="288"/>
      <c r="T296" s="288"/>
      <c r="U296" s="300"/>
      <c r="V296" s="288"/>
      <c r="W296" s="288"/>
      <c r="X296" s="288"/>
      <c r="Y296" s="300"/>
      <c r="Z296" s="2"/>
      <c r="AC296" s="300"/>
    </row>
    <row r="297" spans="3:29" hidden="1">
      <c r="C297" s="2"/>
      <c r="D297" s="5"/>
      <c r="E297" s="339"/>
      <c r="F297" s="340"/>
      <c r="G297" s="341" t="s">
        <v>158</v>
      </c>
      <c r="H297" s="319">
        <v>3</v>
      </c>
      <c r="I297" s="319">
        <v>60</v>
      </c>
      <c r="J297" s="319" t="str">
        <f t="shared" si="10"/>
        <v>USK - UNIPOL 3 60</v>
      </c>
      <c r="K297" s="320">
        <v>100000</v>
      </c>
      <c r="L297" s="321">
        <v>0.42591600000000002</v>
      </c>
      <c r="M297" s="326"/>
      <c r="N297" s="343" t="s">
        <v>148</v>
      </c>
      <c r="O297" s="310" t="s">
        <v>62</v>
      </c>
      <c r="P297" s="310" t="str">
        <f t="shared" si="9"/>
        <v>UNIPOL RM</v>
      </c>
      <c r="Q297" s="311">
        <v>3</v>
      </c>
      <c r="R297" s="300"/>
      <c r="S297" s="288"/>
      <c r="T297" s="288"/>
      <c r="U297" s="300"/>
      <c r="V297" s="288"/>
      <c r="W297" s="288"/>
      <c r="X297" s="288"/>
      <c r="Y297" s="300"/>
      <c r="Z297" s="2"/>
      <c r="AC297" s="300"/>
    </row>
    <row r="298" spans="3:29" hidden="1">
      <c r="C298" s="2"/>
      <c r="D298" s="5"/>
      <c r="E298" s="339"/>
      <c r="F298" s="340"/>
      <c r="G298" s="341" t="s">
        <v>158</v>
      </c>
      <c r="H298" s="319">
        <v>3</v>
      </c>
      <c r="I298" s="319">
        <v>72</v>
      </c>
      <c r="J298" s="319" t="str">
        <f t="shared" si="10"/>
        <v>USK - UNIPOL 3 72</v>
      </c>
      <c r="K298" s="320">
        <v>100000</v>
      </c>
      <c r="L298" s="321">
        <v>0.509135</v>
      </c>
      <c r="M298" s="326"/>
      <c r="N298" s="343" t="s">
        <v>148</v>
      </c>
      <c r="O298" s="310" t="s">
        <v>123</v>
      </c>
      <c r="P298" s="310" t="str">
        <f t="shared" si="9"/>
        <v>UNIPOL RN</v>
      </c>
      <c r="Q298" s="311">
        <v>5</v>
      </c>
      <c r="R298" s="300"/>
      <c r="S298" s="288"/>
      <c r="T298" s="288"/>
      <c r="U298" s="300"/>
      <c r="V298" s="288"/>
      <c r="W298" s="288"/>
      <c r="X298" s="288"/>
      <c r="Y298" s="300"/>
      <c r="Z298" s="2"/>
      <c r="AC298" s="300"/>
    </row>
    <row r="299" spans="3:29" hidden="1">
      <c r="C299" s="2"/>
      <c r="D299" s="5"/>
      <c r="E299" s="339"/>
      <c r="F299" s="340"/>
      <c r="G299" s="341" t="s">
        <v>158</v>
      </c>
      <c r="H299" s="336">
        <v>4</v>
      </c>
      <c r="I299" s="336">
        <v>12</v>
      </c>
      <c r="J299" s="336" t="str">
        <f t="shared" si="10"/>
        <v>USK - UNIPOL 4 12</v>
      </c>
      <c r="K299" s="337">
        <v>100000</v>
      </c>
      <c r="L299" s="332">
        <v>8.9566999999999994E-2</v>
      </c>
      <c r="M299" s="326"/>
      <c r="N299" s="343" t="s">
        <v>148</v>
      </c>
      <c r="O299" s="310" t="s">
        <v>124</v>
      </c>
      <c r="P299" s="310" t="str">
        <f t="shared" si="9"/>
        <v>UNIPOL RO</v>
      </c>
      <c r="Q299" s="311">
        <v>5</v>
      </c>
      <c r="R299" s="300"/>
      <c r="S299" s="288"/>
      <c r="T299" s="288"/>
      <c r="U299" s="300"/>
      <c r="V299" s="288"/>
      <c r="W299" s="288"/>
      <c r="X299" s="288"/>
      <c r="Y299" s="300"/>
      <c r="Z299" s="2"/>
      <c r="AC299" s="300"/>
    </row>
    <row r="300" spans="3:29" hidden="1">
      <c r="C300" s="2"/>
      <c r="D300" s="5"/>
      <c r="E300" s="339"/>
      <c r="F300" s="340"/>
      <c r="G300" s="341" t="s">
        <v>158</v>
      </c>
      <c r="H300" s="336">
        <v>4</v>
      </c>
      <c r="I300" s="336">
        <v>24</v>
      </c>
      <c r="J300" s="336" t="str">
        <f t="shared" si="10"/>
        <v>USK - UNIPOL 4 24</v>
      </c>
      <c r="K300" s="337">
        <v>100000</v>
      </c>
      <c r="L300" s="332">
        <v>0.17013800000000001</v>
      </c>
      <c r="M300" s="326"/>
      <c r="N300" s="343" t="s">
        <v>148</v>
      </c>
      <c r="O300" s="310" t="s">
        <v>48</v>
      </c>
      <c r="P300" s="310" t="str">
        <f t="shared" si="9"/>
        <v>UNIPOL SA</v>
      </c>
      <c r="Q300" s="311">
        <v>2</v>
      </c>
      <c r="R300" s="300"/>
      <c r="S300" s="288"/>
      <c r="T300" s="288"/>
      <c r="U300" s="300"/>
      <c r="V300" s="288"/>
      <c r="W300" s="288"/>
      <c r="X300" s="288"/>
      <c r="Y300" s="300"/>
      <c r="Z300" s="2"/>
      <c r="AC300" s="300"/>
    </row>
    <row r="301" spans="3:29" hidden="1">
      <c r="C301" s="2"/>
      <c r="D301" s="5"/>
      <c r="E301" s="339"/>
      <c r="F301" s="340"/>
      <c r="G301" s="341" t="s">
        <v>158</v>
      </c>
      <c r="H301" s="336">
        <v>4</v>
      </c>
      <c r="I301" s="336">
        <v>36</v>
      </c>
      <c r="J301" s="336" t="str">
        <f t="shared" si="10"/>
        <v>USK - UNIPOL 4 36</v>
      </c>
      <c r="K301" s="337">
        <v>100000</v>
      </c>
      <c r="L301" s="332">
        <v>0.250392</v>
      </c>
      <c r="M301" s="326"/>
      <c r="N301" s="343" t="s">
        <v>148</v>
      </c>
      <c r="O301" s="310" t="s">
        <v>125</v>
      </c>
      <c r="P301" s="310" t="str">
        <f t="shared" si="9"/>
        <v>UNIPOL SI</v>
      </c>
      <c r="Q301" s="311">
        <v>5</v>
      </c>
      <c r="R301" s="300"/>
      <c r="S301" s="288"/>
      <c r="T301" s="288"/>
      <c r="U301" s="300"/>
      <c r="V301" s="288"/>
      <c r="W301" s="288"/>
      <c r="X301" s="288"/>
      <c r="Y301" s="300"/>
      <c r="Z301" s="2"/>
      <c r="AC301" s="300"/>
    </row>
    <row r="302" spans="3:29" hidden="1">
      <c r="C302" s="2"/>
      <c r="D302" s="5"/>
      <c r="E302" s="339"/>
      <c r="F302" s="340"/>
      <c r="G302" s="341" t="s">
        <v>158</v>
      </c>
      <c r="H302" s="336">
        <v>4</v>
      </c>
      <c r="I302" s="336">
        <v>48</v>
      </c>
      <c r="J302" s="336" t="str">
        <f t="shared" si="10"/>
        <v>USK - UNIPOL 4 48</v>
      </c>
      <c r="K302" s="337">
        <v>100000</v>
      </c>
      <c r="L302" s="332">
        <v>0.330594</v>
      </c>
      <c r="M302" s="326"/>
      <c r="N302" s="343" t="s">
        <v>148</v>
      </c>
      <c r="O302" s="310" t="s">
        <v>126</v>
      </c>
      <c r="P302" s="310" t="str">
        <f t="shared" si="9"/>
        <v>UNIPOL SO</v>
      </c>
      <c r="Q302" s="311">
        <v>5</v>
      </c>
      <c r="R302" s="300"/>
      <c r="S302" s="288"/>
      <c r="T302" s="288"/>
      <c r="U302" s="300"/>
      <c r="V302" s="288"/>
      <c r="W302" s="288"/>
      <c r="X302" s="288"/>
      <c r="Y302" s="300"/>
      <c r="Z302" s="2"/>
      <c r="AC302" s="300"/>
    </row>
    <row r="303" spans="3:29" hidden="1">
      <c r="C303" s="2"/>
      <c r="D303" s="5"/>
      <c r="E303" s="339"/>
      <c r="F303" s="340"/>
      <c r="G303" s="341" t="s">
        <v>158</v>
      </c>
      <c r="H303" s="336">
        <v>4</v>
      </c>
      <c r="I303" s="336">
        <v>60</v>
      </c>
      <c r="J303" s="336" t="str">
        <f t="shared" si="10"/>
        <v>USK - UNIPOL 4 60</v>
      </c>
      <c r="K303" s="337">
        <v>100000</v>
      </c>
      <c r="L303" s="332">
        <v>0.41079399999999999</v>
      </c>
      <c r="M303" s="326"/>
      <c r="N303" s="343" t="s">
        <v>148</v>
      </c>
      <c r="O303" s="310" t="s">
        <v>127</v>
      </c>
      <c r="P303" s="310" t="str">
        <f t="shared" si="9"/>
        <v>UNIPOL SP</v>
      </c>
      <c r="Q303" s="311">
        <v>5</v>
      </c>
      <c r="R303" s="300"/>
      <c r="S303" s="288"/>
      <c r="T303" s="288"/>
      <c r="U303" s="300"/>
      <c r="V303" s="288"/>
      <c r="W303" s="288"/>
      <c r="X303" s="288"/>
      <c r="Y303" s="300"/>
      <c r="Z303" s="2"/>
      <c r="AC303" s="300"/>
    </row>
    <row r="304" spans="3:29" hidden="1">
      <c r="C304" s="2"/>
      <c r="D304" s="5"/>
      <c r="E304" s="339"/>
      <c r="F304" s="340"/>
      <c r="G304" s="341" t="s">
        <v>158</v>
      </c>
      <c r="H304" s="336">
        <v>4</v>
      </c>
      <c r="I304" s="336">
        <v>72</v>
      </c>
      <c r="J304" s="336" t="str">
        <f t="shared" si="10"/>
        <v>USK - UNIPOL 4 72</v>
      </c>
      <c r="K304" s="337">
        <v>100000</v>
      </c>
      <c r="L304" s="332">
        <v>0.49099400000000004</v>
      </c>
      <c r="M304" s="326"/>
      <c r="N304" s="343" t="s">
        <v>148</v>
      </c>
      <c r="O304" s="310" t="s">
        <v>49</v>
      </c>
      <c r="P304" s="310" t="str">
        <f t="shared" si="9"/>
        <v>UNIPOL SR</v>
      </c>
      <c r="Q304" s="311">
        <v>2</v>
      </c>
      <c r="R304" s="300"/>
      <c r="S304" s="288"/>
      <c r="T304" s="288"/>
      <c r="U304" s="300"/>
      <c r="V304" s="288"/>
      <c r="W304" s="288"/>
      <c r="X304" s="288"/>
      <c r="Y304" s="300"/>
      <c r="Z304" s="2"/>
      <c r="AC304" s="300"/>
    </row>
    <row r="305" spans="3:29" hidden="1">
      <c r="C305" s="2"/>
      <c r="D305" s="5"/>
      <c r="E305" s="339"/>
      <c r="F305" s="340"/>
      <c r="G305" s="341" t="s">
        <v>158</v>
      </c>
      <c r="H305" s="319">
        <v>5</v>
      </c>
      <c r="I305" s="319">
        <v>12</v>
      </c>
      <c r="J305" s="319" t="str">
        <f t="shared" si="10"/>
        <v>USK - UNIPOL 5 12</v>
      </c>
      <c r="K305" s="320">
        <v>100000</v>
      </c>
      <c r="L305" s="321">
        <v>8.3705000000000002E-2</v>
      </c>
      <c r="M305" s="326"/>
      <c r="N305" s="343" t="s">
        <v>148</v>
      </c>
      <c r="O305" s="310" t="s">
        <v>128</v>
      </c>
      <c r="P305" s="310" t="str">
        <f t="shared" si="9"/>
        <v>UNIPOL SS</v>
      </c>
      <c r="Q305" s="311">
        <v>5</v>
      </c>
      <c r="R305" s="300"/>
      <c r="S305" s="288"/>
      <c r="T305" s="288"/>
      <c r="U305" s="300"/>
      <c r="V305" s="288"/>
      <c r="W305" s="288"/>
      <c r="X305" s="288"/>
      <c r="Y305" s="300"/>
      <c r="Z305" s="2"/>
      <c r="AC305" s="300"/>
    </row>
    <row r="306" spans="3:29" hidden="1">
      <c r="C306" s="2"/>
      <c r="D306" s="5"/>
      <c r="E306" s="339"/>
      <c r="F306" s="340"/>
      <c r="G306" s="341" t="s">
        <v>158</v>
      </c>
      <c r="H306" s="319">
        <v>5</v>
      </c>
      <c r="I306" s="319">
        <v>24</v>
      </c>
      <c r="J306" s="319" t="str">
        <f t="shared" si="10"/>
        <v>USK - UNIPOL 5 24</v>
      </c>
      <c r="K306" s="320">
        <v>100000</v>
      </c>
      <c r="L306" s="321">
        <v>0.15897900000000001</v>
      </c>
      <c r="M306" s="326"/>
      <c r="N306" s="343" t="s">
        <v>148</v>
      </c>
      <c r="O306" s="310" t="s">
        <v>129</v>
      </c>
      <c r="P306" s="310" t="str">
        <f t="shared" si="9"/>
        <v>UNIPOL SU</v>
      </c>
      <c r="Q306" s="311">
        <v>5</v>
      </c>
      <c r="R306" s="300"/>
      <c r="S306" s="288"/>
      <c r="T306" s="288"/>
      <c r="U306" s="300"/>
      <c r="V306" s="288"/>
      <c r="W306" s="288"/>
      <c r="X306" s="288"/>
      <c r="Y306" s="300"/>
      <c r="Z306" s="2"/>
      <c r="AC306" s="300"/>
    </row>
    <row r="307" spans="3:29" hidden="1">
      <c r="C307" s="2"/>
      <c r="D307" s="5"/>
      <c r="E307" s="339"/>
      <c r="F307" s="340"/>
      <c r="G307" s="341" t="s">
        <v>158</v>
      </c>
      <c r="H307" s="319">
        <v>5</v>
      </c>
      <c r="I307" s="319">
        <v>36</v>
      </c>
      <c r="J307" s="319" t="str">
        <f t="shared" si="10"/>
        <v>USK - UNIPOL 5 36</v>
      </c>
      <c r="K307" s="320">
        <v>100000</v>
      </c>
      <c r="L307" s="321">
        <v>0.23355199999999998</v>
      </c>
      <c r="M307" s="326"/>
      <c r="N307" s="343" t="s">
        <v>148</v>
      </c>
      <c r="O307" s="310" t="s">
        <v>130</v>
      </c>
      <c r="P307" s="310" t="str">
        <f t="shared" si="9"/>
        <v>UNIPOL SV</v>
      </c>
      <c r="Q307" s="311">
        <v>5</v>
      </c>
      <c r="R307" s="300"/>
      <c r="S307" s="288"/>
      <c r="T307" s="288"/>
      <c r="U307" s="300"/>
      <c r="V307" s="288"/>
      <c r="W307" s="288"/>
      <c r="X307" s="288"/>
      <c r="Y307" s="300"/>
      <c r="Z307" s="2"/>
      <c r="AC307" s="300"/>
    </row>
    <row r="308" spans="3:29" hidden="1">
      <c r="C308" s="2"/>
      <c r="D308" s="5"/>
      <c r="E308" s="339"/>
      <c r="F308" s="340"/>
      <c r="G308" s="341" t="s">
        <v>158</v>
      </c>
      <c r="H308" s="319">
        <v>5</v>
      </c>
      <c r="I308" s="319">
        <v>48</v>
      </c>
      <c r="J308" s="319" t="str">
        <f t="shared" si="10"/>
        <v>USK - UNIPOL 5 48</v>
      </c>
      <c r="K308" s="320">
        <v>100000</v>
      </c>
      <c r="L308" s="321">
        <v>0.30806900000000004</v>
      </c>
      <c r="M308" s="326"/>
      <c r="N308" s="343" t="s">
        <v>148</v>
      </c>
      <c r="O308" s="310" t="s">
        <v>50</v>
      </c>
      <c r="P308" s="310" t="str">
        <f t="shared" si="9"/>
        <v>UNIPOL TA</v>
      </c>
      <c r="Q308" s="311">
        <v>2</v>
      </c>
      <c r="R308" s="300"/>
      <c r="S308" s="288"/>
      <c r="T308" s="288"/>
      <c r="U308" s="300"/>
      <c r="V308" s="288"/>
      <c r="W308" s="288"/>
      <c r="X308" s="288"/>
      <c r="Y308" s="300"/>
      <c r="Z308" s="2"/>
      <c r="AC308" s="300"/>
    </row>
    <row r="309" spans="3:29" hidden="1">
      <c r="C309" s="2"/>
      <c r="D309" s="5"/>
      <c r="E309" s="339"/>
      <c r="F309" s="340"/>
      <c r="G309" s="341" t="s">
        <v>158</v>
      </c>
      <c r="H309" s="319">
        <v>5</v>
      </c>
      <c r="I309" s="319">
        <v>60</v>
      </c>
      <c r="J309" s="319" t="str">
        <f t="shared" si="10"/>
        <v>USK - UNIPOL 5 60</v>
      </c>
      <c r="K309" s="320">
        <v>100000</v>
      </c>
      <c r="L309" s="321">
        <v>0.38258499999999995</v>
      </c>
      <c r="M309" s="326"/>
      <c r="N309" s="343" t="s">
        <v>148</v>
      </c>
      <c r="O309" s="310" t="s">
        <v>131</v>
      </c>
      <c r="P309" s="310" t="str">
        <f t="shared" si="9"/>
        <v>UNIPOL TE</v>
      </c>
      <c r="Q309" s="311">
        <v>5</v>
      </c>
      <c r="R309" s="300"/>
      <c r="S309" s="288"/>
      <c r="T309" s="288"/>
      <c r="U309" s="300"/>
      <c r="V309" s="288"/>
      <c r="W309" s="288"/>
      <c r="X309" s="288"/>
      <c r="Y309" s="300"/>
      <c r="Z309" s="2"/>
      <c r="AC309" s="300"/>
    </row>
    <row r="310" spans="3:29" hidden="1">
      <c r="C310" s="2"/>
      <c r="D310" s="5"/>
      <c r="E310" s="339"/>
      <c r="F310" s="340"/>
      <c r="G310" s="341" t="s">
        <v>158</v>
      </c>
      <c r="H310" s="319">
        <v>5</v>
      </c>
      <c r="I310" s="319">
        <v>72</v>
      </c>
      <c r="J310" s="319" t="str">
        <f t="shared" si="10"/>
        <v>USK - UNIPOL 5 72</v>
      </c>
      <c r="K310" s="320">
        <v>100000</v>
      </c>
      <c r="L310" s="321">
        <v>0.45710199999999995</v>
      </c>
      <c r="M310" s="326"/>
      <c r="N310" s="343" t="s">
        <v>148</v>
      </c>
      <c r="O310" s="310" t="s">
        <v>132</v>
      </c>
      <c r="P310" s="310" t="str">
        <f t="shared" si="9"/>
        <v>UNIPOL TN</v>
      </c>
      <c r="Q310" s="311">
        <v>7</v>
      </c>
      <c r="R310" s="300"/>
      <c r="S310" s="288"/>
      <c r="T310" s="288"/>
      <c r="U310" s="300"/>
      <c r="V310" s="288"/>
      <c r="W310" s="288"/>
      <c r="X310" s="288"/>
      <c r="Y310" s="300"/>
      <c r="Z310" s="2"/>
      <c r="AC310" s="300"/>
    </row>
    <row r="311" spans="3:29" hidden="1">
      <c r="C311" s="2"/>
      <c r="D311" s="5"/>
      <c r="E311" s="339"/>
      <c r="F311" s="340"/>
      <c r="G311" s="341" t="s">
        <v>158</v>
      </c>
      <c r="H311" s="336">
        <v>6</v>
      </c>
      <c r="I311" s="336">
        <v>12</v>
      </c>
      <c r="J311" s="336" t="str">
        <f t="shared" si="10"/>
        <v>USK - UNIPOL 6 12</v>
      </c>
      <c r="K311" s="337">
        <v>35000</v>
      </c>
      <c r="L311" s="332">
        <v>0.13303399999999999</v>
      </c>
      <c r="M311" s="326"/>
      <c r="N311" s="343" t="s">
        <v>148</v>
      </c>
      <c r="O311" s="310" t="s">
        <v>63</v>
      </c>
      <c r="P311" s="310" t="str">
        <f t="shared" si="9"/>
        <v>UNIPOL TO</v>
      </c>
      <c r="Q311" s="311">
        <v>3</v>
      </c>
      <c r="R311" s="300"/>
      <c r="S311" s="288"/>
      <c r="T311" s="288"/>
      <c r="U311" s="300"/>
      <c r="V311" s="288"/>
      <c r="W311" s="288"/>
      <c r="X311" s="288"/>
      <c r="Y311" s="300"/>
      <c r="Z311" s="2"/>
      <c r="AC311" s="300"/>
    </row>
    <row r="312" spans="3:29" hidden="1">
      <c r="C312" s="2"/>
      <c r="D312" s="5"/>
      <c r="E312" s="339"/>
      <c r="F312" s="340"/>
      <c r="G312" s="341" t="s">
        <v>158</v>
      </c>
      <c r="H312" s="336">
        <v>6</v>
      </c>
      <c r="I312" s="336">
        <v>24</v>
      </c>
      <c r="J312" s="336" t="str">
        <f t="shared" si="10"/>
        <v>USK - UNIPOL 6 24</v>
      </c>
      <c r="K312" s="337">
        <v>35000</v>
      </c>
      <c r="L312" s="332">
        <v>0.25279200000000002</v>
      </c>
      <c r="M312" s="326"/>
      <c r="N312" s="343" t="s">
        <v>148</v>
      </c>
      <c r="O312" s="310" t="s">
        <v>75</v>
      </c>
      <c r="P312" s="310" t="str">
        <f t="shared" si="9"/>
        <v>UNIPOL TP</v>
      </c>
      <c r="Q312" s="311">
        <v>4</v>
      </c>
      <c r="R312" s="300"/>
      <c r="S312" s="288"/>
      <c r="T312" s="288"/>
      <c r="U312" s="300"/>
      <c r="V312" s="288"/>
      <c r="W312" s="288"/>
      <c r="X312" s="288"/>
      <c r="Y312" s="300"/>
      <c r="Z312" s="2"/>
      <c r="AC312" s="300"/>
    </row>
    <row r="313" spans="3:29" hidden="1">
      <c r="C313" s="2"/>
      <c r="D313" s="5"/>
      <c r="E313" s="339"/>
      <c r="F313" s="340"/>
      <c r="G313" s="341" t="s">
        <v>158</v>
      </c>
      <c r="H313" s="336">
        <v>6</v>
      </c>
      <c r="I313" s="336">
        <v>36</v>
      </c>
      <c r="J313" s="336" t="str">
        <f t="shared" si="10"/>
        <v>USK - UNIPOL 6 36</v>
      </c>
      <c r="K313" s="337">
        <v>35000</v>
      </c>
      <c r="L313" s="332">
        <v>0.37410399999999999</v>
      </c>
      <c r="M313" s="326"/>
      <c r="N313" s="343" t="s">
        <v>148</v>
      </c>
      <c r="O313" s="310" t="s">
        <v>134</v>
      </c>
      <c r="P313" s="310" t="str">
        <f t="shared" si="9"/>
        <v>UNIPOL TR</v>
      </c>
      <c r="Q313" s="311">
        <v>5</v>
      </c>
      <c r="R313" s="300"/>
      <c r="S313" s="288"/>
      <c r="T313" s="288"/>
      <c r="U313" s="300"/>
      <c r="V313" s="288"/>
      <c r="W313" s="288"/>
      <c r="X313" s="288"/>
      <c r="Y313" s="300"/>
      <c r="Z313" s="2"/>
      <c r="AC313" s="300"/>
    </row>
    <row r="314" spans="3:29" hidden="1">
      <c r="C314" s="2"/>
      <c r="D314" s="5"/>
      <c r="E314" s="339"/>
      <c r="F314" s="340"/>
      <c r="G314" s="341" t="s">
        <v>158</v>
      </c>
      <c r="H314" s="336">
        <v>6</v>
      </c>
      <c r="I314" s="336">
        <v>48</v>
      </c>
      <c r="J314" s="336" t="str">
        <f t="shared" si="10"/>
        <v>USK - UNIPOL 6 48</v>
      </c>
      <c r="K314" s="337">
        <v>35000</v>
      </c>
      <c r="L314" s="332">
        <v>0.49535700000000005</v>
      </c>
      <c r="M314" s="326"/>
      <c r="N314" s="343" t="s">
        <v>148</v>
      </c>
      <c r="O314" s="310" t="s">
        <v>135</v>
      </c>
      <c r="P314" s="310" t="str">
        <f t="shared" si="9"/>
        <v>UNIPOL TS</v>
      </c>
      <c r="Q314" s="311">
        <v>5</v>
      </c>
      <c r="R314" s="300"/>
      <c r="S314" s="288"/>
      <c r="T314" s="288"/>
      <c r="U314" s="300"/>
      <c r="V314" s="288"/>
      <c r="W314" s="288"/>
      <c r="X314" s="288"/>
      <c r="Y314" s="300"/>
      <c r="Z314" s="2"/>
      <c r="AC314" s="300"/>
    </row>
    <row r="315" spans="3:29" hidden="1">
      <c r="C315" s="2"/>
      <c r="D315" s="5"/>
      <c r="E315" s="339"/>
      <c r="F315" s="340"/>
      <c r="G315" s="341" t="s">
        <v>158</v>
      </c>
      <c r="H315" s="336">
        <v>6</v>
      </c>
      <c r="I315" s="336">
        <v>60</v>
      </c>
      <c r="J315" s="336" t="str">
        <f t="shared" si="10"/>
        <v>USK - UNIPOL 6 60</v>
      </c>
      <c r="K315" s="337">
        <v>35000</v>
      </c>
      <c r="L315" s="332">
        <v>0.61661100000000002</v>
      </c>
      <c r="M315" s="326"/>
      <c r="N315" s="343" t="s">
        <v>148</v>
      </c>
      <c r="O315" s="310" t="s">
        <v>133</v>
      </c>
      <c r="P315" s="310" t="str">
        <f t="shared" si="9"/>
        <v>UNIPOL TV</v>
      </c>
      <c r="Q315" s="311">
        <v>5</v>
      </c>
      <c r="R315" s="300"/>
      <c r="S315" s="288"/>
      <c r="T315" s="288"/>
      <c r="U315" s="300"/>
      <c r="V315" s="288"/>
      <c r="W315" s="288"/>
      <c r="X315" s="288"/>
      <c r="Y315" s="300"/>
      <c r="Z315" s="2"/>
      <c r="AC315" s="300"/>
    </row>
    <row r="316" spans="3:29" hidden="1">
      <c r="C316" s="2"/>
      <c r="D316" s="5"/>
      <c r="E316" s="339"/>
      <c r="F316" s="340"/>
      <c r="G316" s="341" t="s">
        <v>158</v>
      </c>
      <c r="H316" s="336">
        <v>6</v>
      </c>
      <c r="I316" s="336">
        <v>72</v>
      </c>
      <c r="J316" s="336" t="str">
        <f t="shared" si="10"/>
        <v>USK - UNIPOL 6 72</v>
      </c>
      <c r="K316" s="337">
        <v>35000</v>
      </c>
      <c r="L316" s="332">
        <v>0.73786499999999999</v>
      </c>
      <c r="M316" s="326"/>
      <c r="N316" s="343" t="s">
        <v>148</v>
      </c>
      <c r="O316" s="310" t="s">
        <v>136</v>
      </c>
      <c r="P316" s="310" t="str">
        <f t="shared" si="9"/>
        <v>UNIPOL UD</v>
      </c>
      <c r="Q316" s="311">
        <v>5</v>
      </c>
      <c r="R316" s="300"/>
      <c r="S316" s="288"/>
      <c r="T316" s="288"/>
      <c r="U316" s="300"/>
      <c r="V316" s="288"/>
      <c r="W316" s="288"/>
      <c r="X316" s="288"/>
      <c r="Y316" s="300"/>
      <c r="Z316" s="2"/>
      <c r="AC316" s="300"/>
    </row>
    <row r="317" spans="3:29" hidden="1">
      <c r="C317" s="2"/>
      <c r="D317" s="5"/>
      <c r="E317" s="339"/>
      <c r="F317" s="340"/>
      <c r="G317" s="341" t="s">
        <v>158</v>
      </c>
      <c r="H317" s="319">
        <v>7</v>
      </c>
      <c r="I317" s="319">
        <v>12</v>
      </c>
      <c r="J317" s="319" t="str">
        <f t="shared" si="10"/>
        <v>USK - UNIPOL 7 12</v>
      </c>
      <c r="K317" s="320">
        <v>100000</v>
      </c>
      <c r="L317" s="321">
        <v>7.6498999999999998E-2</v>
      </c>
      <c r="M317" s="326"/>
      <c r="N317" s="343" t="s">
        <v>148</v>
      </c>
      <c r="O317" s="310" t="s">
        <v>137</v>
      </c>
      <c r="P317" s="310" t="str">
        <f t="shared" si="9"/>
        <v>UNIPOL VA</v>
      </c>
      <c r="Q317" s="311">
        <v>5</v>
      </c>
      <c r="R317" s="300"/>
      <c r="S317" s="288"/>
      <c r="T317" s="288"/>
      <c r="U317" s="300"/>
      <c r="V317" s="288"/>
      <c r="W317" s="288"/>
      <c r="X317" s="288"/>
      <c r="Y317" s="300"/>
      <c r="Z317" s="2"/>
      <c r="AC317" s="300"/>
    </row>
    <row r="318" spans="3:29" hidden="1">
      <c r="C318" s="2"/>
      <c r="D318" s="5"/>
      <c r="E318" s="339"/>
      <c r="F318" s="340"/>
      <c r="G318" s="341" t="s">
        <v>158</v>
      </c>
      <c r="H318" s="319">
        <v>7</v>
      </c>
      <c r="I318" s="319">
        <v>24</v>
      </c>
      <c r="J318" s="319" t="str">
        <f t="shared" si="10"/>
        <v>USK - UNIPOL 7 24</v>
      </c>
      <c r="K318" s="320">
        <v>100000</v>
      </c>
      <c r="L318" s="321">
        <v>0.14530199999999999</v>
      </c>
      <c r="M318" s="326"/>
      <c r="N318" s="343" t="s">
        <v>148</v>
      </c>
      <c r="O318" s="310" t="s">
        <v>138</v>
      </c>
      <c r="P318" s="310" t="str">
        <f t="shared" si="9"/>
        <v>UNIPOL VB</v>
      </c>
      <c r="Q318" s="311">
        <v>5</v>
      </c>
      <c r="R318" s="300"/>
      <c r="S318" s="288"/>
      <c r="T318" s="288"/>
      <c r="U318" s="300"/>
      <c r="V318" s="288"/>
      <c r="W318" s="288"/>
      <c r="X318" s="288"/>
      <c r="Y318" s="300"/>
      <c r="Z318" s="2"/>
      <c r="AC318" s="300"/>
    </row>
    <row r="319" spans="3:29" hidden="1">
      <c r="C319" s="2"/>
      <c r="D319" s="5"/>
      <c r="E319" s="339"/>
      <c r="F319" s="340"/>
      <c r="G319" s="341" t="s">
        <v>158</v>
      </c>
      <c r="H319" s="319">
        <v>7</v>
      </c>
      <c r="I319" s="319">
        <v>36</v>
      </c>
      <c r="J319" s="319" t="str">
        <f t="shared" si="10"/>
        <v>USK - UNIPOL 7 36</v>
      </c>
      <c r="K319" s="320">
        <v>100000</v>
      </c>
      <c r="L319" s="321">
        <v>0.21344099999999999</v>
      </c>
      <c r="M319" s="326"/>
      <c r="N319" s="343" t="s">
        <v>148</v>
      </c>
      <c r="O319" s="310" t="s">
        <v>139</v>
      </c>
      <c r="P319" s="310" t="str">
        <f t="shared" si="9"/>
        <v>UNIPOL VC</v>
      </c>
      <c r="Q319" s="311">
        <v>5</v>
      </c>
      <c r="R319" s="300"/>
      <c r="S319" s="288"/>
      <c r="T319" s="288"/>
      <c r="U319" s="300"/>
      <c r="V319" s="288"/>
      <c r="W319" s="288"/>
      <c r="X319" s="288"/>
      <c r="Y319" s="300"/>
      <c r="Z319" s="2"/>
      <c r="AC319" s="300"/>
    </row>
    <row r="320" spans="3:29" hidden="1">
      <c r="C320" s="2"/>
      <c r="D320" s="5"/>
      <c r="E320" s="339"/>
      <c r="F320" s="340"/>
      <c r="G320" s="341" t="s">
        <v>158</v>
      </c>
      <c r="H320" s="319">
        <v>7</v>
      </c>
      <c r="I320" s="319">
        <v>48</v>
      </c>
      <c r="J320" s="319" t="str">
        <f t="shared" si="10"/>
        <v>USK - UNIPOL 7 48</v>
      </c>
      <c r="K320" s="320">
        <v>100000</v>
      </c>
      <c r="L320" s="321">
        <v>0.28152899999999997</v>
      </c>
      <c r="M320" s="326"/>
      <c r="N320" s="343" t="s">
        <v>148</v>
      </c>
      <c r="O320" s="310" t="s">
        <v>140</v>
      </c>
      <c r="P320" s="310" t="str">
        <f t="shared" si="9"/>
        <v>UNIPOL VE</v>
      </c>
      <c r="Q320" s="311">
        <v>5</v>
      </c>
      <c r="R320" s="300"/>
      <c r="S320" s="288"/>
      <c r="T320" s="288"/>
      <c r="U320" s="300"/>
      <c r="V320" s="288"/>
      <c r="W320" s="288"/>
      <c r="X320" s="288"/>
      <c r="Y320" s="300"/>
      <c r="Z320" s="2"/>
      <c r="AC320" s="300"/>
    </row>
    <row r="321" spans="3:29" hidden="1">
      <c r="C321" s="2"/>
      <c r="D321" s="5"/>
      <c r="E321" s="339"/>
      <c r="F321" s="340"/>
      <c r="G321" s="341" t="s">
        <v>158</v>
      </c>
      <c r="H321" s="319">
        <v>7</v>
      </c>
      <c r="I321" s="319">
        <v>60</v>
      </c>
      <c r="J321" s="319" t="str">
        <f t="shared" si="10"/>
        <v>USK - UNIPOL 7 60</v>
      </c>
      <c r="K321" s="320">
        <v>100000</v>
      </c>
      <c r="L321" s="321">
        <v>0.34961700000000001</v>
      </c>
      <c r="M321" s="326"/>
      <c r="N321" s="343" t="s">
        <v>148</v>
      </c>
      <c r="O321" s="310" t="s">
        <v>141</v>
      </c>
      <c r="P321" s="310" t="str">
        <f t="shared" si="9"/>
        <v>UNIPOL VI</v>
      </c>
      <c r="Q321" s="311">
        <v>5</v>
      </c>
      <c r="R321" s="300"/>
      <c r="S321" s="288"/>
      <c r="T321" s="288"/>
      <c r="U321" s="300"/>
      <c r="V321" s="288"/>
      <c r="W321" s="288"/>
      <c r="X321" s="288"/>
      <c r="Y321" s="300"/>
      <c r="Z321" s="2"/>
      <c r="AC321" s="300"/>
    </row>
    <row r="322" spans="3:29" ht="15.75" hidden="1" thickBot="1">
      <c r="C322" s="2"/>
      <c r="D322" s="5"/>
      <c r="E322" s="339"/>
      <c r="F322" s="340"/>
      <c r="G322" s="341" t="s">
        <v>158</v>
      </c>
      <c r="H322" s="347">
        <v>7</v>
      </c>
      <c r="I322" s="348">
        <v>72</v>
      </c>
      <c r="J322" s="348" t="str">
        <f t="shared" si="10"/>
        <v>USK - UNIPOL 7 72</v>
      </c>
      <c r="K322" s="349">
        <v>100000</v>
      </c>
      <c r="L322" s="350">
        <v>0.41770499999999999</v>
      </c>
      <c r="M322" s="326"/>
      <c r="N322" s="343" t="s">
        <v>148</v>
      </c>
      <c r="O322" s="310" t="s">
        <v>142</v>
      </c>
      <c r="P322" s="310" t="str">
        <f t="shared" si="9"/>
        <v>UNIPOL VR</v>
      </c>
      <c r="Q322" s="311">
        <v>5</v>
      </c>
      <c r="R322" s="300"/>
      <c r="S322" s="288"/>
      <c r="T322" s="288"/>
      <c r="U322" s="300"/>
      <c r="V322" s="288"/>
      <c r="W322" s="288"/>
      <c r="X322" s="288"/>
      <c r="Y322" s="300"/>
      <c r="Z322" s="2"/>
      <c r="AC322" s="300"/>
    </row>
    <row r="323" spans="3:29" ht="15.75" hidden="1" thickTop="1">
      <c r="C323" s="2"/>
      <c r="D323" s="5"/>
      <c r="E323" s="339"/>
      <c r="F323" s="340"/>
      <c r="G323" s="341" t="s">
        <v>157</v>
      </c>
      <c r="H323" s="351">
        <v>1</v>
      </c>
      <c r="I323" s="351">
        <v>12</v>
      </c>
      <c r="J323" s="351" t="str">
        <f t="shared" si="10"/>
        <v>UST - UNIPOL 1 12</v>
      </c>
      <c r="K323" s="352">
        <v>100000</v>
      </c>
      <c r="L323" s="353">
        <v>7.9631490749999992E-2</v>
      </c>
      <c r="M323" s="326"/>
      <c r="N323" s="343" t="s">
        <v>148</v>
      </c>
      <c r="O323" s="310" t="s">
        <v>143</v>
      </c>
      <c r="P323" s="310" t="str">
        <f t="shared" si="9"/>
        <v>UNIPOL VT</v>
      </c>
      <c r="Q323" s="311">
        <v>5</v>
      </c>
      <c r="R323" s="300"/>
      <c r="S323" s="288"/>
      <c r="T323" s="288"/>
      <c r="U323" s="300"/>
      <c r="V323" s="288"/>
      <c r="W323" s="288"/>
      <c r="X323" s="288"/>
      <c r="Y323" s="300"/>
      <c r="Z323" s="2"/>
      <c r="AC323" s="300"/>
    </row>
    <row r="324" spans="3:29" ht="15.75" hidden="1" thickBot="1">
      <c r="C324" s="2"/>
      <c r="D324" s="5"/>
      <c r="E324" s="339"/>
      <c r="F324" s="340"/>
      <c r="G324" s="341" t="s">
        <v>157</v>
      </c>
      <c r="H324" s="351">
        <v>1</v>
      </c>
      <c r="I324" s="351">
        <v>24</v>
      </c>
      <c r="J324" s="351" t="str">
        <f t="shared" si="10"/>
        <v>UST - UNIPOL 1 24</v>
      </c>
      <c r="K324" s="352">
        <v>100000</v>
      </c>
      <c r="L324" s="353">
        <v>0.15170371124999998</v>
      </c>
      <c r="M324" s="354"/>
      <c r="N324" s="355" t="s">
        <v>148</v>
      </c>
      <c r="O324" s="356" t="s">
        <v>64</v>
      </c>
      <c r="P324" s="356" t="str">
        <f t="shared" ref="P324" si="11">CONCATENATE(N324," ",O324)</f>
        <v>UNIPOL VV</v>
      </c>
      <c r="Q324" s="357">
        <v>3</v>
      </c>
      <c r="R324" s="300"/>
      <c r="S324" s="288"/>
      <c r="T324" s="288"/>
      <c r="U324" s="300"/>
      <c r="V324" s="288"/>
      <c r="W324" s="288"/>
      <c r="X324" s="288"/>
      <c r="Y324" s="300"/>
      <c r="Z324" s="2"/>
      <c r="AC324" s="300"/>
    </row>
    <row r="325" spans="3:29" hidden="1">
      <c r="C325" s="2"/>
      <c r="D325" s="5"/>
      <c r="E325" s="339"/>
      <c r="F325" s="340"/>
      <c r="G325" s="341" t="s">
        <v>157</v>
      </c>
      <c r="H325" s="351">
        <v>1</v>
      </c>
      <c r="I325" s="351">
        <v>36</v>
      </c>
      <c r="J325" s="351" t="str">
        <f t="shared" ref="J325:J364" si="12">CONCATENATE(G325," ",H325," ",I325)</f>
        <v>UST - UNIPOL 1 36</v>
      </c>
      <c r="K325" s="352">
        <v>100000</v>
      </c>
      <c r="L325" s="353">
        <v>0.22755616274999999</v>
      </c>
      <c r="M325" s="287"/>
      <c r="N325" s="287"/>
      <c r="O325" s="287"/>
      <c r="P325" s="287"/>
      <c r="Q325" s="287"/>
      <c r="R325" s="300"/>
      <c r="S325" s="288"/>
      <c r="T325" s="288"/>
      <c r="U325" s="300"/>
      <c r="V325" s="288"/>
      <c r="W325" s="288"/>
      <c r="X325" s="288"/>
      <c r="Y325" s="300"/>
      <c r="Z325" s="2"/>
      <c r="AC325" s="300"/>
    </row>
    <row r="326" spans="3:29" hidden="1">
      <c r="C326" s="2"/>
      <c r="D326" s="5"/>
      <c r="E326" s="339"/>
      <c r="F326" s="340"/>
      <c r="G326" s="341" t="s">
        <v>157</v>
      </c>
      <c r="H326" s="351">
        <v>1</v>
      </c>
      <c r="I326" s="351">
        <v>48</v>
      </c>
      <c r="J326" s="351" t="str">
        <f t="shared" si="12"/>
        <v>UST - UNIPOL 1 48</v>
      </c>
      <c r="K326" s="352">
        <v>100000</v>
      </c>
      <c r="L326" s="353">
        <v>0.30340742249999997</v>
      </c>
      <c r="M326" s="287"/>
      <c r="N326" s="287"/>
      <c r="O326" s="287"/>
      <c r="P326" s="287"/>
      <c r="Q326" s="287"/>
      <c r="R326" s="300"/>
      <c r="S326" s="288"/>
      <c r="T326" s="288"/>
      <c r="U326" s="300"/>
      <c r="V326" s="288"/>
      <c r="W326" s="288"/>
      <c r="X326" s="288"/>
      <c r="Y326" s="300"/>
      <c r="Z326" s="2"/>
      <c r="AC326" s="300"/>
    </row>
    <row r="327" spans="3:29" hidden="1">
      <c r="C327" s="2"/>
      <c r="D327" s="5"/>
      <c r="E327" s="339"/>
      <c r="F327" s="340"/>
      <c r="G327" s="341" t="s">
        <v>157</v>
      </c>
      <c r="H327" s="351">
        <v>1</v>
      </c>
      <c r="I327" s="351">
        <v>60</v>
      </c>
      <c r="J327" s="351" t="str">
        <f t="shared" si="12"/>
        <v>UST - UNIPOL 1 60</v>
      </c>
      <c r="K327" s="352">
        <v>100000</v>
      </c>
      <c r="L327" s="353">
        <v>0.37925987400000011</v>
      </c>
      <c r="M327" s="287"/>
      <c r="N327" s="287"/>
      <c r="O327" s="287"/>
      <c r="P327" s="287"/>
      <c r="Q327" s="287"/>
      <c r="R327" s="300"/>
      <c r="S327" s="288"/>
      <c r="T327" s="288"/>
      <c r="U327" s="300"/>
      <c r="V327" s="288"/>
      <c r="W327" s="288"/>
      <c r="X327" s="288"/>
      <c r="Y327" s="300"/>
      <c r="Z327" s="2"/>
      <c r="AC327" s="300"/>
    </row>
    <row r="328" spans="3:29" hidden="1">
      <c r="C328" s="2"/>
      <c r="D328" s="5"/>
      <c r="E328" s="339"/>
      <c r="F328" s="340"/>
      <c r="G328" s="341" t="s">
        <v>157</v>
      </c>
      <c r="H328" s="351">
        <v>1</v>
      </c>
      <c r="I328" s="351">
        <v>72</v>
      </c>
      <c r="J328" s="351" t="str">
        <f t="shared" si="12"/>
        <v>UST - UNIPOL 1 72</v>
      </c>
      <c r="K328" s="352">
        <v>100000</v>
      </c>
      <c r="L328" s="353">
        <v>0.45511113375000001</v>
      </c>
      <c r="M328" s="287"/>
      <c r="N328" s="287"/>
      <c r="O328" s="287"/>
      <c r="P328" s="287"/>
      <c r="Q328" s="287"/>
      <c r="R328" s="300"/>
      <c r="S328" s="288"/>
      <c r="T328" s="288"/>
      <c r="U328" s="300"/>
      <c r="V328" s="288"/>
      <c r="W328" s="288"/>
      <c r="X328" s="288"/>
      <c r="Y328" s="300"/>
      <c r="Z328" s="2"/>
      <c r="AC328" s="300"/>
    </row>
    <row r="329" spans="3:29" hidden="1">
      <c r="C329" s="2"/>
      <c r="D329" s="5"/>
      <c r="E329" s="339"/>
      <c r="F329" s="340"/>
      <c r="G329" s="341" t="s">
        <v>157</v>
      </c>
      <c r="H329" s="336">
        <v>2</v>
      </c>
      <c r="I329" s="336">
        <v>12</v>
      </c>
      <c r="J329" s="336" t="str">
        <f t="shared" si="12"/>
        <v>UST - UNIPOL 2 12</v>
      </c>
      <c r="K329" s="337">
        <v>100000</v>
      </c>
      <c r="L329" s="332">
        <v>6.4791819750000021E-2</v>
      </c>
      <c r="M329" s="287"/>
      <c r="N329" s="287"/>
      <c r="O329" s="287"/>
      <c r="P329" s="287"/>
      <c r="Q329" s="287"/>
      <c r="R329" s="300"/>
      <c r="S329" s="288"/>
      <c r="T329" s="288"/>
      <c r="U329" s="300"/>
      <c r="V329" s="288"/>
      <c r="W329" s="288"/>
      <c r="X329" s="288"/>
      <c r="Y329" s="300"/>
      <c r="Z329" s="2"/>
      <c r="AC329" s="300"/>
    </row>
    <row r="330" spans="3:29" hidden="1">
      <c r="C330" s="2"/>
      <c r="D330" s="5"/>
      <c r="E330" s="339"/>
      <c r="F330" s="340"/>
      <c r="G330" s="341" t="s">
        <v>157</v>
      </c>
      <c r="H330" s="336">
        <v>2</v>
      </c>
      <c r="I330" s="336">
        <v>24</v>
      </c>
      <c r="J330" s="336" t="str">
        <f t="shared" si="12"/>
        <v>UST - UNIPOL 2 24</v>
      </c>
      <c r="K330" s="337">
        <v>100000</v>
      </c>
      <c r="L330" s="332">
        <v>0.1234771125</v>
      </c>
      <c r="M330" s="287"/>
      <c r="N330" s="287"/>
      <c r="O330" s="287"/>
      <c r="P330" s="287"/>
      <c r="Q330" s="287"/>
      <c r="R330" s="300"/>
      <c r="S330" s="288"/>
      <c r="T330" s="288"/>
      <c r="U330" s="300"/>
      <c r="V330" s="288"/>
      <c r="W330" s="288"/>
      <c r="X330" s="288"/>
      <c r="Y330" s="300"/>
      <c r="Z330" s="2"/>
      <c r="AC330" s="300"/>
    </row>
    <row r="331" spans="3:29" hidden="1">
      <c r="C331" s="2"/>
      <c r="D331" s="5"/>
      <c r="E331" s="339"/>
      <c r="F331" s="340"/>
      <c r="G331" s="341" t="s">
        <v>157</v>
      </c>
      <c r="H331" s="336">
        <v>2</v>
      </c>
      <c r="I331" s="336">
        <v>36</v>
      </c>
      <c r="J331" s="336" t="str">
        <f t="shared" si="12"/>
        <v>UST - UNIPOL 2 36</v>
      </c>
      <c r="K331" s="337">
        <v>100000</v>
      </c>
      <c r="L331" s="332">
        <v>0.18521566874999995</v>
      </c>
      <c r="M331" s="287"/>
      <c r="N331" s="287"/>
      <c r="O331" s="287"/>
      <c r="P331" s="287"/>
      <c r="Q331" s="287"/>
      <c r="R331" s="300"/>
      <c r="S331" s="288"/>
      <c r="T331" s="288"/>
      <c r="U331" s="300"/>
      <c r="V331" s="288"/>
      <c r="W331" s="288"/>
      <c r="X331" s="288"/>
      <c r="Y331" s="300"/>
      <c r="Z331" s="2"/>
      <c r="AC331" s="300"/>
    </row>
    <row r="332" spans="3:29" hidden="1">
      <c r="C332" s="2"/>
      <c r="D332" s="5"/>
      <c r="E332" s="339"/>
      <c r="F332" s="340"/>
      <c r="G332" s="341" t="s">
        <v>157</v>
      </c>
      <c r="H332" s="336">
        <v>2</v>
      </c>
      <c r="I332" s="336">
        <v>48</v>
      </c>
      <c r="J332" s="336" t="str">
        <f t="shared" si="12"/>
        <v>UST - UNIPOL 2 48</v>
      </c>
      <c r="K332" s="337">
        <v>100000</v>
      </c>
      <c r="L332" s="332">
        <v>0.246954225</v>
      </c>
      <c r="M332" s="287"/>
      <c r="N332" s="287"/>
      <c r="O332" s="287"/>
      <c r="P332" s="287"/>
      <c r="Q332" s="287"/>
      <c r="R332" s="300"/>
      <c r="S332" s="288"/>
      <c r="T332" s="288"/>
      <c r="U332" s="300"/>
      <c r="V332" s="288"/>
      <c r="W332" s="288"/>
      <c r="X332" s="288"/>
      <c r="Y332" s="300"/>
      <c r="Z332" s="2"/>
      <c r="AC332" s="300"/>
    </row>
    <row r="333" spans="3:29" hidden="1">
      <c r="C333" s="2"/>
      <c r="D333" s="5"/>
      <c r="E333" s="339"/>
      <c r="F333" s="340"/>
      <c r="G333" s="341" t="s">
        <v>157</v>
      </c>
      <c r="H333" s="336">
        <v>2</v>
      </c>
      <c r="I333" s="336">
        <v>60</v>
      </c>
      <c r="J333" s="336" t="str">
        <f t="shared" si="12"/>
        <v>UST - UNIPOL 2 60</v>
      </c>
      <c r="K333" s="337">
        <v>100000</v>
      </c>
      <c r="L333" s="332">
        <v>0.30869278125000005</v>
      </c>
      <c r="M333" s="287"/>
      <c r="N333" s="287"/>
      <c r="O333" s="287"/>
      <c r="P333" s="287"/>
      <c r="Q333" s="287"/>
      <c r="R333" s="300"/>
      <c r="S333" s="288"/>
      <c r="T333" s="288"/>
      <c r="U333" s="300"/>
      <c r="V333" s="288"/>
      <c r="W333" s="288"/>
      <c r="X333" s="288"/>
      <c r="Y333" s="300"/>
      <c r="Z333" s="2"/>
      <c r="AC333" s="300"/>
    </row>
    <row r="334" spans="3:29" hidden="1">
      <c r="C334" s="2"/>
      <c r="D334" s="5"/>
      <c r="E334" s="339"/>
      <c r="F334" s="340"/>
      <c r="G334" s="341" t="s">
        <v>157</v>
      </c>
      <c r="H334" s="336">
        <v>2</v>
      </c>
      <c r="I334" s="336">
        <v>72</v>
      </c>
      <c r="J334" s="336" t="str">
        <f t="shared" si="12"/>
        <v>UST - UNIPOL 2 72</v>
      </c>
      <c r="K334" s="337">
        <v>100000</v>
      </c>
      <c r="L334" s="332">
        <v>0.3704313374999999</v>
      </c>
      <c r="M334" s="287"/>
      <c r="N334" s="287"/>
      <c r="O334" s="287"/>
      <c r="P334" s="287"/>
      <c r="Q334" s="287"/>
      <c r="R334" s="300"/>
      <c r="S334" s="288"/>
      <c r="T334" s="288"/>
      <c r="U334" s="300"/>
      <c r="V334" s="288"/>
      <c r="W334" s="288"/>
      <c r="X334" s="288"/>
      <c r="Y334" s="300"/>
      <c r="Z334" s="2"/>
      <c r="AC334" s="300"/>
    </row>
    <row r="335" spans="3:29" hidden="1">
      <c r="C335" s="2"/>
      <c r="D335" s="5"/>
      <c r="E335" s="339"/>
      <c r="F335" s="340"/>
      <c r="G335" s="341" t="s">
        <v>157</v>
      </c>
      <c r="H335" s="319">
        <v>3</v>
      </c>
      <c r="I335" s="319">
        <v>12</v>
      </c>
      <c r="J335" s="319" t="str">
        <f t="shared" si="12"/>
        <v>UST - UNIPOL 3 12</v>
      </c>
      <c r="K335" s="320">
        <v>100000</v>
      </c>
      <c r="L335" s="321">
        <v>4.0444367250000009E-2</v>
      </c>
      <c r="M335" s="287"/>
      <c r="N335" s="287"/>
      <c r="O335" s="287"/>
      <c r="P335" s="287"/>
      <c r="Q335" s="287"/>
      <c r="R335" s="300"/>
      <c r="S335" s="288"/>
      <c r="T335" s="288"/>
      <c r="U335" s="300"/>
      <c r="V335" s="288"/>
      <c r="W335" s="288"/>
      <c r="X335" s="288"/>
      <c r="Y335" s="300"/>
      <c r="Z335" s="2"/>
      <c r="AC335" s="300"/>
    </row>
    <row r="336" spans="3:29" hidden="1">
      <c r="C336" s="2"/>
      <c r="D336" s="5"/>
      <c r="E336" s="339"/>
      <c r="F336" s="340"/>
      <c r="G336" s="341" t="s">
        <v>157</v>
      </c>
      <c r="H336" s="319">
        <v>3</v>
      </c>
      <c r="I336" s="319">
        <v>24</v>
      </c>
      <c r="J336" s="319" t="str">
        <f t="shared" si="12"/>
        <v>UST - UNIPOL 3 24</v>
      </c>
      <c r="K336" s="320">
        <v>100000</v>
      </c>
      <c r="L336" s="321">
        <v>7.7168091000000008E-2</v>
      </c>
      <c r="M336" s="287"/>
      <c r="N336" s="287"/>
      <c r="O336" s="287"/>
      <c r="P336" s="287"/>
      <c r="Q336" s="287"/>
      <c r="R336" s="300"/>
      <c r="S336" s="288"/>
      <c r="T336" s="288"/>
      <c r="U336" s="300"/>
      <c r="V336" s="288"/>
      <c r="W336" s="288"/>
      <c r="X336" s="288"/>
      <c r="Y336" s="300"/>
      <c r="Z336" s="2"/>
      <c r="AC336" s="300"/>
    </row>
    <row r="337" spans="3:29" hidden="1">
      <c r="C337" s="2"/>
      <c r="D337" s="5"/>
      <c r="E337" s="339"/>
      <c r="F337" s="340"/>
      <c r="G337" s="341" t="s">
        <v>157</v>
      </c>
      <c r="H337" s="319">
        <v>3</v>
      </c>
      <c r="I337" s="319">
        <v>36</v>
      </c>
      <c r="J337" s="319" t="str">
        <f t="shared" si="12"/>
        <v>UST - UNIPOL 3 36</v>
      </c>
      <c r="K337" s="320">
        <v>100000</v>
      </c>
      <c r="L337" s="321">
        <v>0.11575213649999998</v>
      </c>
      <c r="M337" s="287"/>
      <c r="N337" s="287"/>
      <c r="O337" s="287"/>
      <c r="P337" s="287"/>
      <c r="Q337" s="287"/>
      <c r="R337" s="300"/>
      <c r="S337" s="288"/>
      <c r="T337" s="288"/>
      <c r="U337" s="300"/>
      <c r="V337" s="288"/>
      <c r="W337" s="288"/>
      <c r="X337" s="288"/>
      <c r="Y337" s="300"/>
      <c r="Z337" s="2"/>
      <c r="AC337" s="300"/>
    </row>
    <row r="338" spans="3:29" hidden="1">
      <c r="C338" s="2"/>
      <c r="D338" s="5"/>
      <c r="E338" s="339"/>
      <c r="F338" s="340"/>
      <c r="G338" s="341" t="s">
        <v>157</v>
      </c>
      <c r="H338" s="319">
        <v>3</v>
      </c>
      <c r="I338" s="319">
        <v>48</v>
      </c>
      <c r="J338" s="319" t="str">
        <f t="shared" si="12"/>
        <v>UST - UNIPOL 3 48</v>
      </c>
      <c r="K338" s="320">
        <v>100000</v>
      </c>
      <c r="L338" s="321">
        <v>0.15433737374999998</v>
      </c>
      <c r="M338" s="287"/>
      <c r="N338" s="287"/>
      <c r="O338" s="287"/>
      <c r="P338" s="287"/>
      <c r="Q338" s="287"/>
      <c r="R338" s="300"/>
      <c r="S338" s="288"/>
      <c r="T338" s="288"/>
      <c r="U338" s="300"/>
      <c r="V338" s="288"/>
      <c r="W338" s="288"/>
      <c r="X338" s="288"/>
      <c r="Y338" s="300"/>
      <c r="Z338" s="2"/>
      <c r="AC338" s="300"/>
    </row>
    <row r="339" spans="3:29" hidden="1">
      <c r="C339" s="2"/>
      <c r="D339" s="5"/>
      <c r="E339" s="339"/>
      <c r="F339" s="340"/>
      <c r="G339" s="341" t="s">
        <v>157</v>
      </c>
      <c r="H339" s="319">
        <v>3</v>
      </c>
      <c r="I339" s="319">
        <v>60</v>
      </c>
      <c r="J339" s="319" t="str">
        <f t="shared" si="12"/>
        <v>UST - UNIPOL 3 60</v>
      </c>
      <c r="K339" s="320">
        <v>100000</v>
      </c>
      <c r="L339" s="321">
        <v>0.19292141925</v>
      </c>
      <c r="M339" s="287"/>
      <c r="N339" s="287"/>
      <c r="O339" s="287"/>
      <c r="P339" s="287"/>
      <c r="Q339" s="287"/>
      <c r="R339" s="300"/>
      <c r="S339" s="288"/>
      <c r="T339" s="288"/>
      <c r="U339" s="300"/>
      <c r="V339" s="288"/>
      <c r="W339" s="288"/>
      <c r="X339" s="288"/>
      <c r="Y339" s="300"/>
      <c r="Z339" s="2"/>
      <c r="AC339" s="300"/>
    </row>
    <row r="340" spans="3:29" hidden="1">
      <c r="C340" s="2"/>
      <c r="D340" s="5"/>
      <c r="E340" s="339"/>
      <c r="F340" s="340"/>
      <c r="G340" s="341" t="s">
        <v>157</v>
      </c>
      <c r="H340" s="319">
        <v>3</v>
      </c>
      <c r="I340" s="319">
        <v>72</v>
      </c>
      <c r="J340" s="319" t="str">
        <f t="shared" si="12"/>
        <v>UST - UNIPOL 3 72</v>
      </c>
      <c r="K340" s="320">
        <v>100000</v>
      </c>
      <c r="L340" s="321">
        <v>0.23150546474999995</v>
      </c>
      <c r="M340" s="287"/>
      <c r="N340" s="287"/>
      <c r="O340" s="287"/>
      <c r="P340" s="287"/>
      <c r="Q340" s="287"/>
      <c r="R340" s="300"/>
      <c r="S340" s="288"/>
      <c r="T340" s="288"/>
      <c r="U340" s="300"/>
      <c r="V340" s="288"/>
      <c r="W340" s="288"/>
      <c r="X340" s="288"/>
      <c r="Y340" s="300"/>
      <c r="Z340" s="2"/>
      <c r="AC340" s="300"/>
    </row>
    <row r="341" spans="3:29" hidden="1">
      <c r="C341" s="2"/>
      <c r="D341" s="5"/>
      <c r="E341" s="339"/>
      <c r="F341" s="340"/>
      <c r="G341" s="341" t="s">
        <v>157</v>
      </c>
      <c r="H341" s="336">
        <v>4</v>
      </c>
      <c r="I341" s="336">
        <v>12</v>
      </c>
      <c r="J341" s="336" t="str">
        <f t="shared" si="12"/>
        <v>UST - UNIPOL 4 12</v>
      </c>
      <c r="K341" s="337">
        <v>100000</v>
      </c>
      <c r="L341" s="332">
        <v>3.7258819499999998E-2</v>
      </c>
      <c r="M341" s="287"/>
      <c r="N341" s="287"/>
      <c r="O341" s="287"/>
      <c r="P341" s="287"/>
      <c r="Q341" s="287"/>
      <c r="R341" s="300"/>
      <c r="S341" s="288"/>
      <c r="T341" s="288"/>
      <c r="U341" s="300"/>
      <c r="V341" s="288"/>
      <c r="W341" s="288"/>
      <c r="X341" s="288"/>
      <c r="Y341" s="300"/>
      <c r="Z341" s="2"/>
      <c r="AC341" s="300"/>
    </row>
    <row r="342" spans="3:29" hidden="1">
      <c r="C342" s="2"/>
      <c r="D342" s="5"/>
      <c r="E342" s="339"/>
      <c r="F342" s="340"/>
      <c r="G342" s="341" t="s">
        <v>157</v>
      </c>
      <c r="H342" s="336">
        <v>4</v>
      </c>
      <c r="I342" s="336">
        <v>24</v>
      </c>
      <c r="J342" s="336" t="str">
        <f t="shared" si="12"/>
        <v>UST - UNIPOL 4 24</v>
      </c>
      <c r="K342" s="337">
        <v>100000</v>
      </c>
      <c r="L342" s="332">
        <v>7.1109234000000007E-2</v>
      </c>
      <c r="M342" s="287"/>
      <c r="N342" s="287"/>
      <c r="O342" s="287"/>
      <c r="P342" s="287"/>
      <c r="Q342" s="287"/>
      <c r="R342" s="300"/>
      <c r="S342" s="288"/>
      <c r="T342" s="288"/>
      <c r="U342" s="300"/>
      <c r="V342" s="288"/>
      <c r="W342" s="288"/>
      <c r="X342" s="288"/>
      <c r="Y342" s="300"/>
      <c r="Z342" s="2"/>
      <c r="AC342" s="300"/>
    </row>
    <row r="343" spans="3:29" hidden="1">
      <c r="C343" s="2"/>
      <c r="D343" s="5"/>
      <c r="E343" s="339"/>
      <c r="F343" s="340"/>
      <c r="G343" s="341" t="s">
        <v>157</v>
      </c>
      <c r="H343" s="336">
        <v>4</v>
      </c>
      <c r="I343" s="336">
        <v>36</v>
      </c>
      <c r="J343" s="336" t="str">
        <f t="shared" si="12"/>
        <v>UST - UNIPOL 4 36</v>
      </c>
      <c r="K343" s="337">
        <v>100000</v>
      </c>
      <c r="L343" s="332">
        <v>0.10666504274999998</v>
      </c>
      <c r="M343" s="287"/>
      <c r="N343" s="287"/>
      <c r="O343" s="287"/>
      <c r="P343" s="287"/>
      <c r="Q343" s="287"/>
      <c r="R343" s="300"/>
      <c r="S343" s="288"/>
      <c r="T343" s="288"/>
      <c r="U343" s="300"/>
      <c r="V343" s="288"/>
      <c r="W343" s="288"/>
      <c r="X343" s="288"/>
      <c r="Y343" s="300"/>
      <c r="Z343" s="2"/>
      <c r="AC343" s="300"/>
    </row>
    <row r="344" spans="3:29" hidden="1">
      <c r="C344" s="2"/>
      <c r="D344" s="5"/>
      <c r="E344" s="339"/>
      <c r="F344" s="340"/>
      <c r="G344" s="341" t="s">
        <v>157</v>
      </c>
      <c r="H344" s="336">
        <v>4</v>
      </c>
      <c r="I344" s="336">
        <v>48</v>
      </c>
      <c r="J344" s="336" t="str">
        <f t="shared" si="12"/>
        <v>UST - UNIPOL 4 48</v>
      </c>
      <c r="K344" s="337">
        <v>100000</v>
      </c>
      <c r="L344" s="332">
        <v>0.14221965974999998</v>
      </c>
      <c r="M344" s="287"/>
      <c r="N344" s="287"/>
      <c r="O344" s="287"/>
      <c r="P344" s="287"/>
      <c r="Q344" s="287"/>
      <c r="R344" s="300"/>
      <c r="S344" s="288"/>
      <c r="T344" s="288"/>
      <c r="U344" s="300"/>
      <c r="V344" s="288"/>
      <c r="W344" s="288"/>
      <c r="X344" s="288"/>
      <c r="Y344" s="300"/>
      <c r="Z344" s="2"/>
      <c r="AC344" s="300"/>
    </row>
    <row r="345" spans="3:29" hidden="1">
      <c r="C345" s="2"/>
      <c r="D345" s="5"/>
      <c r="E345" s="339"/>
      <c r="F345" s="340"/>
      <c r="G345" s="341" t="s">
        <v>157</v>
      </c>
      <c r="H345" s="336">
        <v>4</v>
      </c>
      <c r="I345" s="336">
        <v>60</v>
      </c>
      <c r="J345" s="336" t="str">
        <f t="shared" si="12"/>
        <v>UST - UNIPOL 4 60</v>
      </c>
      <c r="K345" s="337">
        <v>100000</v>
      </c>
      <c r="L345" s="332">
        <v>0.17777427674999999</v>
      </c>
      <c r="M345" s="287"/>
      <c r="N345" s="287"/>
      <c r="O345" s="287"/>
      <c r="P345" s="287"/>
      <c r="Q345" s="287"/>
      <c r="R345" s="300"/>
      <c r="S345" s="288"/>
      <c r="T345" s="288"/>
      <c r="U345" s="300"/>
      <c r="V345" s="288"/>
      <c r="W345" s="288"/>
      <c r="X345" s="288"/>
      <c r="Y345" s="300"/>
      <c r="Z345" s="2"/>
      <c r="AC345" s="300"/>
    </row>
    <row r="346" spans="3:29" hidden="1">
      <c r="C346" s="2"/>
      <c r="D346" s="5"/>
      <c r="E346" s="339"/>
      <c r="F346" s="340"/>
      <c r="G346" s="341" t="s">
        <v>157</v>
      </c>
      <c r="H346" s="336">
        <v>4</v>
      </c>
      <c r="I346" s="336">
        <v>72</v>
      </c>
      <c r="J346" s="336" t="str">
        <f t="shared" si="12"/>
        <v>UST - UNIPOL 4 72</v>
      </c>
      <c r="K346" s="337">
        <v>100000</v>
      </c>
      <c r="L346" s="332">
        <v>0.21332889374999997</v>
      </c>
      <c r="M346" s="287"/>
      <c r="N346" s="287"/>
      <c r="O346" s="287"/>
      <c r="P346" s="287"/>
      <c r="Q346" s="287"/>
      <c r="R346" s="300"/>
      <c r="S346" s="288"/>
      <c r="T346" s="288"/>
      <c r="U346" s="300"/>
      <c r="V346" s="288"/>
      <c r="W346" s="288"/>
      <c r="X346" s="288"/>
      <c r="Y346" s="300"/>
      <c r="Z346" s="2"/>
      <c r="AC346" s="300"/>
    </row>
    <row r="347" spans="3:29" hidden="1">
      <c r="C347" s="2"/>
      <c r="D347" s="5"/>
      <c r="E347" s="339"/>
      <c r="F347" s="340"/>
      <c r="G347" s="341" t="s">
        <v>157</v>
      </c>
      <c r="H347" s="319">
        <v>5</v>
      </c>
      <c r="I347" s="319">
        <v>12</v>
      </c>
      <c r="J347" s="319" t="str">
        <f t="shared" si="12"/>
        <v>UST - UNIPOL 5 12</v>
      </c>
      <c r="K347" s="320">
        <v>100000</v>
      </c>
      <c r="L347" s="321">
        <v>2.9850901500000002E-2</v>
      </c>
      <c r="M347" s="287"/>
      <c r="N347" s="287"/>
      <c r="O347" s="287"/>
      <c r="P347" s="287"/>
      <c r="Q347" s="287"/>
      <c r="R347" s="300"/>
      <c r="S347" s="288"/>
      <c r="T347" s="288"/>
      <c r="U347" s="300"/>
      <c r="V347" s="288"/>
      <c r="W347" s="288"/>
      <c r="X347" s="288"/>
      <c r="Y347" s="300"/>
      <c r="Z347" s="2"/>
      <c r="AC347" s="300"/>
    </row>
    <row r="348" spans="3:29" hidden="1">
      <c r="C348" s="2"/>
      <c r="D348" s="5"/>
      <c r="E348" s="339"/>
      <c r="F348" s="340"/>
      <c r="G348" s="341" t="s">
        <v>157</v>
      </c>
      <c r="H348" s="319">
        <v>5</v>
      </c>
      <c r="I348" s="319">
        <v>24</v>
      </c>
      <c r="J348" s="319" t="str">
        <f t="shared" si="12"/>
        <v>UST - UNIPOL 5 24</v>
      </c>
      <c r="K348" s="320">
        <v>100000</v>
      </c>
      <c r="L348" s="321">
        <v>5.7020365500000003E-2</v>
      </c>
      <c r="M348" s="287"/>
      <c r="N348" s="287"/>
      <c r="O348" s="287"/>
      <c r="P348" s="287"/>
      <c r="Q348" s="287"/>
      <c r="R348" s="300"/>
      <c r="S348" s="288"/>
      <c r="T348" s="288"/>
      <c r="U348" s="300"/>
      <c r="V348" s="288"/>
      <c r="W348" s="288"/>
      <c r="X348" s="288"/>
      <c r="Y348" s="300"/>
      <c r="Z348" s="2"/>
      <c r="AC348" s="300"/>
    </row>
    <row r="349" spans="3:29" hidden="1">
      <c r="C349" s="2"/>
      <c r="D349" s="5"/>
      <c r="E349" s="339"/>
      <c r="F349" s="340"/>
      <c r="G349" s="341" t="s">
        <v>157</v>
      </c>
      <c r="H349" s="319">
        <v>5</v>
      </c>
      <c r="I349" s="319">
        <v>36</v>
      </c>
      <c r="J349" s="319" t="str">
        <f t="shared" si="12"/>
        <v>UST - UNIPOL 5 36</v>
      </c>
      <c r="K349" s="320">
        <v>100000</v>
      </c>
      <c r="L349" s="321">
        <v>8.5529356499999987E-2</v>
      </c>
      <c r="M349" s="287"/>
      <c r="N349" s="287"/>
      <c r="O349" s="287"/>
      <c r="P349" s="287"/>
      <c r="Q349" s="287"/>
      <c r="R349" s="300"/>
      <c r="S349" s="288"/>
      <c r="T349" s="288"/>
      <c r="U349" s="300"/>
      <c r="V349" s="288"/>
      <c r="W349" s="288"/>
      <c r="X349" s="288"/>
      <c r="Y349" s="300"/>
      <c r="Z349" s="2"/>
      <c r="AC349" s="300"/>
    </row>
    <row r="350" spans="3:29" hidden="1">
      <c r="C350" s="2"/>
      <c r="D350" s="5"/>
      <c r="E350" s="339"/>
      <c r="F350" s="340"/>
      <c r="G350" s="341" t="s">
        <v>157</v>
      </c>
      <c r="H350" s="319">
        <v>5</v>
      </c>
      <c r="I350" s="319">
        <v>48</v>
      </c>
      <c r="J350" s="319" t="str">
        <f t="shared" si="12"/>
        <v>UST - UNIPOL 5 48</v>
      </c>
      <c r="K350" s="320">
        <v>100000</v>
      </c>
      <c r="L350" s="321">
        <v>0.11403953925</v>
      </c>
      <c r="M350" s="287"/>
      <c r="N350" s="287"/>
      <c r="O350" s="287"/>
      <c r="P350" s="287"/>
      <c r="Q350" s="287"/>
      <c r="R350" s="300"/>
      <c r="S350" s="288"/>
      <c r="T350" s="288"/>
      <c r="U350" s="300"/>
      <c r="V350" s="288"/>
      <c r="W350" s="288"/>
      <c r="X350" s="288"/>
      <c r="Y350" s="300"/>
      <c r="Z350" s="2"/>
      <c r="AC350" s="300"/>
    </row>
    <row r="351" spans="3:29" hidden="1">
      <c r="C351" s="2"/>
      <c r="D351" s="5"/>
      <c r="E351" s="339"/>
      <c r="F351" s="340"/>
      <c r="G351" s="341" t="s">
        <v>157</v>
      </c>
      <c r="H351" s="319">
        <v>5</v>
      </c>
      <c r="I351" s="319">
        <v>60</v>
      </c>
      <c r="J351" s="319" t="str">
        <f t="shared" si="12"/>
        <v>UST - UNIPOL 5 60</v>
      </c>
      <c r="K351" s="320">
        <v>100000</v>
      </c>
      <c r="L351" s="321">
        <v>0.14254972199999999</v>
      </c>
      <c r="M351" s="287"/>
      <c r="N351" s="287"/>
      <c r="O351" s="287"/>
      <c r="P351" s="287"/>
      <c r="Q351" s="287"/>
      <c r="R351" s="300"/>
      <c r="S351" s="288"/>
      <c r="T351" s="288"/>
      <c r="U351" s="300"/>
      <c r="V351" s="288"/>
      <c r="W351" s="288"/>
      <c r="X351" s="288"/>
      <c r="Y351" s="300"/>
      <c r="Z351" s="2"/>
      <c r="AC351" s="300"/>
    </row>
    <row r="352" spans="3:29" hidden="1">
      <c r="C352" s="2"/>
      <c r="D352" s="5"/>
      <c r="E352" s="339"/>
      <c r="F352" s="340"/>
      <c r="G352" s="341" t="s">
        <v>157</v>
      </c>
      <c r="H352" s="319">
        <v>5</v>
      </c>
      <c r="I352" s="319">
        <v>72</v>
      </c>
      <c r="J352" s="319" t="str">
        <f t="shared" si="12"/>
        <v>UST - UNIPOL 5 72</v>
      </c>
      <c r="K352" s="320">
        <v>100000</v>
      </c>
      <c r="L352" s="321">
        <v>0.17105990474999999</v>
      </c>
      <c r="M352" s="287"/>
      <c r="N352" s="287"/>
      <c r="O352" s="287"/>
      <c r="P352" s="287"/>
      <c r="Q352" s="287"/>
      <c r="R352" s="300"/>
      <c r="S352" s="288"/>
      <c r="T352" s="288"/>
      <c r="U352" s="300"/>
      <c r="V352" s="288"/>
      <c r="W352" s="288"/>
      <c r="X352" s="288"/>
      <c r="Y352" s="300"/>
      <c r="Z352" s="2"/>
      <c r="AC352" s="300"/>
    </row>
    <row r="353" spans="3:29" hidden="1">
      <c r="C353" s="2"/>
      <c r="D353" s="5"/>
      <c r="E353" s="339"/>
      <c r="F353" s="340"/>
      <c r="G353" s="341" t="s">
        <v>157</v>
      </c>
      <c r="H353" s="336">
        <v>6</v>
      </c>
      <c r="I353" s="336">
        <v>12</v>
      </c>
      <c r="J353" s="336" t="str">
        <f t="shared" si="12"/>
        <v>UST - UNIPOL 6 12</v>
      </c>
      <c r="K353" s="337">
        <v>35000</v>
      </c>
      <c r="L353" s="332">
        <v>7.9631490749999992E-2</v>
      </c>
      <c r="M353" s="287"/>
      <c r="N353" s="287"/>
      <c r="O353" s="287"/>
      <c r="P353" s="287"/>
      <c r="Q353" s="287"/>
      <c r="R353" s="300"/>
      <c r="S353" s="288"/>
      <c r="T353" s="288"/>
      <c r="U353" s="300"/>
      <c r="V353" s="288"/>
      <c r="W353" s="288"/>
      <c r="X353" s="288"/>
      <c r="Y353" s="300"/>
      <c r="Z353" s="2"/>
      <c r="AC353" s="300"/>
    </row>
    <row r="354" spans="3:29" hidden="1">
      <c r="C354" s="2"/>
      <c r="D354" s="5"/>
      <c r="E354" s="339"/>
      <c r="F354" s="340"/>
      <c r="G354" s="341" t="s">
        <v>157</v>
      </c>
      <c r="H354" s="336">
        <v>6</v>
      </c>
      <c r="I354" s="336">
        <v>24</v>
      </c>
      <c r="J354" s="336" t="str">
        <f t="shared" si="12"/>
        <v>UST - UNIPOL 6 24</v>
      </c>
      <c r="K354" s="337">
        <v>35000</v>
      </c>
      <c r="L354" s="332">
        <v>0.15170371124999998</v>
      </c>
      <c r="M354" s="287"/>
      <c r="N354" s="287"/>
      <c r="O354" s="287"/>
      <c r="P354" s="287"/>
      <c r="Q354" s="287"/>
      <c r="R354" s="300"/>
      <c r="S354" s="288"/>
      <c r="T354" s="288"/>
      <c r="U354" s="300"/>
      <c r="V354" s="288"/>
      <c r="W354" s="288"/>
      <c r="X354" s="288"/>
      <c r="Y354" s="300"/>
      <c r="Z354" s="2"/>
      <c r="AC354" s="300"/>
    </row>
    <row r="355" spans="3:29" hidden="1">
      <c r="C355" s="2"/>
      <c r="D355" s="5"/>
      <c r="E355" s="339"/>
      <c r="F355" s="340"/>
      <c r="G355" s="341" t="s">
        <v>157</v>
      </c>
      <c r="H355" s="336">
        <v>6</v>
      </c>
      <c r="I355" s="336">
        <v>36</v>
      </c>
      <c r="J355" s="336" t="str">
        <f t="shared" si="12"/>
        <v>UST - UNIPOL 6 36</v>
      </c>
      <c r="K355" s="337">
        <v>35000</v>
      </c>
      <c r="L355" s="332">
        <v>0.22755616274999999</v>
      </c>
      <c r="M355" s="287"/>
      <c r="N355" s="287"/>
      <c r="O355" s="287"/>
      <c r="P355" s="287"/>
      <c r="Q355" s="287"/>
      <c r="R355" s="300"/>
      <c r="S355" s="288"/>
      <c r="T355" s="288"/>
      <c r="U355" s="300"/>
      <c r="V355" s="288"/>
      <c r="W355" s="288"/>
      <c r="X355" s="288"/>
      <c r="Y355" s="300"/>
      <c r="Z355" s="2"/>
      <c r="AC355" s="300"/>
    </row>
    <row r="356" spans="3:29" hidden="1">
      <c r="C356" s="2"/>
      <c r="D356" s="5"/>
      <c r="E356" s="339"/>
      <c r="F356" s="340"/>
      <c r="G356" s="341" t="s">
        <v>157</v>
      </c>
      <c r="H356" s="336">
        <v>6</v>
      </c>
      <c r="I356" s="336">
        <v>48</v>
      </c>
      <c r="J356" s="336" t="str">
        <f t="shared" si="12"/>
        <v>UST - UNIPOL 6 48</v>
      </c>
      <c r="K356" s="337">
        <v>35000</v>
      </c>
      <c r="L356" s="332">
        <v>0.30340742249999997</v>
      </c>
      <c r="M356" s="287"/>
      <c r="N356" s="287"/>
      <c r="O356" s="287"/>
      <c r="P356" s="287"/>
      <c r="Q356" s="287"/>
      <c r="R356" s="300"/>
      <c r="S356" s="288"/>
      <c r="T356" s="288"/>
      <c r="U356" s="300"/>
      <c r="V356" s="288"/>
      <c r="W356" s="288"/>
      <c r="X356" s="288"/>
      <c r="Y356" s="300"/>
      <c r="Z356" s="2"/>
      <c r="AC356" s="300"/>
    </row>
    <row r="357" spans="3:29" hidden="1">
      <c r="C357" s="2"/>
      <c r="D357" s="5"/>
      <c r="E357" s="339"/>
      <c r="F357" s="340"/>
      <c r="G357" s="341" t="s">
        <v>157</v>
      </c>
      <c r="H357" s="336">
        <v>6</v>
      </c>
      <c r="I357" s="336">
        <v>60</v>
      </c>
      <c r="J357" s="336" t="str">
        <f t="shared" si="12"/>
        <v>UST - UNIPOL 6 60</v>
      </c>
      <c r="K357" s="337">
        <v>35000</v>
      </c>
      <c r="L357" s="332">
        <v>0.37925987400000011</v>
      </c>
      <c r="M357" s="287"/>
      <c r="N357" s="287"/>
      <c r="O357" s="287"/>
      <c r="P357" s="287"/>
      <c r="Q357" s="287"/>
      <c r="R357" s="300"/>
      <c r="S357" s="288"/>
      <c r="T357" s="288"/>
      <c r="U357" s="300"/>
      <c r="V357" s="288"/>
      <c r="W357" s="288"/>
      <c r="X357" s="288"/>
      <c r="Y357" s="300"/>
      <c r="Z357" s="2"/>
      <c r="AC357" s="300"/>
    </row>
    <row r="358" spans="3:29" hidden="1">
      <c r="C358" s="2"/>
      <c r="D358" s="5"/>
      <c r="E358" s="339"/>
      <c r="F358" s="340"/>
      <c r="G358" s="341" t="s">
        <v>157</v>
      </c>
      <c r="H358" s="336">
        <v>6</v>
      </c>
      <c r="I358" s="336">
        <v>72</v>
      </c>
      <c r="J358" s="336" t="str">
        <f t="shared" si="12"/>
        <v>UST - UNIPOL 6 72</v>
      </c>
      <c r="K358" s="337">
        <v>35000</v>
      </c>
      <c r="L358" s="332">
        <v>0.45511113375000001</v>
      </c>
      <c r="M358" s="287"/>
      <c r="N358" s="287"/>
      <c r="O358" s="287"/>
      <c r="P358" s="287"/>
      <c r="Q358" s="287"/>
      <c r="R358" s="300"/>
      <c r="S358" s="288"/>
      <c r="T358" s="288"/>
      <c r="U358" s="300"/>
      <c r="V358" s="288"/>
      <c r="W358" s="288"/>
      <c r="X358" s="288"/>
      <c r="Y358" s="300"/>
      <c r="Z358" s="2"/>
      <c r="AC358" s="300"/>
    </row>
    <row r="359" spans="3:29" hidden="1">
      <c r="C359" s="2"/>
      <c r="D359" s="5"/>
      <c r="E359" s="339"/>
      <c r="F359" s="340"/>
      <c r="G359" s="341" t="s">
        <v>157</v>
      </c>
      <c r="H359" s="319">
        <v>7</v>
      </c>
      <c r="I359" s="319">
        <v>12</v>
      </c>
      <c r="J359" s="319" t="str">
        <f t="shared" si="12"/>
        <v>UST - UNIPOL 7 12</v>
      </c>
      <c r="K359" s="320">
        <v>100000</v>
      </c>
      <c r="L359" s="321">
        <v>2.7183765000000006E-2</v>
      </c>
      <c r="M359" s="287"/>
      <c r="N359" s="287"/>
      <c r="O359" s="287"/>
      <c r="P359" s="287"/>
      <c r="Q359" s="287"/>
      <c r="R359" s="300"/>
      <c r="S359" s="288"/>
      <c r="T359" s="288"/>
      <c r="U359" s="300"/>
      <c r="V359" s="288"/>
      <c r="W359" s="288"/>
      <c r="X359" s="288"/>
      <c r="Y359" s="300"/>
      <c r="Z359" s="2"/>
      <c r="AC359" s="300"/>
    </row>
    <row r="360" spans="3:29" hidden="1">
      <c r="C360" s="2"/>
      <c r="D360" s="5"/>
      <c r="E360" s="339"/>
      <c r="F360" s="340"/>
      <c r="G360" s="341" t="s">
        <v>157</v>
      </c>
      <c r="H360" s="319">
        <v>7</v>
      </c>
      <c r="I360" s="319">
        <v>24</v>
      </c>
      <c r="J360" s="319" t="str">
        <f t="shared" si="12"/>
        <v>UST - UNIPOL 7 24</v>
      </c>
      <c r="K360" s="320">
        <v>100000</v>
      </c>
      <c r="L360" s="321">
        <v>5.1947085750000004E-2</v>
      </c>
      <c r="M360" s="287"/>
      <c r="N360" s="287"/>
      <c r="O360" s="287"/>
      <c r="P360" s="287"/>
      <c r="Q360" s="287"/>
      <c r="R360" s="300"/>
      <c r="S360" s="288"/>
      <c r="T360" s="288"/>
      <c r="U360" s="300"/>
      <c r="V360" s="288"/>
      <c r="W360" s="288"/>
      <c r="X360" s="288"/>
      <c r="Y360" s="300"/>
      <c r="Z360" s="2"/>
      <c r="AC360" s="300"/>
    </row>
    <row r="361" spans="3:29" hidden="1">
      <c r="C361" s="2"/>
      <c r="D361" s="5"/>
      <c r="E361" s="339"/>
      <c r="F361" s="340"/>
      <c r="G361" s="341" t="s">
        <v>157</v>
      </c>
      <c r="H361" s="319">
        <v>7</v>
      </c>
      <c r="I361" s="319">
        <v>36</v>
      </c>
      <c r="J361" s="319" t="str">
        <f t="shared" si="12"/>
        <v>UST - UNIPOL 7 36</v>
      </c>
      <c r="K361" s="320">
        <v>100000</v>
      </c>
      <c r="L361" s="321">
        <v>7.7921224500000011E-2</v>
      </c>
      <c r="M361" s="287"/>
      <c r="N361" s="287"/>
      <c r="O361" s="287"/>
      <c r="P361" s="287"/>
      <c r="Q361" s="287"/>
      <c r="R361" s="300"/>
      <c r="S361" s="288"/>
      <c r="T361" s="288"/>
      <c r="U361" s="300"/>
      <c r="V361" s="288"/>
      <c r="W361" s="288"/>
      <c r="X361" s="288"/>
      <c r="Y361" s="300"/>
      <c r="Z361" s="2"/>
      <c r="AC361" s="300"/>
    </row>
    <row r="362" spans="3:29" hidden="1">
      <c r="C362" s="2"/>
      <c r="D362" s="5"/>
      <c r="E362" s="339"/>
      <c r="F362" s="340"/>
      <c r="G362" s="341" t="s">
        <v>157</v>
      </c>
      <c r="H362" s="319">
        <v>7</v>
      </c>
      <c r="I362" s="319">
        <v>48</v>
      </c>
      <c r="J362" s="319" t="str">
        <f t="shared" si="12"/>
        <v>UST - UNIPOL 7 48</v>
      </c>
      <c r="K362" s="320">
        <v>100000</v>
      </c>
      <c r="L362" s="321">
        <v>0.10389536325</v>
      </c>
      <c r="M362" s="287"/>
      <c r="N362" s="287"/>
      <c r="O362" s="287"/>
      <c r="P362" s="287"/>
      <c r="Q362" s="287"/>
      <c r="R362" s="300"/>
      <c r="S362" s="288"/>
      <c r="T362" s="288"/>
      <c r="U362" s="300"/>
      <c r="V362" s="288"/>
      <c r="W362" s="288"/>
      <c r="X362" s="288"/>
      <c r="Y362" s="300"/>
      <c r="Z362" s="2"/>
      <c r="AC362" s="300"/>
    </row>
    <row r="363" spans="3:29" hidden="1">
      <c r="C363" s="2"/>
      <c r="D363" s="5"/>
      <c r="E363" s="339"/>
      <c r="F363" s="340"/>
      <c r="G363" s="341" t="s">
        <v>157</v>
      </c>
      <c r="H363" s="319">
        <v>7</v>
      </c>
      <c r="I363" s="319">
        <v>60</v>
      </c>
      <c r="J363" s="319" t="str">
        <f t="shared" si="12"/>
        <v>UST - UNIPOL 7 60</v>
      </c>
      <c r="K363" s="320">
        <v>100000</v>
      </c>
      <c r="L363" s="321">
        <v>0.129869502</v>
      </c>
      <c r="M363" s="287"/>
      <c r="N363" s="287"/>
      <c r="O363" s="287"/>
      <c r="P363" s="287"/>
      <c r="Q363" s="287"/>
      <c r="R363" s="300"/>
      <c r="S363" s="288"/>
      <c r="T363" s="288"/>
      <c r="U363" s="300"/>
      <c r="V363" s="288"/>
      <c r="W363" s="288"/>
      <c r="X363" s="288"/>
      <c r="Y363" s="300"/>
      <c r="Z363" s="2"/>
      <c r="AC363" s="300"/>
    </row>
    <row r="364" spans="3:29" ht="15.75" hidden="1" thickBot="1">
      <c r="C364" s="2"/>
      <c r="D364" s="5"/>
      <c r="E364" s="358"/>
      <c r="F364" s="359"/>
      <c r="G364" s="360" t="s">
        <v>157</v>
      </c>
      <c r="H364" s="361">
        <v>7</v>
      </c>
      <c r="I364" s="361">
        <v>72</v>
      </c>
      <c r="J364" s="361" t="str">
        <f t="shared" si="12"/>
        <v>UST - UNIPOL 7 72</v>
      </c>
      <c r="K364" s="362">
        <v>100000</v>
      </c>
      <c r="L364" s="363">
        <v>0.15584244900000002</v>
      </c>
      <c r="M364" s="287"/>
      <c r="N364" s="287"/>
      <c r="O364" s="287"/>
      <c r="P364" s="287"/>
      <c r="Q364" s="287"/>
      <c r="R364" s="300"/>
      <c r="S364" s="288"/>
      <c r="T364" s="288"/>
      <c r="U364" s="300"/>
      <c r="V364" s="288"/>
      <c r="W364" s="288"/>
      <c r="X364" s="288"/>
      <c r="Y364" s="300"/>
      <c r="Z364" s="2"/>
      <c r="AC364" s="300"/>
    </row>
  </sheetData>
  <sheetProtection algorithmName="SHA-512" hashValue="rTa8A4NqgMB55gxEZZOoXT/hBOA7BeFqX8FlO4+J2foLNqw6wOkPHhFz7Hv7HQW9pP/xrJGPX4BuUjKbXyamaQ==" saltValue="EzE5g/eALVnoBlpe2vxjgA==" spinCount="100000" sheet="1" objects="1" scenarios="1"/>
  <sortState ref="B4:C6">
    <sortCondition ref="B4:B6"/>
  </sortState>
  <mergeCells count="8">
    <mergeCell ref="A2:C2"/>
    <mergeCell ref="E2:L2"/>
    <mergeCell ref="M2:Q2"/>
    <mergeCell ref="AD2:AF2"/>
    <mergeCell ref="Z2:AB2"/>
    <mergeCell ref="S3:T3"/>
    <mergeCell ref="S2:T2"/>
    <mergeCell ref="V2:X2"/>
  </mergeCells>
  <pageMargins left="0.7" right="0.7" top="0.75" bottom="0.75" header="0.3" footer="0.3"/>
  <pageSetup paperSize="9" orientation="portrait" r:id="rId1"/>
  <headerFooter>
    <oddFooter>&amp;C&amp;1#&amp;"Calibri"&amp;10&amp;K000000 For internal use only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rgb="FFFF0000"/>
  </sheetPr>
  <dimension ref="A2:AB160"/>
  <sheetViews>
    <sheetView zoomScale="87" zoomScaleNormal="87" workbookViewId="0">
      <selection activeCell="A2" sqref="A2:XFD153"/>
    </sheetView>
  </sheetViews>
  <sheetFormatPr defaultColWidth="8.85546875" defaultRowHeight="12.75"/>
  <cols>
    <col min="1" max="1" width="5.7109375" style="7" bestFit="1" customWidth="1"/>
    <col min="2" max="2" width="7.7109375" style="7" bestFit="1" customWidth="1"/>
    <col min="3" max="3" width="13.7109375" style="7" bestFit="1" customWidth="1"/>
    <col min="4" max="4" width="13.5703125" style="7" bestFit="1" customWidth="1"/>
    <col min="5" max="5" width="18.5703125" style="63" bestFit="1" customWidth="1"/>
    <col min="6" max="7" width="15.42578125" style="7" bestFit="1" customWidth="1"/>
    <col min="8" max="8" width="19.28515625" style="7" bestFit="1" customWidth="1"/>
    <col min="9" max="9" width="16.7109375" style="7" bestFit="1" customWidth="1"/>
    <col min="10" max="10" width="19.28515625" style="7" bestFit="1" customWidth="1"/>
    <col min="11" max="11" width="15" style="7" bestFit="1" customWidth="1"/>
    <col min="12" max="12" width="13.7109375" style="14" bestFit="1" customWidth="1"/>
    <col min="13" max="13" width="10.85546875" style="7" customWidth="1"/>
    <col min="14" max="14" width="11.85546875" style="7" bestFit="1" customWidth="1"/>
    <col min="15" max="15" width="2.7109375" style="62" customWidth="1"/>
    <col min="16" max="18" width="13.42578125" style="63" customWidth="1"/>
    <col min="19" max="19" width="1.5703125" style="62" customWidth="1"/>
    <col min="20" max="20" width="13.85546875" style="7" bestFit="1" customWidth="1"/>
    <col min="21" max="21" width="1.5703125" style="62" customWidth="1"/>
    <col min="22" max="22" width="13.42578125" style="63" customWidth="1"/>
    <col min="23" max="23" width="13.42578125" style="7" customWidth="1"/>
    <col min="24" max="24" width="13.5703125" style="64" bestFit="1" customWidth="1"/>
    <col min="25" max="25" width="1.7109375" style="62" customWidth="1"/>
    <col min="26" max="26" width="13.42578125" style="63" customWidth="1"/>
    <col min="27" max="28" width="9.28515625" style="7" bestFit="1" customWidth="1"/>
    <col min="29" max="16384" width="8.85546875" style="7"/>
  </cols>
  <sheetData>
    <row r="2" spans="1:28" hidden="1">
      <c r="C2" s="8"/>
      <c r="D2" s="9"/>
      <c r="E2" s="10"/>
      <c r="F2" s="11">
        <f>calcoli!C4</f>
        <v>3850</v>
      </c>
      <c r="I2" s="12"/>
      <c r="J2" s="13"/>
      <c r="M2" s="15">
        <f>SUM(M5:M151)</f>
        <v>22</v>
      </c>
      <c r="N2" s="16">
        <f>MAX(N6:N11)</f>
        <v>9.6250000000000018</v>
      </c>
      <c r="O2" s="76"/>
      <c r="P2" s="17"/>
      <c r="Q2" s="18"/>
      <c r="R2" s="19"/>
      <c r="S2" s="20"/>
      <c r="T2" s="65"/>
      <c r="U2" s="20"/>
      <c r="V2" s="67"/>
      <c r="W2" s="21"/>
      <c r="X2" s="22"/>
      <c r="Y2" s="20"/>
      <c r="AA2" s="23"/>
      <c r="AB2" s="23"/>
    </row>
    <row r="3" spans="1:28" s="24" customFormat="1" ht="13.5" hidden="1" thickBot="1">
      <c r="C3" s="25"/>
      <c r="D3" s="25"/>
      <c r="E3" s="26"/>
      <c r="F3" s="11">
        <f>SUM(F5:F151)</f>
        <v>3850.0000000000005</v>
      </c>
      <c r="G3" s="11">
        <f>SUM(G5:G151)</f>
        <v>426.39783262171943</v>
      </c>
      <c r="H3" s="11">
        <f>SUM(H5:H151)</f>
        <v>433.99999999999994</v>
      </c>
      <c r="I3" s="27"/>
      <c r="J3" s="13"/>
      <c r="K3" s="11">
        <f>IF(VLOOKUP(calcoli!D9,'Condizioni comm.li'!E33:AD1127,19,0)="",VLOOKUP(calcoli!C7,prodotti!B3:K100,8,0),VLOOKUP(calcoli!D9,'Condizioni comm.li'!E33:AD1127,19,0))</f>
        <v>5</v>
      </c>
      <c r="L3" s="28">
        <f>IF(OR(VLOOKUP(calcoli!D9,'Condizioni comm.li'!E33:AD1127,20,0)="Sì",VLOOKUP(calcoli!D9,'Condizioni comm.li'!E33:AD1127,20,0)=""),VLOOKUP(calcoli!C7,prodotti!B3:K105,10,0),0)</f>
        <v>1</v>
      </c>
      <c r="M3" s="28">
        <f>IF(OR(VLOOKUP(calcoli!D9,'Condizioni comm.li'!E33:AD1127,20,0)="Sì",VLOOKUP(calcoli!D9,'Condizioni comm.li'!E33:AD1127,20,0)=""),VLOOKUP(calcoli!C7,prodotti!B3:K105,9,0),0)</f>
        <v>2</v>
      </c>
      <c r="N3" s="13"/>
      <c r="O3" s="77"/>
      <c r="P3" s="94">
        <f>IRR(P5:P152)*12</f>
        <v>7.0699538312625876E-2</v>
      </c>
      <c r="Q3" s="30">
        <f>CEILING((POWER(1+IRR(Q5:Q152),12)-1),0.01%)</f>
        <v>0.10390000000000001</v>
      </c>
      <c r="R3" s="31">
        <f>CEILING(POWER(1+IRR(R5:R152),12)-1,0.01%)</f>
        <v>0.1057</v>
      </c>
      <c r="S3" s="32"/>
      <c r="T3" s="71">
        <f>IRR(T5:T152)*12</f>
        <v>6.9499999999999673E-2</v>
      </c>
      <c r="U3" s="32"/>
      <c r="V3" s="68" t="str">
        <f>IF(calcoli!C8="MAXIRATA",IRR(V5:V152)*12,"")</f>
        <v/>
      </c>
      <c r="W3" s="33" t="str">
        <f>IF(calcoli!C8="MAXIRATA",MROUND(POWER(1+IRR(W5:W152),12)-1,0.01%),"")</f>
        <v/>
      </c>
      <c r="X3" s="34" t="str">
        <f>IF(calcoli!C8="MAXIRATA",MROUND(POWER(1+IRR(X5:X152),12)-1,0.01%),"")</f>
        <v/>
      </c>
      <c r="Y3" s="32"/>
      <c r="Z3" s="63"/>
    </row>
    <row r="4" spans="1:28" s="49" customFormat="1" ht="13.5" hidden="1" thickBot="1">
      <c r="A4" s="35" t="s">
        <v>246</v>
      </c>
      <c r="B4" s="36" t="s">
        <v>194</v>
      </c>
      <c r="C4" s="36" t="s">
        <v>9</v>
      </c>
      <c r="D4" s="36" t="s">
        <v>200</v>
      </c>
      <c r="E4" s="37" t="s">
        <v>254</v>
      </c>
      <c r="F4" s="38" t="s">
        <v>195</v>
      </c>
      <c r="G4" s="38" t="s">
        <v>196</v>
      </c>
      <c r="H4" s="39" t="s">
        <v>199</v>
      </c>
      <c r="I4" s="38" t="s">
        <v>198</v>
      </c>
      <c r="J4" s="40" t="s">
        <v>197</v>
      </c>
      <c r="K4" s="41" t="s">
        <v>206</v>
      </c>
      <c r="L4" s="42" t="s">
        <v>208</v>
      </c>
      <c r="M4" s="777" t="s">
        <v>207</v>
      </c>
      <c r="N4" s="778"/>
      <c r="O4" s="78"/>
      <c r="P4" s="43" t="s">
        <v>203</v>
      </c>
      <c r="Q4" s="44" t="s">
        <v>205</v>
      </c>
      <c r="R4" s="45" t="s">
        <v>204</v>
      </c>
      <c r="S4" s="46"/>
      <c r="T4" s="66" t="s">
        <v>224</v>
      </c>
      <c r="U4" s="46"/>
      <c r="V4" s="69" t="s">
        <v>222</v>
      </c>
      <c r="W4" s="47" t="s">
        <v>223</v>
      </c>
      <c r="X4" s="48" t="s">
        <v>210</v>
      </c>
      <c r="Y4" s="46"/>
      <c r="Z4" s="63"/>
    </row>
    <row r="5" spans="1:28" hidden="1">
      <c r="B5" s="8"/>
      <c r="C5" s="8"/>
      <c r="D5" s="8"/>
      <c r="E5" s="50"/>
      <c r="H5" s="51"/>
      <c r="I5" s="12"/>
      <c r="J5" s="13">
        <f>calcoli!C42</f>
        <v>3850</v>
      </c>
      <c r="K5" s="52"/>
      <c r="M5" s="52"/>
      <c r="N5" s="13"/>
      <c r="O5" s="77"/>
      <c r="P5" s="17">
        <f>-calcoli!C42</f>
        <v>-3850</v>
      </c>
      <c r="Q5" s="18">
        <f>-calcoli!C43</f>
        <v>-3850</v>
      </c>
      <c r="R5" s="19">
        <f>-calcoli!C44</f>
        <v>-3850</v>
      </c>
      <c r="S5" s="53"/>
      <c r="T5" s="72">
        <f>-calcoli!C42</f>
        <v>-3850</v>
      </c>
      <c r="U5" s="53"/>
      <c r="V5" s="67" t="str">
        <f>IF(calcoli!C8="MAXIRATA",-calcoli!$C$46,"")</f>
        <v/>
      </c>
      <c r="W5" s="21" t="str">
        <f>IF(calcoli!C8="MAXIRATA",-calcoli!$C$46,"")</f>
        <v/>
      </c>
      <c r="X5" s="22" t="str">
        <f>IF(calcoli!C8="MAXIRATA",-calcoli!$C$46,"")</f>
        <v/>
      </c>
      <c r="Y5" s="53"/>
    </row>
    <row r="6" spans="1:28" hidden="1">
      <c r="A6" s="7">
        <v>1</v>
      </c>
      <c r="B6" s="70">
        <f>IF(calcoli!$C$13&gt;0,0,1)</f>
        <v>1</v>
      </c>
      <c r="C6" s="54">
        <f>IF(B6=0,0,IF(calcoli!$C$8="MAXIRATA",IF('sviluppo p. amm.to'!B6=calcoli!$C$11,calcoli!$C$46,IF(B6&gt;calcoli!$C$11,"",calcoli!$C$35)),IF(B6&gt;calcoli!$C$11,"",calcoli!$C$35)))</f>
        <v>118.78882868393664</v>
      </c>
      <c r="D6" s="54">
        <f>IF(B6=0,0,IF(calcoli!$C$8="MAXIRATA",IF('sviluppo p. amm.to'!B6=calcoli!$C$11,calcoli!$C$46,IF(B6&gt;calcoli!$C$11,"",calcoli!$C$36)),IF(B6&gt;calcoli!$C$11,"",calcoli!$C$36)))</f>
        <v>119</v>
      </c>
      <c r="E6" s="55">
        <f>IF(C6=0,0,IF(C6="","",D6+MROUND(calcoli!$C$37,0.01)))</f>
        <v>119</v>
      </c>
      <c r="F6" s="54">
        <f>IF(B6=0,0,IF(B6&gt;calcoli!$C$11,"",C6-G6))</f>
        <v>96.490912017269977</v>
      </c>
      <c r="G6" s="54">
        <f>IF(B6=0,0,IF(B6&gt;calcoli!$C$11,"",'sviluppo p. amm.to'!J5*calcoli!$C$10/12))</f>
        <v>22.297916666666669</v>
      </c>
      <c r="H6" s="56">
        <f>IF(B6=0,0,IF(B6&gt;calcoli!$C$11,"",G6+calcoli!$C$36-calcoli!$C$35))</f>
        <v>22.509087982730037</v>
      </c>
      <c r="I6" s="52">
        <f>IF(C6="","",I5+F6)</f>
        <v>96.490912017269977</v>
      </c>
      <c r="J6" s="13">
        <f>IF(C6="","",J5-F6)</f>
        <v>3753.5090879827299</v>
      </c>
      <c r="K6" s="55">
        <f>IF(B6=0,0,IF(B6&gt;calcoli!$C$11,"",$K$3))</f>
        <v>5</v>
      </c>
      <c r="L6" s="29">
        <f t="shared" ref="L6:L37" si="0">IF(C6="","",IF(MOD(A6,12)&gt;0,0,$L$3))</f>
        <v>0</v>
      </c>
      <c r="M6" s="57">
        <f>IF(VLOOKUP(calcoli!$D$9,'Condizioni comm.li'!$E$33:$AD$1127,20,0)="no",0,IF(C6&lt;&gt;"",IF(B6=1,16,0)+IF(C6=0,0,IF(MOD(A6,12)&gt;0,0,$M$3)),""))</f>
        <v>16</v>
      </c>
      <c r="N6" s="58">
        <f>IF(VLOOKUP(calcoli!$D$9,'Condizioni comm.li'!$E$33:$AD$1127,20,0)="no",0,IF(B6=1,$F$3*0.25%,0))</f>
        <v>9.6250000000000018</v>
      </c>
      <c r="O6" s="77"/>
      <c r="P6" s="17">
        <f>IF(A6&lt;=calcoli!$C$11,calcoli!$C$36,IF(AND(calcoli!$C$8="maxirata",'sviluppo p. amm.to'!A6=calcoli!$C$11),calcoli!$C$46,IF('sviluppo p. amm.to'!A6=calcoli!$C$11,calcoli!$C$36,"")))</f>
        <v>119</v>
      </c>
      <c r="Q6" s="59">
        <f>IF(E6="","",E6+K6+L6)</f>
        <v>124</v>
      </c>
      <c r="R6" s="19">
        <f>IF(E6="","",IF(calcoli!$C$11&gt;18,E6+K6+L6+IF($M$2&lt;$N$2,M6,N6),E6+K6+L6+M6))</f>
        <v>133.625</v>
      </c>
      <c r="S6" s="53"/>
      <c r="T6" s="88">
        <f>IF(A6&lt;calcoli!$C$11,calcoli!$C$58,IF(AND(calcoli!$C$8="maxirata",'sviluppo p. amm.to'!A6=calcoli!$C$11),calcoli!$C$46,IF('sviluppo p. amm.to'!A6=calcoli!$C$11,calcoli!$C$58,"")))</f>
        <v>118.78882868393664</v>
      </c>
      <c r="U6" s="53"/>
      <c r="V6" s="67" t="str">
        <f>IF(calcoli!$C$8="MAXIRATA",IF(SIMULATORE!$E$16&gt;='sviluppo p. amm.to'!A6,calcoli!$C$50,""),"")</f>
        <v/>
      </c>
      <c r="W6" s="60" t="str">
        <f>IF(calcoli!$C$8="MAXIRATA",IF(SIMULATORE!$E$16&gt;='sviluppo p. amm.to'!A6,calcoli!$C$50+$K$3+IF(C6="",0,IF($M$2&lt;$N$2,IF(MOD(A6,12)&gt;0,0,1),0)),""),"")</f>
        <v/>
      </c>
      <c r="X6" s="22" t="str">
        <f>IF(calcoli!$C$8="MAXIRATA",IF(SIMULATORE!$E$16&gt;='sviluppo p. amm.to'!A6,calcoli!$C$50+$K$3+IF(C6="",0,IF($M$2&lt;$N$2,IF(MOD(A6,12)&gt;0,0,3),0)),""),"")</f>
        <v/>
      </c>
      <c r="Y6" s="53"/>
    </row>
    <row r="7" spans="1:28" hidden="1">
      <c r="A7" s="7">
        <v>2</v>
      </c>
      <c r="B7" s="70">
        <f>IF(calcoli!$C$13&gt;1,0,'sviluppo p. amm.to'!B6+1)</f>
        <v>2</v>
      </c>
      <c r="C7" s="54">
        <f>IF(B7=0,0,IF(calcoli!$C$8="MAXIRATA",IF('sviluppo p. amm.to'!B7=calcoli!$C$11,calcoli!$C$46,IF(B7&gt;calcoli!$C$11,"",calcoli!$C$35)),IF(B7&gt;calcoli!$C$11,"",calcoli!$C$35)))</f>
        <v>118.78882868393664</v>
      </c>
      <c r="D7" s="54">
        <f>IF(B7=0,0,IF(calcoli!$C$8="MAXIRATA",IF('sviluppo p. amm.to'!B7=calcoli!$C$11,calcoli!$C$46,IF(B7&gt;calcoli!$C$11,"",calcoli!$C$36)),IF(B7&gt;calcoli!$C$11,"",calcoli!$C$36)))</f>
        <v>119</v>
      </c>
      <c r="E7" s="55">
        <f>IF(C7=0,0,IF(C7="","",D7+MROUND(calcoli!$C$37,0.01)))</f>
        <v>119</v>
      </c>
      <c r="F7" s="54">
        <f>IF(B7=0,0,IF(B7&gt;calcoli!$C$11,"",C7-G7))</f>
        <v>97.049755216036658</v>
      </c>
      <c r="G7" s="54">
        <f>IF(B7=0,0,IF(B7&gt;calcoli!$C$11,"",'sviluppo p. amm.to'!J6*calcoli!$C$10/12))</f>
        <v>21.739073467899981</v>
      </c>
      <c r="H7" s="56">
        <f>IF(B7=0,0,IF(B7&gt;calcoli!$C$11,"",G7+calcoli!$C$36-calcoli!$C$35))</f>
        <v>21.950244783963328</v>
      </c>
      <c r="I7" s="52">
        <f t="shared" ref="I7:I70" si="1">IF(C7="","",I6+F7)</f>
        <v>193.54066723330664</v>
      </c>
      <c r="J7" s="13">
        <f t="shared" ref="J7:J70" si="2">IF(C7="","",J6-F7)</f>
        <v>3656.459332766693</v>
      </c>
      <c r="K7" s="55">
        <f>IF(B7=0,0,IF(B7&gt;calcoli!$C$11,"",$K$3))</f>
        <v>5</v>
      </c>
      <c r="L7" s="29">
        <f t="shared" si="0"/>
        <v>0</v>
      </c>
      <c r="M7" s="57">
        <f>IF(VLOOKUP(calcoli!$D$9,'Condizioni comm.li'!$E$33:$AD$1127,20,0)="no",0,IF(C7&lt;&gt;"",IF(B7=1,16,0)+IF(C7=0,0,IF(MOD(A7,12)&gt;0,0,$M$3)),""))</f>
        <v>0</v>
      </c>
      <c r="N7" s="58">
        <f>IF(VLOOKUP(calcoli!$D$9,'Condizioni comm.li'!$E$33:$AD$1127,20,0)="no",0,IF(B7=1,$F$3*0.25%,0))</f>
        <v>0</v>
      </c>
      <c r="O7" s="77"/>
      <c r="P7" s="17">
        <f>IF(A7&lt;calcoli!$C$11,calcoli!$C$36,IF(AND(calcoli!$C$8="maxirata",'sviluppo p. amm.to'!A7=calcoli!$C$11),calcoli!$C$46,IF('sviluppo p. amm.to'!A7=calcoli!$C$11,calcoli!$C$36,"")))</f>
        <v>119</v>
      </c>
      <c r="Q7" s="59">
        <f t="shared" ref="Q7:Q70" si="3">IF(E7="","",E7+K7+L7)</f>
        <v>124</v>
      </c>
      <c r="R7" s="19">
        <f>IF(E7="","",IF(calcoli!$C$11&gt;18,E7+K7+L7+IF($M$2&lt;$N$2,M7,N7),E7+K7+L7+M7))</f>
        <v>124</v>
      </c>
      <c r="S7" s="53"/>
      <c r="T7" s="88">
        <f>IF(A7&lt;calcoli!$C$11,calcoli!$C$58,IF(AND(calcoli!$C$8="maxirata",'sviluppo p. amm.to'!A7=calcoli!$C$11),calcoli!$C$46,IF('sviluppo p. amm.to'!A7=calcoli!$C$11,calcoli!$C$58,"")))</f>
        <v>118.78882868393664</v>
      </c>
      <c r="U7" s="53"/>
      <c r="V7" s="67" t="str">
        <f>IF(calcoli!$C$8="MAXIRATA",IF(SIMULATORE!$E$16&gt;='sviluppo p. amm.to'!A7,calcoli!$C$50,""),"")</f>
        <v/>
      </c>
      <c r="W7" s="60" t="str">
        <f>IF(calcoli!$C$8="MAXIRATA",IF(SIMULATORE!$E$16&gt;='sviluppo p. amm.to'!A7,calcoli!$C$50+$K$3+IF(C7="",0,IF($M$2&lt;$N$2,IF(MOD(A7,12)&gt;0,0,1),0)),""),"")</f>
        <v/>
      </c>
      <c r="X7" s="22" t="str">
        <f>IF(calcoli!$C$8="MAXIRATA",IF(SIMULATORE!$E$16&gt;='sviluppo p. amm.to'!A7,calcoli!$C$50+$K$3+IF(C7="",0,IF($M$2&lt;$N$2,IF(MOD(A7,12)&gt;0,0,3),0)),""),"")</f>
        <v/>
      </c>
      <c r="Y7" s="53"/>
    </row>
    <row r="8" spans="1:28" hidden="1">
      <c r="A8" s="7">
        <v>3</v>
      </c>
      <c r="B8" s="70">
        <f>IF(calcoli!$C$13&gt;2,0,'sviluppo p. amm.to'!B7+1)</f>
        <v>3</v>
      </c>
      <c r="C8" s="54">
        <f>IF(B8=0,0,IF(calcoli!$C$8="MAXIRATA",IF('sviluppo p. amm.to'!B8=calcoli!$C$11,calcoli!$C$46,IF(B8&gt;calcoli!$C$11,"",calcoli!$C$35)),IF(B8&gt;calcoli!$C$11,"",calcoli!$C$35)))</f>
        <v>118.78882868393664</v>
      </c>
      <c r="D8" s="54">
        <f>IF(B8=0,0,IF(calcoli!$C$8="MAXIRATA",IF('sviluppo p. amm.to'!B8=calcoli!$C$11,calcoli!$C$46,IF(B8&gt;calcoli!$C$11,"",calcoli!$C$36)),IF(B8&gt;calcoli!$C$11,"",calcoli!$C$36)))</f>
        <v>119</v>
      </c>
      <c r="E8" s="55">
        <f>IF(C8=0,0,IF(C8="","",D8+MROUND(calcoli!$C$37,0.01)))</f>
        <v>119</v>
      </c>
      <c r="F8" s="54">
        <f>IF(B8=0,0,IF(B8&gt;calcoli!$C$11,"",C8-G8))</f>
        <v>97.611835048329539</v>
      </c>
      <c r="G8" s="54">
        <f>IF(B8=0,0,IF(B8&gt;calcoli!$C$11,"",'sviluppo p. amm.to'!J7*calcoli!$C$10/12))</f>
        <v>21.176993635607101</v>
      </c>
      <c r="H8" s="56">
        <f>IF(B8=0,0,IF(B8&gt;calcoli!$C$11,"",G8+calcoli!$C$36-calcoli!$C$35))</f>
        <v>21.388164951670447</v>
      </c>
      <c r="I8" s="52">
        <f t="shared" si="1"/>
        <v>291.1525022816362</v>
      </c>
      <c r="J8" s="13">
        <f t="shared" si="2"/>
        <v>3558.8474977183637</v>
      </c>
      <c r="K8" s="55">
        <f>IF(B8=0,0,IF(B8&gt;calcoli!$C$11,"",$K$3))</f>
        <v>5</v>
      </c>
      <c r="L8" s="29">
        <f t="shared" si="0"/>
        <v>0</v>
      </c>
      <c r="M8" s="57">
        <f>IF(VLOOKUP(calcoli!$D$9,'Condizioni comm.li'!$E$33:$AD$1127,20,0)="no",0,IF(C8&lt;&gt;"",IF(B8=1,16,0)+IF(C8=0,0,IF(MOD(A8,12)&gt;0,0,$M$3)),""))</f>
        <v>0</v>
      </c>
      <c r="N8" s="58">
        <f>IF(VLOOKUP(calcoli!$D$9,'Condizioni comm.li'!$E$33:$AD$1127,20,0)="no",0,IF(B8=1,$F$3*0.25%,0))</f>
        <v>0</v>
      </c>
      <c r="O8" s="77"/>
      <c r="P8" s="17">
        <f>IF(A8&lt;calcoli!$C$11,calcoli!$C$36,IF(AND(calcoli!$C$8="maxirata",'sviluppo p. amm.to'!A8=calcoli!$C$11),calcoli!$C$46,IF('sviluppo p. amm.to'!A8=calcoli!$C$11,calcoli!$C$36,"")))</f>
        <v>119</v>
      </c>
      <c r="Q8" s="59">
        <f t="shared" si="3"/>
        <v>124</v>
      </c>
      <c r="R8" s="19">
        <f>IF(E8="","",IF(calcoli!$C$11&gt;18,E8+K8+L8+IF($M$2&lt;$N$2,M8,N8),E8+K8+L8+M8))</f>
        <v>124</v>
      </c>
      <c r="S8" s="53"/>
      <c r="T8" s="88">
        <f>IF(A8&lt;calcoli!$C$11,calcoli!$C$58,IF(AND(calcoli!$C$8="maxirata",'sviluppo p. amm.to'!A8=calcoli!$C$11),calcoli!$C$46,IF('sviluppo p. amm.to'!A8=calcoli!$C$11,calcoli!$C$58,"")))</f>
        <v>118.78882868393664</v>
      </c>
      <c r="U8" s="53"/>
      <c r="V8" s="67" t="str">
        <f>IF(calcoli!$C$8="MAXIRATA",IF(SIMULATORE!$E$16&gt;='sviluppo p. amm.to'!A8,calcoli!$C$50,""),"")</f>
        <v/>
      </c>
      <c r="W8" s="60" t="str">
        <f>IF(calcoli!$C$8="MAXIRATA",IF(SIMULATORE!$E$16&gt;='sviluppo p. amm.to'!A8,calcoli!$C$50+$K$3+IF(C8="",0,IF($M$2&lt;$N$2,IF(MOD(A8,12)&gt;0,0,1),0)),""),"")</f>
        <v/>
      </c>
      <c r="X8" s="22" t="str">
        <f>IF(calcoli!$C$8="MAXIRATA",IF(SIMULATORE!$E$16&gt;='sviluppo p. amm.to'!A8,calcoli!$C$50+$K$3+IF(C8="",0,IF($M$2&lt;$N$2,IF(MOD(A8,12)&gt;0,0,3),0)),""),"")</f>
        <v/>
      </c>
      <c r="Y8" s="53"/>
    </row>
    <row r="9" spans="1:28" hidden="1">
      <c r="A9" s="7">
        <v>4</v>
      </c>
      <c r="B9" s="70">
        <f>IF(calcoli!$C$13&gt;3,0,'sviluppo p. amm.to'!B8+1)</f>
        <v>4</v>
      </c>
      <c r="C9" s="54">
        <f>IF(B9=0,0,IF(calcoli!$C$8="MAXIRATA",IF('sviluppo p. amm.to'!B9=calcoli!$C$11,calcoli!$C$46,IF(B9&gt;calcoli!$C$11,"",calcoli!$C$35)),IF(B9&gt;calcoli!$C$11,"",calcoli!$C$35)))</f>
        <v>118.78882868393664</v>
      </c>
      <c r="D9" s="54">
        <f>IF(B9=0,0,IF(calcoli!$C$8="MAXIRATA",IF('sviluppo p. amm.to'!B9=calcoli!$C$11,calcoli!$C$46,IF(B9&gt;calcoli!$C$11,"",calcoli!$C$36)),IF(B9&gt;calcoli!$C$11,"",calcoli!$C$36)))</f>
        <v>119</v>
      </c>
      <c r="E9" s="55">
        <f>IF(C9=0,0,IF(C9="","",D9+MROUND(calcoli!$C$37,0.01)))</f>
        <v>119</v>
      </c>
      <c r="F9" s="54">
        <f>IF(B9=0,0,IF(B9&gt;calcoli!$C$11,"",C9-G9))</f>
        <v>98.17717025965112</v>
      </c>
      <c r="G9" s="54">
        <f>IF(B9=0,0,IF(B9&gt;calcoli!$C$11,"",'sviluppo p. amm.to'!J8*calcoli!$C$10/12))</f>
        <v>20.611658424285526</v>
      </c>
      <c r="H9" s="56">
        <f>IF(B9=0,0,IF(B9&gt;calcoli!$C$11,"",G9+calcoli!$C$36-calcoli!$C$35))</f>
        <v>20.822829740348894</v>
      </c>
      <c r="I9" s="52">
        <f t="shared" si="1"/>
        <v>389.32967254128732</v>
      </c>
      <c r="J9" s="13">
        <f t="shared" si="2"/>
        <v>3460.6703274587126</v>
      </c>
      <c r="K9" s="55">
        <f>IF(B9=0,0,IF(B9&gt;calcoli!$C$11,"",$K$3))</f>
        <v>5</v>
      </c>
      <c r="L9" s="29">
        <f t="shared" si="0"/>
        <v>0</v>
      </c>
      <c r="M9" s="57">
        <f>IF(VLOOKUP(calcoli!$D$9,'Condizioni comm.li'!$E$33:$AD$1127,20,0)="no",0,IF(C9&lt;&gt;"",IF(B9=1,16,0)+IF(C9=0,0,IF(MOD(A9,12)&gt;0,0,$M$3)),""))</f>
        <v>0</v>
      </c>
      <c r="N9" s="58">
        <f>IF(VLOOKUP(calcoli!$D$9,'Condizioni comm.li'!$E$33:$AD$1127,20,0)="no",0,IF(B9=1,$F$3*0.25%,0))</f>
        <v>0</v>
      </c>
      <c r="O9" s="77"/>
      <c r="P9" s="17">
        <f>IF(A9&lt;calcoli!$C$11,calcoli!$C$36,IF(AND(calcoli!$C$8="maxirata",'sviluppo p. amm.to'!A9=calcoli!$C$11),calcoli!$C$46,IF('sviluppo p. amm.to'!A9=calcoli!$C$11,calcoli!$C$36,"")))</f>
        <v>119</v>
      </c>
      <c r="Q9" s="59">
        <f t="shared" si="3"/>
        <v>124</v>
      </c>
      <c r="R9" s="19">
        <f>IF(E9="","",IF(calcoli!$C$11&gt;18,E9+K9+L9+IF($M$2&lt;$N$2,M9,N9),E9+K9+L9+M9))</f>
        <v>124</v>
      </c>
      <c r="S9" s="53"/>
      <c r="T9" s="88">
        <f>IF(A9&lt;calcoli!$C$11,calcoli!$C$58,IF(AND(calcoli!$C$8="maxirata",'sviluppo p. amm.to'!A9=calcoli!$C$11),calcoli!$C$46,IF('sviluppo p. amm.to'!A9=calcoli!$C$11,calcoli!$C$58,"")))</f>
        <v>118.78882868393664</v>
      </c>
      <c r="U9" s="53"/>
      <c r="V9" s="67" t="str">
        <f>IF(calcoli!$C$8="MAXIRATA",IF(SIMULATORE!$E$16&gt;='sviluppo p. amm.to'!A9,calcoli!$C$50,""),"")</f>
        <v/>
      </c>
      <c r="W9" s="60" t="str">
        <f>IF(calcoli!$C$8="MAXIRATA",IF(SIMULATORE!$E$16&gt;='sviluppo p. amm.to'!A9,calcoli!$C$50+$K$3+IF(C9="",0,IF($M$2&lt;$N$2,IF(MOD(A9,12)&gt;0,0,1),0)),""),"")</f>
        <v/>
      </c>
      <c r="X9" s="22" t="str">
        <f>IF(calcoli!$C$8="MAXIRATA",IF(SIMULATORE!$E$16&gt;='sviluppo p. amm.to'!A9,calcoli!$C$50+$K$3+IF(C9="",0,IF($M$2&lt;$N$2,IF(MOD(A9,12)&gt;0,0,3),0)),""),"")</f>
        <v/>
      </c>
      <c r="Y9" s="53"/>
      <c r="AA9" s="61"/>
      <c r="AB9" s="61"/>
    </row>
    <row r="10" spans="1:28" hidden="1">
      <c r="A10" s="7">
        <v>5</v>
      </c>
      <c r="B10" s="70">
        <f>IF(calcoli!$C418&gt;4,0,'sviluppo p. amm.to'!B9+1)</f>
        <v>5</v>
      </c>
      <c r="C10" s="54">
        <f>IF(B10=0,0,IF(calcoli!$C$8="MAXIRATA",IF('sviluppo p. amm.to'!B10=calcoli!$C$11,calcoli!$C$46,IF(B10&gt;calcoli!$C$11,"",calcoli!$C$35)),IF(B10&gt;calcoli!$C$11,"",calcoli!$C$35)))</f>
        <v>118.78882868393664</v>
      </c>
      <c r="D10" s="54">
        <f>IF(B10=0,0,IF(calcoli!$C$8="MAXIRATA",IF('sviluppo p. amm.to'!B10=calcoli!$C$11,calcoli!$C$46,IF(B10&gt;calcoli!$C$11,"",calcoli!$C$36)),IF(B10&gt;calcoli!$C$11,"",calcoli!$C$36)))</f>
        <v>119</v>
      </c>
      <c r="E10" s="55">
        <f>IF(C10=0,0,IF(C10="","",D10+MROUND(calcoli!$C$37,0.01)))</f>
        <v>119</v>
      </c>
      <c r="F10" s="54">
        <f>IF(B10=0,0,IF(B10&gt;calcoli!$C$11,"",C10-G10))</f>
        <v>98.745779704071595</v>
      </c>
      <c r="G10" s="54">
        <f>IF(B10=0,0,IF(B10&gt;calcoli!$C$11,"",'sviluppo p. amm.to'!J9*calcoli!$C$10/12))</f>
        <v>20.043048979865045</v>
      </c>
      <c r="H10" s="56">
        <f>IF(B10=0,0,IF(B10&gt;calcoli!$C$11,"",G10+calcoli!$C$36-calcoli!$C$35))</f>
        <v>20.254220295928391</v>
      </c>
      <c r="I10" s="52">
        <f t="shared" si="1"/>
        <v>488.07545224535892</v>
      </c>
      <c r="J10" s="13">
        <f t="shared" si="2"/>
        <v>3361.924547754641</v>
      </c>
      <c r="K10" s="55">
        <f>IF(B10=0,0,IF(B10&gt;calcoli!$C$11,"",$K$3))</f>
        <v>5</v>
      </c>
      <c r="L10" s="29">
        <f t="shared" si="0"/>
        <v>0</v>
      </c>
      <c r="M10" s="57">
        <f>IF(VLOOKUP(calcoli!$D$9,'Condizioni comm.li'!$E$33:$AD$1127,20,0)="no",0,IF(C10&lt;&gt;"",IF(B10=1,16,0)+IF(C10=0,0,IF(MOD(A10,12)&gt;0,0,$M$3)),""))</f>
        <v>0</v>
      </c>
      <c r="N10" s="58">
        <f>IF(VLOOKUP(calcoli!$D$9,'Condizioni comm.li'!$E$33:$AD$1127,20,0)="no",0,IF(B10=1,$F$3*0.25%,0))</f>
        <v>0</v>
      </c>
      <c r="O10" s="77"/>
      <c r="P10" s="17">
        <f>IF(A10&lt;calcoli!$C$11,calcoli!$C$36,IF(AND(calcoli!$C$8="maxirata",'sviluppo p. amm.to'!A10=calcoli!$C$11),calcoli!$C$46,IF('sviluppo p. amm.to'!A10=calcoli!$C$11,calcoli!$C$36,"")))</f>
        <v>119</v>
      </c>
      <c r="Q10" s="59">
        <f t="shared" si="3"/>
        <v>124</v>
      </c>
      <c r="R10" s="19">
        <f>IF(E10="","",IF(calcoli!$C$11&gt;18,E10+K10+L10+IF($M$2&lt;$N$2,M10,N10),E10+K10+L10+M10))</f>
        <v>124</v>
      </c>
      <c r="S10" s="53"/>
      <c r="T10" s="88">
        <f>IF(A10&lt;calcoli!$C$11,calcoli!$C$58,IF(AND(calcoli!$C$8="maxirata",'sviluppo p. amm.to'!A10=calcoli!$C$11),calcoli!$C$46,IF('sviluppo p. amm.to'!A10=calcoli!$C$11,calcoli!$C$58,"")))</f>
        <v>118.78882868393664</v>
      </c>
      <c r="U10" s="53"/>
      <c r="V10" s="67" t="str">
        <f>IF(calcoli!$C$8="MAXIRATA",IF(SIMULATORE!$E$16&gt;='sviluppo p. amm.to'!A10,calcoli!$C$50,""),"")</f>
        <v/>
      </c>
      <c r="W10" s="60" t="str">
        <f>IF(calcoli!$C$8="MAXIRATA",IF(SIMULATORE!$E$16&gt;='sviluppo p. amm.to'!A10,calcoli!$C$50+$K$3+IF(C10="",0,IF($M$2&lt;$N$2,IF(MOD(A10,12)&gt;0,0,1),0)),""),"")</f>
        <v/>
      </c>
      <c r="X10" s="22" t="str">
        <f>IF(calcoli!$C$8="MAXIRATA",IF(SIMULATORE!$E$16&gt;='sviluppo p. amm.to'!A10,calcoli!$C$50+$K$3+IF(C10="",0,IF($M$2&lt;$N$2,IF(MOD(A10,12)&gt;0,0,3),0)),""),"")</f>
        <v/>
      </c>
      <c r="Y10" s="53"/>
      <c r="AA10" s="61"/>
      <c r="AB10" s="61"/>
    </row>
    <row r="11" spans="1:28" hidden="1">
      <c r="A11" s="7">
        <v>6</v>
      </c>
      <c r="B11" s="70">
        <f>IF(calcoli!$C$13&gt;5,0,'sviluppo p. amm.to'!B10+1)</f>
        <v>6</v>
      </c>
      <c r="C11" s="54">
        <f>IF(B11=0,0,IF(calcoli!$C$8="MAXIRATA",IF('sviluppo p. amm.to'!B11=calcoli!$C$11,calcoli!$C$46,IF(B11&gt;calcoli!$C$11,"",calcoli!$C$35)),IF(B11&gt;calcoli!$C$11,"",calcoli!$C$35)))</f>
        <v>118.78882868393664</v>
      </c>
      <c r="D11" s="54">
        <f>IF(B11=0,0,IF(calcoli!$C$8="MAXIRATA",IF('sviluppo p. amm.to'!B11=calcoli!$C$11,calcoli!$C$46,IF(B11&gt;calcoli!$C$11,"",calcoli!$C$36)),IF(B11&gt;calcoli!$C$11,"",calcoli!$C$36)))</f>
        <v>119</v>
      </c>
      <c r="E11" s="55">
        <f>IF(C11=0,0,IF(C11="","",D11+MROUND(calcoli!$C$37,0.01)))</f>
        <v>119</v>
      </c>
      <c r="F11" s="54">
        <f>IF(B11=0,0,IF(B11&gt;calcoli!$C$11,"",C11-G11))</f>
        <v>99.317682344857673</v>
      </c>
      <c r="G11" s="54">
        <f>IF(B11=0,0,IF(B11&gt;calcoli!$C$11,"",'sviluppo p. amm.to'!J10*calcoli!$C$10/12))</f>
        <v>19.471146339078963</v>
      </c>
      <c r="H11" s="56">
        <f>IF(B11=0,0,IF(B11&gt;calcoli!$C$11,"",G11+calcoli!$C$36-calcoli!$C$35))</f>
        <v>19.682317655142313</v>
      </c>
      <c r="I11" s="52">
        <f t="shared" si="1"/>
        <v>587.39313459021662</v>
      </c>
      <c r="J11" s="13">
        <f t="shared" si="2"/>
        <v>3262.6068654097835</v>
      </c>
      <c r="K11" s="55">
        <f>IF(B11=0,0,IF(B11&gt;calcoli!$C$11,"",$K$3))</f>
        <v>5</v>
      </c>
      <c r="L11" s="29">
        <f t="shared" si="0"/>
        <v>0</v>
      </c>
      <c r="M11" s="57">
        <f>IF(VLOOKUP(calcoli!$D$9,'Condizioni comm.li'!$E$33:$AD$1127,20,0)="no",0,IF(C11&lt;&gt;"",IF(B11=1,16,0)+IF(C11=0,0,IF(MOD(A11,12)&gt;0,0,$M$3)),""))</f>
        <v>0</v>
      </c>
      <c r="N11" s="58">
        <f>IF(VLOOKUP(calcoli!$D$9,'Condizioni comm.li'!$E$33:$AD$1127,20,0)="no",0,IF(B11=1,$F$3*0.25%,0))</f>
        <v>0</v>
      </c>
      <c r="O11" s="77"/>
      <c r="P11" s="17">
        <f>IF(A11&lt;calcoli!$C$11,calcoli!$C$36,IF(AND(calcoli!$C$8="maxirata",'sviluppo p. amm.to'!A11=calcoli!$C$11),calcoli!$C$46,IF('sviluppo p. amm.to'!A11=calcoli!$C$11,calcoli!$C$36,"")))</f>
        <v>119</v>
      </c>
      <c r="Q11" s="59">
        <f t="shared" si="3"/>
        <v>124</v>
      </c>
      <c r="R11" s="19">
        <f>IF(E11="","",IF(calcoli!$C$11&gt;18,E11+K11+L11+IF($M$2&lt;$N$2,M11,N11),E11+K11+L11+M11))</f>
        <v>124</v>
      </c>
      <c r="S11" s="53"/>
      <c r="T11" s="88">
        <f>IF(A11&lt;calcoli!$C$11,calcoli!$C$58,IF(AND(calcoli!$C$8="maxirata",'sviluppo p. amm.to'!A11=calcoli!$C$11),calcoli!$C$46,IF('sviluppo p. amm.to'!A11=calcoli!$C$11,calcoli!$C$58,"")))</f>
        <v>118.78882868393664</v>
      </c>
      <c r="U11" s="53"/>
      <c r="V11" s="67" t="str">
        <f>IF(calcoli!$C$8="MAXIRATA",IF(SIMULATORE!$E$16&gt;='sviluppo p. amm.to'!A11,calcoli!$C$50,""),"")</f>
        <v/>
      </c>
      <c r="W11" s="60" t="str">
        <f>IF(calcoli!$C$8="MAXIRATA",IF(SIMULATORE!$E$16&gt;='sviluppo p. amm.to'!A11,calcoli!$C$50+$K$3+IF(C11="",0,IF($M$2&lt;$N$2,IF(MOD(A11,12)&gt;0,0,1),0)),""),"")</f>
        <v/>
      </c>
      <c r="X11" s="22" t="str">
        <f>IF(calcoli!$C$8="MAXIRATA",IF(SIMULATORE!$E$16&gt;='sviluppo p. amm.to'!A11,calcoli!$C$50+$K$3+IF(C11="",0,IF($M$2&lt;$N$2,IF(MOD(A11,12)&gt;0,0,3),0)),""),"")</f>
        <v/>
      </c>
      <c r="Y11" s="53"/>
      <c r="AA11" s="61"/>
      <c r="AB11" s="61"/>
    </row>
    <row r="12" spans="1:28" hidden="1">
      <c r="A12" s="7">
        <v>7</v>
      </c>
      <c r="B12" s="7">
        <f>B11+1</f>
        <v>7</v>
      </c>
      <c r="C12" s="54">
        <f>IF(B12=0,0,IF(calcoli!$C$8="MAXIRATA",IF('sviluppo p. amm.to'!B12=calcoli!$C$11,calcoli!$C$46,IF(B12&gt;calcoli!$C$11,"",calcoli!$C$35)),IF(B12&gt;calcoli!$C$11,"",calcoli!$C$35)))</f>
        <v>118.78882868393664</v>
      </c>
      <c r="D12" s="54">
        <f>IF(B12=0,0,IF(calcoli!$C$8="MAXIRATA",IF('sviluppo p. amm.to'!B12=calcoli!$C$11,calcoli!$C$46,IF(B12&gt;calcoli!$C$11,"",calcoli!$C$36)),IF(B12&gt;calcoli!$C$11,"",calcoli!$C$36)))</f>
        <v>119</v>
      </c>
      <c r="E12" s="55">
        <f>IF(C12=0,0,IF(C12="","",D12+MROUND(calcoli!$C$37,0.01)))</f>
        <v>119</v>
      </c>
      <c r="F12" s="54">
        <f>IF(B12=0,0,IF(B12&gt;calcoli!$C$11,"",C12-G12))</f>
        <v>99.892897255104984</v>
      </c>
      <c r="G12" s="54">
        <f>IF(B12=0,0,IF(B12&gt;calcoli!$C$11,"",'sviluppo p. amm.to'!J11*calcoli!$C$10/12))</f>
        <v>18.895931428831663</v>
      </c>
      <c r="H12" s="56">
        <f>IF(B12=0,0,IF(B12&gt;calcoli!$C$11,"",G12+calcoli!$C$36-calcoli!$C$35))</f>
        <v>19.107102744895016</v>
      </c>
      <c r="I12" s="52">
        <f t="shared" si="1"/>
        <v>687.28603184532165</v>
      </c>
      <c r="J12" s="13">
        <f t="shared" si="2"/>
        <v>3162.7139681546787</v>
      </c>
      <c r="K12" s="55">
        <f>IF(B12=0,0,IF(B12&gt;calcoli!$C$11,"",$K$3))</f>
        <v>5</v>
      </c>
      <c r="L12" s="29">
        <f t="shared" si="0"/>
        <v>0</v>
      </c>
      <c r="M12" s="29">
        <f t="shared" ref="M12:M37" si="4">IF(C12&lt;&gt;"",IF(B12=1,16,0)+IF(C12=0,0,IF(MOD(A12,12)&gt;0,0,$M$3)),"")</f>
        <v>0</v>
      </c>
      <c r="N12" s="13"/>
      <c r="O12" s="77"/>
      <c r="P12" s="17">
        <f>IF(A12&lt;calcoli!$C$11,calcoli!$C$36,IF(AND(calcoli!$C$8="maxirata",'sviluppo p. amm.to'!A12=calcoli!$C$11),calcoli!$C$46,IF('sviluppo p. amm.to'!A12=calcoli!$C$11,calcoli!$C$36,"")))</f>
        <v>119</v>
      </c>
      <c r="Q12" s="59">
        <f t="shared" si="3"/>
        <v>124</v>
      </c>
      <c r="R12" s="19">
        <f>IF(E12="","",IF(calcoli!$C$11&gt;18,E12+K12+L12+IF($M$2&lt;$N$2,M12,N12),E12+K12+L12+M12))</f>
        <v>124</v>
      </c>
      <c r="S12" s="53"/>
      <c r="T12" s="88">
        <f>IF(A12&lt;calcoli!$C$11,calcoli!$C$58,IF(AND(calcoli!$C$8="maxirata",'sviluppo p. amm.to'!A12=calcoli!$C$11),calcoli!$C$46,IF('sviluppo p. amm.to'!A12=calcoli!$C$11,calcoli!$C$58,"")))</f>
        <v>118.78882868393664</v>
      </c>
      <c r="U12" s="53"/>
      <c r="V12" s="67" t="str">
        <f>IF(calcoli!$C$8="MAXIRATA",IF(SIMULATORE!$E$16&gt;='sviluppo p. amm.to'!A12,calcoli!$C$50,""),"")</f>
        <v/>
      </c>
      <c r="W12" s="60" t="str">
        <f>IF(calcoli!$C$8="MAXIRATA",IF(SIMULATORE!$E$16&gt;='sviluppo p. amm.to'!A12,calcoli!$C$50+$K$3+IF(C12="",0,IF($M$2&lt;$N$2,IF(MOD(A12,12)&gt;0,0,1),0)),""),"")</f>
        <v/>
      </c>
      <c r="X12" s="22" t="str">
        <f>IF(calcoli!$C$8="MAXIRATA",IF(SIMULATORE!$E$16&gt;='sviluppo p. amm.to'!A12,calcoli!$C$50+$K$3+IF(C12="",0,IF($M$2&lt;$N$2,IF(MOD(A12,12)&gt;0,0,3),0)),""),"")</f>
        <v/>
      </c>
      <c r="Y12" s="53"/>
      <c r="AA12" s="61"/>
      <c r="AB12" s="61"/>
    </row>
    <row r="13" spans="1:28" hidden="1">
      <c r="A13" s="7">
        <v>8</v>
      </c>
      <c r="B13" s="7">
        <f t="shared" ref="B13:B76" si="5">B12+1</f>
        <v>8</v>
      </c>
      <c r="C13" s="54">
        <f>IF(B13=0,0,IF(calcoli!$C$8="MAXIRATA",IF('sviluppo p. amm.to'!B13=calcoli!$C$11,calcoli!$C$46,IF(B13&gt;calcoli!$C$11,"",calcoli!$C$35)),IF(B13&gt;calcoli!$C$11,"",calcoli!$C$35)))</f>
        <v>118.78882868393664</v>
      </c>
      <c r="D13" s="54">
        <f>IF(B13=0,0,IF(calcoli!$C$8="MAXIRATA",IF('sviluppo p. amm.to'!B13=calcoli!$C$11,calcoli!$C$46,IF(B13&gt;calcoli!$C$11,"",calcoli!$C$36)),IF(B13&gt;calcoli!$C$11,"",calcoli!$C$36)))</f>
        <v>119</v>
      </c>
      <c r="E13" s="55">
        <f>IF(C13=0,0,IF(C13="","",D13+MROUND(calcoli!$C$37,0.01)))</f>
        <v>119</v>
      </c>
      <c r="F13" s="54">
        <f>IF(B13=0,0,IF(B13&gt;calcoli!$C$11,"",C13-G13))</f>
        <v>100.47144361837412</v>
      </c>
      <c r="G13" s="54">
        <f>IF(B13=0,0,IF(B13&gt;calcoli!$C$11,"",'sviluppo p. amm.to'!J12*calcoli!$C$10/12))</f>
        <v>18.317385065562515</v>
      </c>
      <c r="H13" s="56">
        <f>IF(B13=0,0,IF(B13&gt;calcoli!$C$11,"",G13+calcoli!$C$36-calcoli!$C$35))</f>
        <v>18.528556381625876</v>
      </c>
      <c r="I13" s="52">
        <f t="shared" si="1"/>
        <v>787.75747546369576</v>
      </c>
      <c r="J13" s="13">
        <f t="shared" si="2"/>
        <v>3062.2425245363047</v>
      </c>
      <c r="K13" s="55">
        <f>IF(B13=0,0,IF(B13&gt;calcoli!$C$11,"",$K$3))</f>
        <v>5</v>
      </c>
      <c r="L13" s="29">
        <f t="shared" si="0"/>
        <v>0</v>
      </c>
      <c r="M13" s="29">
        <f t="shared" si="4"/>
        <v>0</v>
      </c>
      <c r="N13" s="13"/>
      <c r="O13" s="77"/>
      <c r="P13" s="17">
        <f>IF(A13&lt;calcoli!$C$11,calcoli!$C$36,IF(AND(calcoli!$C$8="maxirata",'sviluppo p. amm.to'!A13=calcoli!$C$11),calcoli!$C$46,IF('sviluppo p. amm.to'!A13=calcoli!$C$11,calcoli!$C$36,"")))</f>
        <v>119</v>
      </c>
      <c r="Q13" s="59">
        <f t="shared" si="3"/>
        <v>124</v>
      </c>
      <c r="R13" s="19">
        <f>IF(E13="","",IF(calcoli!$C$11&gt;18,E13+K13+L13+IF($M$2&lt;$N$2,M13,N13),E13+K13+L13+M13))</f>
        <v>124</v>
      </c>
      <c r="S13" s="53"/>
      <c r="T13" s="88">
        <f>IF(A13&lt;calcoli!$C$11,calcoli!$C$58,IF(AND(calcoli!$C$8="maxirata",'sviluppo p. amm.to'!A13=calcoli!$C$11),calcoli!$C$46,IF('sviluppo p. amm.to'!A13=calcoli!$C$11,calcoli!$C$58,"")))</f>
        <v>118.78882868393664</v>
      </c>
      <c r="U13" s="53"/>
      <c r="V13" s="67" t="str">
        <f>IF(calcoli!$C$8="MAXIRATA",IF(SIMULATORE!$E$16&gt;='sviluppo p. amm.to'!A13,calcoli!$C$50,""),"")</f>
        <v/>
      </c>
      <c r="W13" s="60" t="str">
        <f>IF(calcoli!$C$8="MAXIRATA",IF(SIMULATORE!$E$16&gt;='sviluppo p. amm.to'!A13,calcoli!$C$50+$K$3+IF(C13="",0,IF($M$2&lt;$N$2,IF(MOD(A13,12)&gt;0,0,1),0)),""),"")</f>
        <v/>
      </c>
      <c r="X13" s="22" t="str">
        <f>IF(calcoli!$C$8="MAXIRATA",IF(SIMULATORE!$E$16&gt;='sviluppo p. amm.to'!A13,calcoli!$C$50+$K$3+IF(C13="",0,IF($M$2&lt;$N$2,IF(MOD(A13,12)&gt;0,0,3),0)),""),"")</f>
        <v/>
      </c>
      <c r="Y13" s="53"/>
      <c r="AA13" s="61"/>
      <c r="AB13" s="61"/>
    </row>
    <row r="14" spans="1:28" hidden="1">
      <c r="A14" s="7">
        <v>9</v>
      </c>
      <c r="B14" s="7">
        <f t="shared" si="5"/>
        <v>9</v>
      </c>
      <c r="C14" s="54">
        <f>IF(B14=0,0,IF(calcoli!$C$8="MAXIRATA",IF('sviluppo p. amm.to'!B14=calcoli!$C$11,calcoli!$C$46,IF(B14&gt;calcoli!$C$11,"",calcoli!$C$35)),IF(B14&gt;calcoli!$C$11,"",calcoli!$C$35)))</f>
        <v>118.78882868393664</v>
      </c>
      <c r="D14" s="54">
        <f>IF(B14=0,0,IF(calcoli!$C$8="MAXIRATA",IF('sviluppo p. amm.to'!B14=calcoli!$C$11,calcoli!$C$46,IF(B14&gt;calcoli!$C$11,"",calcoli!$C$36)),IF(B14&gt;calcoli!$C$11,"",calcoli!$C$36)))</f>
        <v>119</v>
      </c>
      <c r="E14" s="55">
        <f>IF(C14=0,0,IF(C14="","",D14+MROUND(calcoli!$C$37,0.01)))</f>
        <v>119</v>
      </c>
      <c r="F14" s="54">
        <f>IF(B14=0,0,IF(B14&gt;calcoli!$C$11,"",C14-G14))</f>
        <v>101.05334072933054</v>
      </c>
      <c r="G14" s="54">
        <f>IF(B14=0,0,IF(B14&gt;calcoli!$C$11,"",'sviluppo p. amm.to'!J13*calcoli!$C$10/12))</f>
        <v>17.7354879546061</v>
      </c>
      <c r="H14" s="56">
        <f>IF(B14=0,0,IF(B14&gt;calcoli!$C$11,"",G14+calcoli!$C$36-calcoli!$C$35))</f>
        <v>17.946659270669457</v>
      </c>
      <c r="I14" s="52">
        <f t="shared" si="1"/>
        <v>888.81081619302631</v>
      </c>
      <c r="J14" s="13">
        <f t="shared" si="2"/>
        <v>2961.1891838069741</v>
      </c>
      <c r="K14" s="55">
        <f>IF(B14=0,0,IF(B14&gt;calcoli!$C$11,"",$K$3))</f>
        <v>5</v>
      </c>
      <c r="L14" s="29">
        <f t="shared" si="0"/>
        <v>0</v>
      </c>
      <c r="M14" s="29">
        <f t="shared" si="4"/>
        <v>0</v>
      </c>
      <c r="N14" s="13"/>
      <c r="O14" s="77"/>
      <c r="P14" s="17">
        <f>IF(A14&lt;calcoli!$C$11,calcoli!$C$36,IF(AND(calcoli!$C$8="maxirata",'sviluppo p. amm.to'!A14=calcoli!$C$11),calcoli!$C$46,IF('sviluppo p. amm.to'!A14=calcoli!$C$11,calcoli!$C$36,"")))</f>
        <v>119</v>
      </c>
      <c r="Q14" s="59">
        <f t="shared" si="3"/>
        <v>124</v>
      </c>
      <c r="R14" s="19">
        <f>IF(E14="","",IF(calcoli!$C$11&gt;18,E14+K14+L14+IF($M$2&lt;$N$2,M14,N14),E14+K14+L14+M14))</f>
        <v>124</v>
      </c>
      <c r="S14" s="53"/>
      <c r="T14" s="88">
        <f>IF(A14&lt;calcoli!$C$11,calcoli!$C$58,IF(AND(calcoli!$C$8="maxirata",'sviluppo p. amm.to'!A14=calcoli!$C$11),calcoli!$C$46,IF('sviluppo p. amm.to'!A14=calcoli!$C$11,calcoli!$C$58,"")))</f>
        <v>118.78882868393664</v>
      </c>
      <c r="U14" s="53"/>
      <c r="V14" s="67" t="str">
        <f>IF(calcoli!$C$8="MAXIRATA",IF(SIMULATORE!$E$16&gt;='sviluppo p. amm.to'!A14,calcoli!$C$50,""),"")</f>
        <v/>
      </c>
      <c r="W14" s="60" t="str">
        <f>IF(calcoli!$C$8="MAXIRATA",IF(SIMULATORE!$E$16&gt;='sviluppo p. amm.to'!A14,calcoli!$C$50+$K$3+IF(C14="",0,IF($M$2&lt;$N$2,IF(MOD(A14,12)&gt;0,0,1),0)),""),"")</f>
        <v/>
      </c>
      <c r="X14" s="22" t="str">
        <f>IF(calcoli!$C$8="MAXIRATA",IF(SIMULATORE!$E$16&gt;='sviluppo p. amm.to'!A14,calcoli!$C$50+$K$3+IF(C14="",0,IF($M$2&lt;$N$2,IF(MOD(A14,12)&gt;0,0,3),0)),""),"")</f>
        <v/>
      </c>
      <c r="Y14" s="53"/>
      <c r="AA14" s="61"/>
      <c r="AB14" s="61"/>
    </row>
    <row r="15" spans="1:28" hidden="1">
      <c r="A15" s="7">
        <v>10</v>
      </c>
      <c r="B15" s="7">
        <f t="shared" si="5"/>
        <v>10</v>
      </c>
      <c r="C15" s="54">
        <f>IF(B15=0,0,IF(calcoli!$C$8="MAXIRATA",IF('sviluppo p. amm.to'!B15=calcoli!$C$11,calcoli!$C$46,IF(B15&gt;calcoli!$C$11,"",calcoli!$C$35)),IF(B15&gt;calcoli!$C$11,"",calcoli!$C$35)))</f>
        <v>118.78882868393664</v>
      </c>
      <c r="D15" s="54">
        <f>IF(B15=0,0,IF(calcoli!$C$8="MAXIRATA",IF('sviluppo p. amm.to'!B15=calcoli!$C$11,calcoli!$C$46,IF(B15&gt;calcoli!$C$11,"",calcoli!$C$36)),IF(B15&gt;calcoli!$C$11,"",calcoli!$C$36)))</f>
        <v>119</v>
      </c>
      <c r="E15" s="55">
        <f>IF(C15=0,0,IF(C15="","",D15+MROUND(calcoli!$C$37,0.01)))</f>
        <v>119</v>
      </c>
      <c r="F15" s="54">
        <f>IF(B15=0,0,IF(B15&gt;calcoli!$C$11,"",C15-G15))</f>
        <v>101.63860799438791</v>
      </c>
      <c r="G15" s="54">
        <f>IF(B15=0,0,IF(B15&gt;calcoli!$C$11,"",'sviluppo p. amm.to'!J14*calcoli!$C$10/12))</f>
        <v>17.150220689548728</v>
      </c>
      <c r="H15" s="56">
        <f>IF(B15=0,0,IF(B15&gt;calcoli!$C$11,"",G15+calcoli!$C$36-calcoli!$C$35))</f>
        <v>17.361392005612075</v>
      </c>
      <c r="I15" s="52">
        <f t="shared" si="1"/>
        <v>990.44942418741425</v>
      </c>
      <c r="J15" s="13">
        <f t="shared" si="2"/>
        <v>2859.5505758125864</v>
      </c>
      <c r="K15" s="55">
        <f>IF(B15=0,0,IF(B15&gt;calcoli!$C$11,"",$K$3))</f>
        <v>5</v>
      </c>
      <c r="L15" s="29">
        <f t="shared" si="0"/>
        <v>0</v>
      </c>
      <c r="M15" s="29">
        <f t="shared" si="4"/>
        <v>0</v>
      </c>
      <c r="N15" s="13"/>
      <c r="O15" s="77"/>
      <c r="P15" s="17">
        <f>IF(A15&lt;calcoli!$C$11,calcoli!$C$36,IF(AND(calcoli!$C$8="maxirata",'sviluppo p. amm.to'!A15=calcoli!$C$11),calcoli!$C$46,IF('sviluppo p. amm.to'!A15=calcoli!$C$11,calcoli!$C$36,"")))</f>
        <v>119</v>
      </c>
      <c r="Q15" s="59">
        <f t="shared" si="3"/>
        <v>124</v>
      </c>
      <c r="R15" s="19">
        <f>IF(E15="","",IF(calcoli!$C$11&gt;18,E15+K15+L15+IF($M$2&lt;$N$2,M15,N15),E15+K15+L15+M15))</f>
        <v>124</v>
      </c>
      <c r="S15" s="53"/>
      <c r="T15" s="88">
        <f>IF(A15&lt;calcoli!$C$11,calcoli!$C$58,IF(AND(calcoli!$C$8="maxirata",'sviluppo p. amm.to'!A15=calcoli!$C$11),calcoli!$C$46,IF('sviluppo p. amm.to'!A15=calcoli!$C$11,calcoli!$C$58,"")))</f>
        <v>118.78882868393664</v>
      </c>
      <c r="U15" s="53"/>
      <c r="V15" s="67" t="str">
        <f>IF(calcoli!$C$8="MAXIRATA",IF(SIMULATORE!$E$16&gt;='sviluppo p. amm.to'!A15,calcoli!$C$50,""),"")</f>
        <v/>
      </c>
      <c r="W15" s="60" t="str">
        <f>IF(calcoli!$C$8="MAXIRATA",IF(SIMULATORE!$E$16&gt;='sviluppo p. amm.to'!A15,calcoli!$C$50+$K$3+IF(C15="",0,IF($M$2&lt;$N$2,IF(MOD(A15,12)&gt;0,0,1),0)),""),"")</f>
        <v/>
      </c>
      <c r="X15" s="22" t="str">
        <f>IF(calcoli!$C$8="MAXIRATA",IF(SIMULATORE!$E$16&gt;='sviluppo p. amm.to'!A15,calcoli!$C$50+$K$3+IF(C15="",0,IF($M$2&lt;$N$2,IF(MOD(A15,12)&gt;0,0,3),0)),""),"")</f>
        <v/>
      </c>
      <c r="Y15" s="53"/>
      <c r="AA15" s="61"/>
      <c r="AB15" s="61"/>
    </row>
    <row r="16" spans="1:28" hidden="1">
      <c r="A16" s="7">
        <v>11</v>
      </c>
      <c r="B16" s="7">
        <f t="shared" si="5"/>
        <v>11</v>
      </c>
      <c r="C16" s="54">
        <f>IF(B16=0,0,IF(calcoli!$C$8="MAXIRATA",IF('sviluppo p. amm.to'!B16=calcoli!$C$11,calcoli!$C$46,IF(B16&gt;calcoli!$C$11,"",calcoli!$C$35)),IF(B16&gt;calcoli!$C$11,"",calcoli!$C$35)))</f>
        <v>118.78882868393664</v>
      </c>
      <c r="D16" s="54">
        <f>IF(B16=0,0,IF(calcoli!$C$8="MAXIRATA",IF('sviluppo p. amm.to'!B16=calcoli!$C$11,calcoli!$C$46,IF(B16&gt;calcoli!$C$11,"",calcoli!$C$36)),IF(B16&gt;calcoli!$C$11,"",calcoli!$C$36)))</f>
        <v>119</v>
      </c>
      <c r="E16" s="55">
        <f>IF(C16=0,0,IF(C16="","",D16+MROUND(calcoli!$C$37,0.01)))</f>
        <v>119</v>
      </c>
      <c r="F16" s="54">
        <f>IF(B16=0,0,IF(B16&gt;calcoli!$C$11,"",C16-G16))</f>
        <v>102.22726493235541</v>
      </c>
      <c r="G16" s="54">
        <f>IF(B16=0,0,IF(B16&gt;calcoli!$C$11,"",'sviluppo p. amm.to'!J15*calcoli!$C$10/12))</f>
        <v>16.561563751581232</v>
      </c>
      <c r="H16" s="56">
        <f>IF(B16=0,0,IF(B16&gt;calcoli!$C$11,"",G16+calcoli!$C$36-calcoli!$C$35))</f>
        <v>16.772735067644575</v>
      </c>
      <c r="I16" s="52">
        <f t="shared" si="1"/>
        <v>1092.6766891197697</v>
      </c>
      <c r="J16" s="13">
        <f t="shared" si="2"/>
        <v>2757.323310880231</v>
      </c>
      <c r="K16" s="55">
        <f>IF(B16=0,0,IF(B16&gt;calcoli!$C$11,"",$K$3))</f>
        <v>5</v>
      </c>
      <c r="L16" s="29">
        <f t="shared" si="0"/>
        <v>0</v>
      </c>
      <c r="M16" s="29">
        <f t="shared" si="4"/>
        <v>0</v>
      </c>
      <c r="N16" s="13"/>
      <c r="O16" s="77"/>
      <c r="P16" s="17">
        <f>IF(A16&lt;calcoli!$C$11,calcoli!$C$36,IF(AND(calcoli!$C$8="maxirata",'sviluppo p. amm.to'!A16=calcoli!$C$11),calcoli!$C$46,IF('sviluppo p. amm.to'!A16=calcoli!$C$11,calcoli!$C$36,"")))</f>
        <v>119</v>
      </c>
      <c r="Q16" s="59">
        <f t="shared" si="3"/>
        <v>124</v>
      </c>
      <c r="R16" s="19">
        <f>IF(E16="","",IF(calcoli!$C$11&gt;18,E16+K16+L16+IF($M$2&lt;$N$2,M16,N16),E16+K16+L16+M16))</f>
        <v>124</v>
      </c>
      <c r="S16" s="53"/>
      <c r="T16" s="88">
        <f>IF(A16&lt;calcoli!$C$11,calcoli!$C$58,IF(AND(calcoli!$C$8="maxirata",'sviluppo p. amm.to'!A16=calcoli!$C$11),calcoli!$C$46,IF('sviluppo p. amm.to'!A16=calcoli!$C$11,calcoli!$C$58,"")))</f>
        <v>118.78882868393664</v>
      </c>
      <c r="U16" s="53"/>
      <c r="V16" s="67" t="str">
        <f>IF(calcoli!$C$8="MAXIRATA",IF(SIMULATORE!$E$16&gt;='sviluppo p. amm.to'!A16,calcoli!$C$50,""),"")</f>
        <v/>
      </c>
      <c r="W16" s="60" t="str">
        <f>IF(calcoli!$C$8="MAXIRATA",IF(SIMULATORE!$E$16&gt;='sviluppo p. amm.to'!A16,calcoli!$C$50+$K$3+IF(C16="",0,IF($M$2&lt;$N$2,IF(MOD(A16,12)&gt;0,0,1),0)),""),"")</f>
        <v/>
      </c>
      <c r="X16" s="22" t="str">
        <f>IF(calcoli!$C$8="MAXIRATA",IF(SIMULATORE!$E$16&gt;='sviluppo p. amm.to'!A16,calcoli!$C$50+$K$3+IF(C16="",0,IF($M$2&lt;$N$2,IF(MOD(A16,12)&gt;0,0,3),0)),""),"")</f>
        <v/>
      </c>
      <c r="Y16" s="53"/>
      <c r="AA16" s="61"/>
      <c r="AB16" s="61"/>
    </row>
    <row r="17" spans="1:28" hidden="1">
      <c r="A17" s="7">
        <v>12</v>
      </c>
      <c r="B17" s="7">
        <f t="shared" si="5"/>
        <v>12</v>
      </c>
      <c r="C17" s="54">
        <f>IF(B17=0,0,IF(calcoli!$C$8="MAXIRATA",IF('sviluppo p. amm.to'!B17=calcoli!$C$11,calcoli!$C$46,IF(B17&gt;calcoli!$C$11,"",calcoli!$C$35)),IF(B17&gt;calcoli!$C$11,"",calcoli!$C$35)))</f>
        <v>118.78882868393664</v>
      </c>
      <c r="D17" s="54">
        <f>IF(B17=0,0,IF(calcoli!$C$8="MAXIRATA",IF('sviluppo p. amm.to'!B17=calcoli!$C$11,calcoli!$C$46,IF(B17&gt;calcoli!$C$11,"",calcoli!$C$36)),IF(B17&gt;calcoli!$C$11,"",calcoli!$C$36)))</f>
        <v>119</v>
      </c>
      <c r="E17" s="55">
        <f>IF(C17=0,0,IF(C17="","",D17+MROUND(calcoli!$C$37,0.01)))</f>
        <v>119</v>
      </c>
      <c r="F17" s="54">
        <f>IF(B17=0,0,IF(B17&gt;calcoli!$C$11,"",C17-G17))</f>
        <v>102.81933117508864</v>
      </c>
      <c r="G17" s="54">
        <f>IF(B17=0,0,IF(B17&gt;calcoli!$C$11,"",'sviluppo p. amm.to'!J16*calcoli!$C$10/12))</f>
        <v>15.969497508848006</v>
      </c>
      <c r="H17" s="56">
        <f>IF(B17=0,0,IF(B17&gt;calcoli!$C$11,"",G17+calcoli!$C$36-calcoli!$C$35))</f>
        <v>16.180668824911365</v>
      </c>
      <c r="I17" s="52">
        <f t="shared" si="1"/>
        <v>1195.4960202948582</v>
      </c>
      <c r="J17" s="13">
        <f t="shared" si="2"/>
        <v>2654.5039797051422</v>
      </c>
      <c r="K17" s="55">
        <f>IF(B17=0,0,IF(B17&gt;calcoli!$C$11,"",$K$3))</f>
        <v>5</v>
      </c>
      <c r="L17" s="29">
        <f t="shared" si="0"/>
        <v>1</v>
      </c>
      <c r="M17" s="29">
        <f t="shared" si="4"/>
        <v>2</v>
      </c>
      <c r="N17" s="13"/>
      <c r="O17" s="77"/>
      <c r="P17" s="17">
        <f>IF(A17&lt;calcoli!$C$11,calcoli!$C$36,IF(AND(calcoli!$C$8="maxirata",'sviluppo p. amm.to'!A17=calcoli!$C$11),calcoli!$C$46,IF('sviluppo p. amm.to'!A17=calcoli!$C$11,calcoli!$C$36,"")))</f>
        <v>119</v>
      </c>
      <c r="Q17" s="59">
        <f t="shared" si="3"/>
        <v>125</v>
      </c>
      <c r="R17" s="19">
        <f>IF(E17="","",IF(calcoli!$C$11&gt;18,E17+K17+L17+IF($M$2&lt;$N$2,M17,N17),E17+K17+L17+M17))</f>
        <v>125</v>
      </c>
      <c r="S17" s="53"/>
      <c r="T17" s="88">
        <f>IF(A17&lt;calcoli!$C$11,calcoli!$C$58,IF(AND(calcoli!$C$8="maxirata",'sviluppo p. amm.to'!A17=calcoli!$C$11),calcoli!$C$46,IF('sviluppo p. amm.to'!A17=calcoli!$C$11,calcoli!$C$58,"")))</f>
        <v>118.78882868393664</v>
      </c>
      <c r="U17" s="53"/>
      <c r="V17" s="67" t="str">
        <f>IF(calcoli!$C$8="MAXIRATA",IF(SIMULATORE!$E$16&gt;='sviluppo p. amm.to'!A17,calcoli!$C$50,""),"")</f>
        <v/>
      </c>
      <c r="W17" s="60" t="str">
        <f>IF(calcoli!$C$8="MAXIRATA",IF(SIMULATORE!$E$16&gt;='sviluppo p. amm.to'!A17,calcoli!$C$50+$K$3+IF(C17="",0,IF($M$2&lt;$N$2,IF(MOD(A17,12)&gt;0,0,1),0)),""),"")</f>
        <v/>
      </c>
      <c r="X17" s="22" t="str">
        <f>IF(calcoli!$C$8="MAXIRATA",IF(SIMULATORE!$E$16&gt;='sviluppo p. amm.to'!A17,calcoli!$C$50+$K$3+IF(C17="",0,IF($M$2&lt;$N$2,IF(MOD(A17,12)&gt;0,0,3),0)),""),"")</f>
        <v/>
      </c>
      <c r="Y17" s="53"/>
      <c r="AA17" s="61"/>
      <c r="AB17" s="61"/>
    </row>
    <row r="18" spans="1:28" hidden="1">
      <c r="A18" s="7">
        <v>13</v>
      </c>
      <c r="B18" s="7">
        <f t="shared" si="5"/>
        <v>13</v>
      </c>
      <c r="C18" s="54">
        <f>IF(B18=0,0,IF(calcoli!$C$8="MAXIRATA",IF('sviluppo p. amm.to'!B18=calcoli!$C$11,calcoli!$C$46,IF(B18&gt;calcoli!$C$11,"",calcoli!$C$35)),IF(B18&gt;calcoli!$C$11,"",calcoli!$C$35)))</f>
        <v>118.78882868393664</v>
      </c>
      <c r="D18" s="54">
        <f>IF(B18=0,0,IF(calcoli!$C$8="MAXIRATA",IF('sviluppo p. amm.to'!B18=calcoli!$C$11,calcoli!$C$46,IF(B18&gt;calcoli!$C$11,"",calcoli!$C$36)),IF(B18&gt;calcoli!$C$11,"",calcoli!$C$36)))</f>
        <v>119</v>
      </c>
      <c r="E18" s="55">
        <f>IF(C18=0,0,IF(C18="","",D18+MROUND(calcoli!$C$37,0.01)))</f>
        <v>119</v>
      </c>
      <c r="F18" s="54">
        <f>IF(B18=0,0,IF(B18&gt;calcoli!$C$11,"",C18-G18))</f>
        <v>103.41482646814435</v>
      </c>
      <c r="G18" s="54">
        <f>IF(B18=0,0,IF(B18&gt;calcoli!$C$11,"",'sviluppo p. amm.to'!J17*calcoli!$C$10/12))</f>
        <v>15.374002215792283</v>
      </c>
      <c r="H18" s="56">
        <f>IF(B18=0,0,IF(B18&gt;calcoli!$C$11,"",G18+calcoli!$C$36-calcoli!$C$35))</f>
        <v>15.585173531855631</v>
      </c>
      <c r="I18" s="52">
        <f t="shared" si="1"/>
        <v>1298.9108467630026</v>
      </c>
      <c r="J18" s="13">
        <f t="shared" si="2"/>
        <v>2551.0891532369978</v>
      </c>
      <c r="K18" s="55">
        <f>IF(B18=0,0,IF(B18&gt;calcoli!$C$11,"",$K$3))</f>
        <v>5</v>
      </c>
      <c r="L18" s="29">
        <f t="shared" si="0"/>
        <v>0</v>
      </c>
      <c r="M18" s="29">
        <f t="shared" si="4"/>
        <v>0</v>
      </c>
      <c r="N18" s="13"/>
      <c r="O18" s="77"/>
      <c r="P18" s="17">
        <f>IF(A18&lt;calcoli!$C$11,calcoli!$C$36,IF(AND(calcoli!$C$8="maxirata",'sviluppo p. amm.to'!A18=calcoli!$C$11),calcoli!$C$46,IF('sviluppo p. amm.to'!A18=calcoli!$C$11,calcoli!$C$36,"")))</f>
        <v>119</v>
      </c>
      <c r="Q18" s="59">
        <f t="shared" si="3"/>
        <v>124</v>
      </c>
      <c r="R18" s="19">
        <f>IF(E18="","",IF(calcoli!$C$11&gt;18,E18+K18+L18+IF($M$2&lt;$N$2,M18,N18),E18+K18+L18+M18))</f>
        <v>124</v>
      </c>
      <c r="S18" s="53"/>
      <c r="T18" s="88">
        <f>IF(A18&lt;calcoli!$C$11,calcoli!$C$58,IF(AND(calcoli!$C$8="maxirata",'sviluppo p. amm.to'!A18=calcoli!$C$11),calcoli!$C$46,IF('sviluppo p. amm.to'!A18=calcoli!$C$11,calcoli!$C$58,"")))</f>
        <v>118.78882868393664</v>
      </c>
      <c r="U18" s="53"/>
      <c r="V18" s="67" t="str">
        <f>IF(calcoli!$C$8="MAXIRATA",IF(SIMULATORE!$E$16&gt;='sviluppo p. amm.to'!A18,calcoli!$C$50,""),"")</f>
        <v/>
      </c>
      <c r="W18" s="60" t="str">
        <f>IF(calcoli!$C$8="MAXIRATA",IF(SIMULATORE!$E$16&gt;='sviluppo p. amm.to'!A18,calcoli!$C$50+$K$3+IF(C18="",0,IF($M$2&lt;$N$2,IF(MOD(A18,12)&gt;0,0,1),0)),""),"")</f>
        <v/>
      </c>
      <c r="X18" s="22" t="str">
        <f>IF(calcoli!$C$8="MAXIRATA",IF(SIMULATORE!$E$16&gt;='sviluppo p. amm.to'!A18,calcoli!$C$50+$K$3+IF(C18="",0,IF($M$2&lt;$N$2,IF(MOD(A18,12)&gt;0,0,3),0)),""),"")</f>
        <v/>
      </c>
      <c r="Y18" s="53"/>
      <c r="AA18" s="61"/>
      <c r="AB18" s="61"/>
    </row>
    <row r="19" spans="1:28" hidden="1">
      <c r="A19" s="7">
        <v>14</v>
      </c>
      <c r="B19" s="7">
        <f t="shared" si="5"/>
        <v>14</v>
      </c>
      <c r="C19" s="54">
        <f>IF(B19=0,0,IF(calcoli!$C$8="MAXIRATA",IF('sviluppo p. amm.to'!B19=calcoli!$C$11,calcoli!$C$46,IF(B19&gt;calcoli!$C$11,"",calcoli!$C$35)),IF(B19&gt;calcoli!$C$11,"",calcoli!$C$35)))</f>
        <v>118.78882868393664</v>
      </c>
      <c r="D19" s="54">
        <f>IF(B19=0,0,IF(calcoli!$C$8="MAXIRATA",IF('sviluppo p. amm.to'!B19=calcoli!$C$11,calcoli!$C$46,IF(B19&gt;calcoli!$C$11,"",calcoli!$C$36)),IF(B19&gt;calcoli!$C$11,"",calcoli!$C$36)))</f>
        <v>119</v>
      </c>
      <c r="E19" s="55">
        <f>IF(C19=0,0,IF(C19="","",D19+MROUND(calcoli!$C$37,0.01)))</f>
        <v>119</v>
      </c>
      <c r="F19" s="54">
        <f>IF(B19=0,0,IF(B19&gt;calcoli!$C$11,"",C19-G19))</f>
        <v>104.01377067143903</v>
      </c>
      <c r="G19" s="54">
        <f>IF(B19=0,0,IF(B19&gt;calcoli!$C$11,"",'sviluppo p. amm.to'!J18*calcoli!$C$10/12))</f>
        <v>14.775058012497615</v>
      </c>
      <c r="H19" s="56">
        <f>IF(B19=0,0,IF(B19&gt;calcoli!$C$11,"",G19+calcoli!$C$36-calcoli!$C$35))</f>
        <v>14.986229328560981</v>
      </c>
      <c r="I19" s="52">
        <f t="shared" si="1"/>
        <v>1402.9246174344416</v>
      </c>
      <c r="J19" s="13">
        <f t="shared" si="2"/>
        <v>2447.0753825655588</v>
      </c>
      <c r="K19" s="55">
        <f>IF(B19=0,0,IF(B19&gt;calcoli!$C$11,"",$K$3))</f>
        <v>5</v>
      </c>
      <c r="L19" s="29">
        <f t="shared" si="0"/>
        <v>0</v>
      </c>
      <c r="M19" s="29">
        <f t="shared" si="4"/>
        <v>0</v>
      </c>
      <c r="N19" s="13"/>
      <c r="O19" s="77"/>
      <c r="P19" s="17">
        <f>IF(A19&lt;calcoli!$C$11,calcoli!$C$36,IF(AND(calcoli!$C$8="maxirata",'sviluppo p. amm.to'!A19=calcoli!$C$11),calcoli!$C$46,IF('sviluppo p. amm.to'!A19=calcoli!$C$11,calcoli!$C$36,"")))</f>
        <v>119</v>
      </c>
      <c r="Q19" s="59">
        <f t="shared" si="3"/>
        <v>124</v>
      </c>
      <c r="R19" s="19">
        <f>IF(E19="","",IF(calcoli!$C$11&gt;18,E19+K19+L19+IF($M$2&lt;$N$2,M19,N19),E19+K19+L19+M19))</f>
        <v>124</v>
      </c>
      <c r="S19" s="53"/>
      <c r="T19" s="88">
        <f>IF(A19&lt;calcoli!$C$11,calcoli!$C$58,IF(AND(calcoli!$C$8="maxirata",'sviluppo p. amm.to'!A19=calcoli!$C$11),calcoli!$C$46,IF('sviluppo p. amm.to'!A19=calcoli!$C$11,calcoli!$C$58,"")))</f>
        <v>118.78882868393664</v>
      </c>
      <c r="U19" s="53"/>
      <c r="V19" s="67" t="str">
        <f>IF(calcoli!$C$8="MAXIRATA",IF(SIMULATORE!$E$16&gt;='sviluppo p. amm.to'!A19,calcoli!$C$50,""),"")</f>
        <v/>
      </c>
      <c r="W19" s="60" t="str">
        <f>IF(calcoli!$C$8="MAXIRATA",IF(SIMULATORE!$E$16&gt;='sviluppo p. amm.to'!A19,calcoli!$C$50+$K$3+IF(C19="",0,IF($M$2&lt;$N$2,IF(MOD(A19,12)&gt;0,0,1),0)),""),"")</f>
        <v/>
      </c>
      <c r="X19" s="22" t="str">
        <f>IF(calcoli!$C$8="MAXIRATA",IF(SIMULATORE!$E$16&gt;='sviluppo p. amm.to'!A19,calcoli!$C$50+$K$3+IF(C19="",0,IF($M$2&lt;$N$2,IF(MOD(A19,12)&gt;0,0,3),0)),""),"")</f>
        <v/>
      </c>
      <c r="Y19" s="53"/>
      <c r="AA19" s="61"/>
      <c r="AB19" s="61"/>
    </row>
    <row r="20" spans="1:28" hidden="1">
      <c r="A20" s="7">
        <v>15</v>
      </c>
      <c r="B20" s="7">
        <f t="shared" si="5"/>
        <v>15</v>
      </c>
      <c r="C20" s="54">
        <f>IF(B20=0,0,IF(calcoli!$C$8="MAXIRATA",IF('sviluppo p. amm.to'!B20=calcoli!$C$11,calcoli!$C$46,IF(B20&gt;calcoli!$C$11,"",calcoli!$C$35)),IF(B20&gt;calcoli!$C$11,"",calcoli!$C$35)))</f>
        <v>118.78882868393664</v>
      </c>
      <c r="D20" s="54">
        <f>IF(B20=0,0,IF(calcoli!$C$8="MAXIRATA",IF('sviluppo p. amm.to'!B20=calcoli!$C$11,calcoli!$C$46,IF(B20&gt;calcoli!$C$11,"",calcoli!$C$36)),IF(B20&gt;calcoli!$C$11,"",calcoli!$C$36)))</f>
        <v>119</v>
      </c>
      <c r="E20" s="55">
        <f>IF(C20=0,0,IF(C20="","",D20+MROUND(calcoli!$C$37,0.01)))</f>
        <v>119</v>
      </c>
      <c r="F20" s="54">
        <f>IF(B20=0,0,IF(B20&gt;calcoli!$C$11,"",C20-G20))</f>
        <v>104.61618375991111</v>
      </c>
      <c r="G20" s="54">
        <f>IF(B20=0,0,IF(B20&gt;calcoli!$C$11,"",'sviluppo p. amm.to'!J19*calcoli!$C$10/12))</f>
        <v>14.172644924025528</v>
      </c>
      <c r="H20" s="56">
        <f>IF(B20=0,0,IF(B20&gt;calcoli!$C$11,"",G20+calcoli!$C$36-calcoli!$C$35))</f>
        <v>14.383816240088876</v>
      </c>
      <c r="I20" s="52">
        <f t="shared" si="1"/>
        <v>1507.5408011943528</v>
      </c>
      <c r="J20" s="13">
        <f t="shared" si="2"/>
        <v>2342.4591988056477</v>
      </c>
      <c r="K20" s="55">
        <f>IF(B20=0,0,IF(B20&gt;calcoli!$C$11,"",$K$3))</f>
        <v>5</v>
      </c>
      <c r="L20" s="29">
        <f t="shared" si="0"/>
        <v>0</v>
      </c>
      <c r="M20" s="29">
        <f t="shared" si="4"/>
        <v>0</v>
      </c>
      <c r="N20" s="13"/>
      <c r="O20" s="77"/>
      <c r="P20" s="17">
        <f>IF(A20&lt;calcoli!$C$11,calcoli!$C$36,IF(AND(calcoli!$C$8="maxirata",'sviluppo p. amm.to'!A20=calcoli!$C$11),calcoli!$C$46,IF('sviluppo p. amm.to'!A20=calcoli!$C$11,calcoli!$C$36,"")))</f>
        <v>119</v>
      </c>
      <c r="Q20" s="59">
        <f t="shared" si="3"/>
        <v>124</v>
      </c>
      <c r="R20" s="19">
        <f>IF(E20="","",IF(calcoli!$C$11&gt;18,E20+K20+L20+IF($M$2&lt;$N$2,M20,N20),E20+K20+L20+M20))</f>
        <v>124</v>
      </c>
      <c r="S20" s="53"/>
      <c r="T20" s="88">
        <f>IF(A20&lt;calcoli!$C$11,calcoli!$C$58,IF(AND(calcoli!$C$8="maxirata",'sviluppo p. amm.to'!A20=calcoli!$C$11),calcoli!$C$46,IF('sviluppo p. amm.to'!A20=calcoli!$C$11,calcoli!$C$58,"")))</f>
        <v>118.78882868393664</v>
      </c>
      <c r="U20" s="53"/>
      <c r="V20" s="67" t="str">
        <f>IF(calcoli!$C$8="MAXIRATA",IF(SIMULATORE!$E$16&gt;='sviluppo p. amm.to'!A20,calcoli!$C$50,""),"")</f>
        <v/>
      </c>
      <c r="W20" s="60" t="str">
        <f>IF(calcoli!$C$8="MAXIRATA",IF(SIMULATORE!$E$16&gt;='sviluppo p. amm.to'!A20,calcoli!$C$50+$K$3+IF(C20="",0,IF($M$2&lt;$N$2,IF(MOD(A20,12)&gt;0,0,1),0)),""),"")</f>
        <v/>
      </c>
      <c r="X20" s="22" t="str">
        <f>IF(calcoli!$C$8="MAXIRATA",IF(SIMULATORE!$E$16&gt;='sviluppo p. amm.to'!A20,calcoli!$C$50+$K$3+IF(C20="",0,IF($M$2&lt;$N$2,IF(MOD(A20,12)&gt;0,0,3),0)),""),"")</f>
        <v/>
      </c>
      <c r="Y20" s="53"/>
      <c r="AA20" s="61"/>
      <c r="AB20" s="61"/>
    </row>
    <row r="21" spans="1:28" hidden="1">
      <c r="A21" s="7">
        <v>16</v>
      </c>
      <c r="B21" s="7">
        <f t="shared" si="5"/>
        <v>16</v>
      </c>
      <c r="C21" s="54">
        <f>IF(B21=0,0,IF(calcoli!$C$8="MAXIRATA",IF('sviluppo p. amm.to'!B21=calcoli!$C$11,calcoli!$C$46,IF(B21&gt;calcoli!$C$11,"",calcoli!$C$35)),IF(B21&gt;calcoli!$C$11,"",calcoli!$C$35)))</f>
        <v>118.78882868393664</v>
      </c>
      <c r="D21" s="54">
        <f>IF(B21=0,0,IF(calcoli!$C$8="MAXIRATA",IF('sviluppo p. amm.to'!B21=calcoli!$C$11,calcoli!$C$46,IF(B21&gt;calcoli!$C$11,"",calcoli!$C$36)),IF(B21&gt;calcoli!$C$11,"",calcoli!$C$36)))</f>
        <v>119</v>
      </c>
      <c r="E21" s="55">
        <f>IF(C21=0,0,IF(C21="","",D21+MROUND(calcoli!$C$37,0.01)))</f>
        <v>119</v>
      </c>
      <c r="F21" s="54">
        <f>IF(B21=0,0,IF(B21&gt;calcoli!$C$11,"",C21-G21))</f>
        <v>105.22208582418726</v>
      </c>
      <c r="G21" s="54">
        <f>IF(B21=0,0,IF(B21&gt;calcoli!$C$11,"",'sviluppo p. amm.to'!J20*calcoli!$C$10/12))</f>
        <v>13.566742859749377</v>
      </c>
      <c r="H21" s="56">
        <f>IF(B21=0,0,IF(B21&gt;calcoli!$C$11,"",G21+calcoli!$C$36-calcoli!$C$35))</f>
        <v>13.777914175812739</v>
      </c>
      <c r="I21" s="52">
        <f t="shared" si="1"/>
        <v>1612.7628870185399</v>
      </c>
      <c r="J21" s="13">
        <f t="shared" si="2"/>
        <v>2237.2371129814605</v>
      </c>
      <c r="K21" s="55">
        <f>IF(B21=0,0,IF(B21&gt;calcoli!$C$11,"",$K$3))</f>
        <v>5</v>
      </c>
      <c r="L21" s="29">
        <f t="shared" si="0"/>
        <v>0</v>
      </c>
      <c r="M21" s="29">
        <f t="shared" si="4"/>
        <v>0</v>
      </c>
      <c r="N21" s="13"/>
      <c r="O21" s="77"/>
      <c r="P21" s="17">
        <f>IF(A21&lt;calcoli!$C$11,calcoli!$C$36,IF(AND(calcoli!$C$8="maxirata",'sviluppo p. amm.to'!A21=calcoli!$C$11),calcoli!$C$46,IF('sviluppo p. amm.to'!A21=calcoli!$C$11,calcoli!$C$36,"")))</f>
        <v>119</v>
      </c>
      <c r="Q21" s="59">
        <f t="shared" si="3"/>
        <v>124</v>
      </c>
      <c r="R21" s="19">
        <f>IF(E21="","",IF(calcoli!$C$11&gt;18,E21+K21+L21+IF($M$2&lt;$N$2,M21,N21),E21+K21+L21+M21))</f>
        <v>124</v>
      </c>
      <c r="S21" s="53"/>
      <c r="T21" s="88">
        <f>IF(A21&lt;calcoli!$C$11,calcoli!$C$58,IF(AND(calcoli!$C$8="maxirata",'sviluppo p. amm.to'!A21=calcoli!$C$11),calcoli!$C$46,IF('sviluppo p. amm.to'!A21=calcoli!$C$11,calcoli!$C$58,"")))</f>
        <v>118.78882868393664</v>
      </c>
      <c r="U21" s="53"/>
      <c r="V21" s="67" t="str">
        <f>IF(calcoli!$C$8="MAXIRATA",IF(SIMULATORE!$E$16&gt;='sviluppo p. amm.to'!A21,calcoli!$C$50,""),"")</f>
        <v/>
      </c>
      <c r="W21" s="60" t="str">
        <f>IF(calcoli!$C$8="MAXIRATA",IF(SIMULATORE!$E$16&gt;='sviluppo p. amm.to'!A21,calcoli!$C$50+$K$3+IF(C21="",0,IF($M$2&lt;$N$2,IF(MOD(A21,12)&gt;0,0,1),0)),""),"")</f>
        <v/>
      </c>
      <c r="X21" s="22" t="str">
        <f>IF(calcoli!$C$8="MAXIRATA",IF(SIMULATORE!$E$16&gt;='sviluppo p. amm.to'!A21,calcoli!$C$50+$K$3+IF(C21="",0,IF($M$2&lt;$N$2,IF(MOD(A21,12)&gt;0,0,3),0)),""),"")</f>
        <v/>
      </c>
      <c r="Y21" s="53"/>
      <c r="AA21" s="61"/>
      <c r="AB21" s="61"/>
    </row>
    <row r="22" spans="1:28" hidden="1">
      <c r="A22" s="7">
        <v>17</v>
      </c>
      <c r="B22" s="7">
        <f t="shared" si="5"/>
        <v>17</v>
      </c>
      <c r="C22" s="54">
        <f>IF(B22=0,0,IF(calcoli!$C$8="MAXIRATA",IF('sviluppo p. amm.to'!B22=calcoli!$C$11,calcoli!$C$46,IF(B22&gt;calcoli!$C$11,"",calcoli!$C$35)),IF(B22&gt;calcoli!$C$11,"",calcoli!$C$35)))</f>
        <v>118.78882868393664</v>
      </c>
      <c r="D22" s="54">
        <f>IF(B22=0,0,IF(calcoli!$C$8="MAXIRATA",IF('sviluppo p. amm.to'!B22=calcoli!$C$11,calcoli!$C$46,IF(B22&gt;calcoli!$C$11,"",calcoli!$C$36)),IF(B22&gt;calcoli!$C$11,"",calcoli!$C$36)))</f>
        <v>119</v>
      </c>
      <c r="E22" s="55">
        <f>IF(C22=0,0,IF(C22="","",D22+MROUND(calcoli!$C$37,0.01)))</f>
        <v>119</v>
      </c>
      <c r="F22" s="54">
        <f>IF(B22=0,0,IF(B22&gt;calcoli!$C$11,"",C22-G22))</f>
        <v>105.83149707125236</v>
      </c>
      <c r="G22" s="54">
        <f>IF(B22=0,0,IF(B22&gt;calcoli!$C$11,"",'sviluppo p. amm.to'!J21*calcoli!$C$10/12))</f>
        <v>12.957331612684293</v>
      </c>
      <c r="H22" s="56">
        <f>IF(B22=0,0,IF(B22&gt;calcoli!$C$11,"",G22+calcoli!$C$36-calcoli!$C$35))</f>
        <v>13.168502928747657</v>
      </c>
      <c r="I22" s="52">
        <f t="shared" si="1"/>
        <v>1718.5943840897924</v>
      </c>
      <c r="J22" s="13">
        <f t="shared" si="2"/>
        <v>2131.4056159102083</v>
      </c>
      <c r="K22" s="55">
        <f>IF(B22=0,0,IF(B22&gt;calcoli!$C$11,"",$K$3))</f>
        <v>5</v>
      </c>
      <c r="L22" s="29">
        <f t="shared" si="0"/>
        <v>0</v>
      </c>
      <c r="M22" s="29">
        <f t="shared" si="4"/>
        <v>0</v>
      </c>
      <c r="N22" s="13"/>
      <c r="O22" s="77"/>
      <c r="P22" s="17">
        <f>IF(A22&lt;calcoli!$C$11,calcoli!$C$36,IF(AND(calcoli!$C$8="maxirata",'sviluppo p. amm.to'!A22=calcoli!$C$11),calcoli!$C$46,IF('sviluppo p. amm.to'!A22=calcoli!$C$11,calcoli!$C$36,"")))</f>
        <v>119</v>
      </c>
      <c r="Q22" s="59">
        <f t="shared" si="3"/>
        <v>124</v>
      </c>
      <c r="R22" s="19">
        <f>IF(E22="","",IF(calcoli!$C$11&gt;18,E22+K22+L22+IF($M$2&lt;$N$2,M22,N22),E22+K22+L22+M22))</f>
        <v>124</v>
      </c>
      <c r="S22" s="53"/>
      <c r="T22" s="88">
        <f>IF(A22&lt;calcoli!$C$11,calcoli!$C$58,IF(AND(calcoli!$C$8="maxirata",'sviluppo p. amm.to'!A22=calcoli!$C$11),calcoli!$C$46,IF('sviluppo p. amm.to'!A22=calcoli!$C$11,calcoli!$C$58,"")))</f>
        <v>118.78882868393664</v>
      </c>
      <c r="U22" s="53"/>
      <c r="V22" s="67" t="str">
        <f>IF(calcoli!$C$8="MAXIRATA",IF(SIMULATORE!$E$16&gt;='sviluppo p. amm.to'!A22,calcoli!$C$50,""),"")</f>
        <v/>
      </c>
      <c r="W22" s="60" t="str">
        <f>IF(calcoli!$C$8="MAXIRATA",IF(SIMULATORE!$E$16&gt;='sviluppo p. amm.to'!A22,calcoli!$C$50+$K$3+IF(C22="",0,IF($M$2&lt;$N$2,IF(MOD(A22,12)&gt;0,0,1),0)),""),"")</f>
        <v/>
      </c>
      <c r="X22" s="22" t="str">
        <f>IF(calcoli!$C$8="MAXIRATA",IF(SIMULATORE!$E$16&gt;='sviluppo p. amm.to'!A22,calcoli!$C$50+$K$3+IF(C22="",0,IF($M$2&lt;$N$2,IF(MOD(A22,12)&gt;0,0,3),0)),""),"")</f>
        <v/>
      </c>
      <c r="Y22" s="53"/>
      <c r="AA22" s="61"/>
      <c r="AB22" s="61"/>
    </row>
    <row r="23" spans="1:28" hidden="1">
      <c r="A23" s="7">
        <v>18</v>
      </c>
      <c r="B23" s="7">
        <f t="shared" si="5"/>
        <v>18</v>
      </c>
      <c r="C23" s="54">
        <f>IF(B23=0,0,IF(calcoli!$C$8="MAXIRATA",IF('sviluppo p. amm.to'!B23=calcoli!$C$11,calcoli!$C$46,IF(B23&gt;calcoli!$C$11,"",calcoli!$C$35)),IF(B23&gt;calcoli!$C$11,"",calcoli!$C$35)))</f>
        <v>118.78882868393664</v>
      </c>
      <c r="D23" s="54">
        <f>IF(B23=0,0,IF(calcoli!$C$8="MAXIRATA",IF('sviluppo p. amm.to'!B23=calcoli!$C$11,calcoli!$C$46,IF(B23&gt;calcoli!$C$11,"",calcoli!$C$36)),IF(B23&gt;calcoli!$C$11,"",calcoli!$C$36)))</f>
        <v>119</v>
      </c>
      <c r="E23" s="55">
        <f>IF(C23=0,0,IF(C23="","",D23+MROUND(calcoli!$C$37,0.01)))</f>
        <v>119</v>
      </c>
      <c r="F23" s="54">
        <f>IF(B23=0,0,IF(B23&gt;calcoli!$C$11,"",C23-G23))</f>
        <v>106.44443782512334</v>
      </c>
      <c r="G23" s="54">
        <f>IF(B23=0,0,IF(B23&gt;calcoli!$C$11,"",'sviluppo p. amm.to'!J22*calcoli!$C$10/12))</f>
        <v>12.344390858813291</v>
      </c>
      <c r="H23" s="56">
        <f>IF(B23=0,0,IF(B23&gt;calcoli!$C$11,"",G23+calcoli!$C$36-calcoli!$C$35))</f>
        <v>12.555562174876641</v>
      </c>
      <c r="I23" s="52">
        <f t="shared" si="1"/>
        <v>1825.0388219149156</v>
      </c>
      <c r="J23" s="13">
        <f t="shared" si="2"/>
        <v>2024.9611780850851</v>
      </c>
      <c r="K23" s="55">
        <f>IF(B23=0,0,IF(B23&gt;calcoli!$C$11,"",$K$3))</f>
        <v>5</v>
      </c>
      <c r="L23" s="29">
        <f t="shared" si="0"/>
        <v>0</v>
      </c>
      <c r="M23" s="29">
        <f t="shared" si="4"/>
        <v>0</v>
      </c>
      <c r="N23" s="13"/>
      <c r="O23" s="77"/>
      <c r="P23" s="17">
        <f>IF(A23&lt;calcoli!$C$11,calcoli!$C$36,IF(AND(calcoli!$C$8="maxirata",'sviluppo p. amm.to'!A23=calcoli!$C$11),calcoli!$C$46,IF('sviluppo p. amm.to'!A23=calcoli!$C$11,calcoli!$C$36,"")))</f>
        <v>119</v>
      </c>
      <c r="Q23" s="59">
        <f t="shared" si="3"/>
        <v>124</v>
      </c>
      <c r="R23" s="19">
        <f>IF(E23="","",IF(calcoli!$C$11&gt;18,E23+K23+L23+IF($M$2&lt;$N$2,M23,N23),E23+K23+L23+M23))</f>
        <v>124</v>
      </c>
      <c r="S23" s="53"/>
      <c r="T23" s="88">
        <f>IF(A23&lt;calcoli!$C$11,calcoli!$C$58,IF(AND(calcoli!$C$8="maxirata",'sviluppo p. amm.to'!A23=calcoli!$C$11),calcoli!$C$46,IF('sviluppo p. amm.to'!A23=calcoli!$C$11,calcoli!$C$58,"")))</f>
        <v>118.78882868393664</v>
      </c>
      <c r="U23" s="53"/>
      <c r="V23" s="67" t="str">
        <f>IF(calcoli!$C$8="MAXIRATA",IF(SIMULATORE!$E$16&gt;='sviluppo p. amm.to'!A23,calcoli!$C$50,""),"")</f>
        <v/>
      </c>
      <c r="W23" s="60" t="str">
        <f>IF(calcoli!$C$8="MAXIRATA",IF(SIMULATORE!$E$16&gt;='sviluppo p. amm.to'!A23,calcoli!$C$50+$K$3+IF(C23="",0,IF($M$2&lt;$N$2,IF(MOD(A23,12)&gt;0,0,1),0)),""),"")</f>
        <v/>
      </c>
      <c r="X23" s="22" t="str">
        <f>IF(calcoli!$C$8="MAXIRATA",IF(SIMULATORE!$E$16&gt;='sviluppo p. amm.to'!A23,calcoli!$C$50+$K$3+IF(C23="",0,IF($M$2&lt;$N$2,IF(MOD(A23,12)&gt;0,0,3),0)),""),"")</f>
        <v/>
      </c>
      <c r="Y23" s="53"/>
      <c r="AA23" s="61"/>
      <c r="AB23" s="61"/>
    </row>
    <row r="24" spans="1:28" hidden="1">
      <c r="A24" s="7">
        <v>19</v>
      </c>
      <c r="B24" s="7">
        <f t="shared" si="5"/>
        <v>19</v>
      </c>
      <c r="C24" s="54">
        <f>IF(B24=0,0,IF(calcoli!$C$8="MAXIRATA",IF('sviluppo p. amm.to'!B24=calcoli!$C$11,calcoli!$C$46,IF(B24&gt;calcoli!$C$11,"",calcoli!$C$35)),IF(B24&gt;calcoli!$C$11,"",calcoli!$C$35)))</f>
        <v>118.78882868393664</v>
      </c>
      <c r="D24" s="54">
        <f>IF(B24=0,0,IF(calcoli!$C$8="MAXIRATA",IF('sviluppo p. amm.to'!B24=calcoli!$C$11,calcoli!$C$46,IF(B24&gt;calcoli!$C$11,"",calcoli!$C$36)),IF(B24&gt;calcoli!$C$11,"",calcoli!$C$36)))</f>
        <v>119</v>
      </c>
      <c r="E24" s="55">
        <f>IF(C24=0,0,IF(C24="","",D24+MROUND(calcoli!$C$37,0.01)))</f>
        <v>119</v>
      </c>
      <c r="F24" s="54">
        <f>IF(B24=0,0,IF(B24&gt;calcoli!$C$11,"",C24-G24))</f>
        <v>107.0609285275272</v>
      </c>
      <c r="G24" s="54">
        <f>IF(B24=0,0,IF(B24&gt;calcoli!$C$11,"",'sviluppo p. amm.to'!J23*calcoli!$C$10/12))</f>
        <v>11.727900156409452</v>
      </c>
      <c r="H24" s="56">
        <f>IF(B24=0,0,IF(B24&gt;calcoli!$C$11,"",G24+calcoli!$C$36-calcoli!$C$35))</f>
        <v>11.939071472472804</v>
      </c>
      <c r="I24" s="52">
        <f t="shared" si="1"/>
        <v>1932.0997504424429</v>
      </c>
      <c r="J24" s="13">
        <f t="shared" si="2"/>
        <v>1917.9002495575578</v>
      </c>
      <c r="K24" s="55">
        <f>IF(B24=0,0,IF(B24&gt;calcoli!$C$11,"",$K$3))</f>
        <v>5</v>
      </c>
      <c r="L24" s="29">
        <f t="shared" si="0"/>
        <v>0</v>
      </c>
      <c r="M24" s="29">
        <f t="shared" si="4"/>
        <v>0</v>
      </c>
      <c r="N24" s="13"/>
      <c r="O24" s="77"/>
      <c r="P24" s="17">
        <f>IF(A24&lt;calcoli!$C$11,calcoli!$C$36,IF(AND(calcoli!$C$8="maxirata",'sviluppo p. amm.to'!A24=calcoli!$C$11),calcoli!$C$46,IF('sviluppo p. amm.to'!A24=calcoli!$C$11,calcoli!$C$36,"")))</f>
        <v>119</v>
      </c>
      <c r="Q24" s="59">
        <f t="shared" si="3"/>
        <v>124</v>
      </c>
      <c r="R24" s="19">
        <f>IF(E24="","",IF(calcoli!$C$11&gt;18,E24+K24+L24+IF($M$2&lt;$N$2,M24,N24),E24+K24+L24+M24))</f>
        <v>124</v>
      </c>
      <c r="S24" s="53"/>
      <c r="T24" s="88">
        <f>IF(A24&lt;calcoli!$C$11,calcoli!$C$58,IF(AND(calcoli!$C$8="maxirata",'sviluppo p. amm.to'!A24=calcoli!$C$11),calcoli!$C$46,IF('sviluppo p. amm.to'!A24=calcoli!$C$11,calcoli!$C$58,"")))</f>
        <v>118.78882868393664</v>
      </c>
      <c r="U24" s="53"/>
      <c r="V24" s="67" t="str">
        <f>IF(calcoli!$C$8="MAXIRATA",IF(SIMULATORE!$E$16&gt;='sviluppo p. amm.to'!A24,calcoli!$C$50,""),"")</f>
        <v/>
      </c>
      <c r="W24" s="60" t="str">
        <f>IF(calcoli!$C$8="MAXIRATA",IF(SIMULATORE!$E$16&gt;='sviluppo p. amm.to'!A24,calcoli!$C$50+$K$3+IF(C24="",0,IF($M$2&lt;$N$2,IF(MOD(A24,12)&gt;0,0,1),0)),""),"")</f>
        <v/>
      </c>
      <c r="X24" s="22" t="str">
        <f>IF(calcoli!$C$8="MAXIRATA",IF(SIMULATORE!$E$16&gt;='sviluppo p. amm.to'!A24,calcoli!$C$50+$K$3+IF(C24="",0,IF($M$2&lt;$N$2,IF(MOD(A24,12)&gt;0,0,3),0)),""),"")</f>
        <v/>
      </c>
      <c r="Y24" s="53"/>
      <c r="AA24" s="61"/>
      <c r="AB24" s="61"/>
    </row>
    <row r="25" spans="1:28" hidden="1">
      <c r="A25" s="7">
        <v>20</v>
      </c>
      <c r="B25" s="7">
        <f t="shared" si="5"/>
        <v>20</v>
      </c>
      <c r="C25" s="54">
        <f>IF(B25=0,0,IF(calcoli!$C$8="MAXIRATA",IF('sviluppo p. amm.to'!B25=calcoli!$C$11,calcoli!$C$46,IF(B25&gt;calcoli!$C$11,"",calcoli!$C$35)),IF(B25&gt;calcoli!$C$11,"",calcoli!$C$35)))</f>
        <v>118.78882868393664</v>
      </c>
      <c r="D25" s="54">
        <f>IF(B25=0,0,IF(calcoli!$C$8="MAXIRATA",IF('sviluppo p. amm.to'!B25=calcoli!$C$11,calcoli!$C$46,IF(B25&gt;calcoli!$C$11,"",calcoli!$C$36)),IF(B25&gt;calcoli!$C$11,"",calcoli!$C$36)))</f>
        <v>119</v>
      </c>
      <c r="E25" s="55">
        <f>IF(C25=0,0,IF(C25="","",D25+MROUND(calcoli!$C$37,0.01)))</f>
        <v>119</v>
      </c>
      <c r="F25" s="54">
        <f>IF(B25=0,0,IF(B25&gt;calcoli!$C$11,"",C25-G25))</f>
        <v>107.68098973858245</v>
      </c>
      <c r="G25" s="54">
        <f>IF(B25=0,0,IF(B25&gt;calcoli!$C$11,"",'sviluppo p. amm.to'!J24*calcoli!$C$10/12))</f>
        <v>11.107838945354189</v>
      </c>
      <c r="H25" s="56">
        <f>IF(B25=0,0,IF(B25&gt;calcoli!$C$11,"",G25+calcoli!$C$36-calcoli!$C$35))</f>
        <v>11.319010261417546</v>
      </c>
      <c r="I25" s="52">
        <f t="shared" si="1"/>
        <v>2039.7807401810253</v>
      </c>
      <c r="J25" s="13">
        <f t="shared" si="2"/>
        <v>1810.2192598189754</v>
      </c>
      <c r="K25" s="55">
        <f>IF(B25=0,0,IF(B25&gt;calcoli!$C$11,"",$K$3))</f>
        <v>5</v>
      </c>
      <c r="L25" s="29">
        <f t="shared" si="0"/>
        <v>0</v>
      </c>
      <c r="M25" s="29">
        <f t="shared" si="4"/>
        <v>0</v>
      </c>
      <c r="N25" s="13"/>
      <c r="O25" s="77"/>
      <c r="P25" s="17">
        <f>IF(A25&lt;calcoli!$C$11,calcoli!$C$36,IF(AND(calcoli!$C$8="maxirata",'sviluppo p. amm.to'!A25=calcoli!$C$11),calcoli!$C$46,IF('sviluppo p. amm.to'!A25=calcoli!$C$11,calcoli!$C$36,"")))</f>
        <v>119</v>
      </c>
      <c r="Q25" s="59">
        <f t="shared" si="3"/>
        <v>124</v>
      </c>
      <c r="R25" s="19">
        <f>IF(E25="","",IF(calcoli!$C$11&gt;18,E25+K25+L25+IF($M$2&lt;$N$2,M25,N25),E25+K25+L25+M25))</f>
        <v>124</v>
      </c>
      <c r="S25" s="53"/>
      <c r="T25" s="88">
        <f>IF(A25&lt;calcoli!$C$11,calcoli!$C$58,IF(AND(calcoli!$C$8="maxirata",'sviluppo p. amm.to'!A25=calcoli!$C$11),calcoli!$C$46,IF('sviluppo p. amm.to'!A25=calcoli!$C$11,calcoli!$C$58,"")))</f>
        <v>118.78882868393664</v>
      </c>
      <c r="U25" s="53"/>
      <c r="V25" s="67" t="str">
        <f>IF(calcoli!$C$8="MAXIRATA",IF(SIMULATORE!$E$16&gt;='sviluppo p. amm.to'!A25,calcoli!$C$50,""),"")</f>
        <v/>
      </c>
      <c r="W25" s="60" t="str">
        <f>IF(calcoli!$C$8="MAXIRATA",IF(SIMULATORE!$E$16&gt;='sviluppo p. amm.to'!A25,calcoli!$C$50+$K$3+IF(C25="",0,IF($M$2&lt;$N$2,IF(MOD(A25,12)&gt;0,0,1),0)),""),"")</f>
        <v/>
      </c>
      <c r="X25" s="22" t="str">
        <f>IF(calcoli!$C$8="MAXIRATA",IF(SIMULATORE!$E$16&gt;='sviluppo p. amm.to'!A25,calcoli!$C$50+$K$3+IF(C25="",0,IF($M$2&lt;$N$2,IF(MOD(A25,12)&gt;0,0,3),0)),""),"")</f>
        <v/>
      </c>
      <c r="Y25" s="53"/>
      <c r="AA25" s="61"/>
      <c r="AB25" s="61"/>
    </row>
    <row r="26" spans="1:28" hidden="1">
      <c r="A26" s="7">
        <v>21</v>
      </c>
      <c r="B26" s="7">
        <f t="shared" si="5"/>
        <v>21</v>
      </c>
      <c r="C26" s="54">
        <f>IF(B26=0,0,IF(calcoli!$C$8="MAXIRATA",IF('sviluppo p. amm.to'!B26=calcoli!$C$11,calcoli!$C$46,IF(B26&gt;calcoli!$C$11,"",calcoli!$C$35)),IF(B26&gt;calcoli!$C$11,"",calcoli!$C$35)))</f>
        <v>118.78882868393664</v>
      </c>
      <c r="D26" s="54">
        <f>IF(B26=0,0,IF(calcoli!$C$8="MAXIRATA",IF('sviluppo p. amm.to'!B26=calcoli!$C$11,calcoli!$C$46,IF(B26&gt;calcoli!$C$11,"",calcoli!$C$36)),IF(B26&gt;calcoli!$C$11,"",calcoli!$C$36)))</f>
        <v>119</v>
      </c>
      <c r="E26" s="55">
        <f>IF(C26=0,0,IF(C26="","",D26+MROUND(calcoli!$C$37,0.01)))</f>
        <v>119</v>
      </c>
      <c r="F26" s="54">
        <f>IF(B26=0,0,IF(B26&gt;calcoli!$C$11,"",C26-G26))</f>
        <v>108.30464213748508</v>
      </c>
      <c r="G26" s="54">
        <f>IF(B26=0,0,IF(B26&gt;calcoli!$C$11,"",'sviluppo p. amm.to'!J25*calcoli!$C$10/12))</f>
        <v>10.484186546451566</v>
      </c>
      <c r="H26" s="56">
        <f>IF(B26=0,0,IF(B26&gt;calcoli!$C$11,"",G26+calcoli!$C$36-calcoli!$C$35))</f>
        <v>10.695357862514911</v>
      </c>
      <c r="I26" s="52">
        <f t="shared" si="1"/>
        <v>2148.0853823185103</v>
      </c>
      <c r="J26" s="13">
        <f t="shared" si="2"/>
        <v>1701.9146176814902</v>
      </c>
      <c r="K26" s="55">
        <f>IF(B26=0,0,IF(B26&gt;calcoli!$C$11,"",$K$3))</f>
        <v>5</v>
      </c>
      <c r="L26" s="29">
        <f t="shared" si="0"/>
        <v>0</v>
      </c>
      <c r="M26" s="29">
        <f t="shared" si="4"/>
        <v>0</v>
      </c>
      <c r="N26" s="13"/>
      <c r="O26" s="77"/>
      <c r="P26" s="17">
        <f>IF(A26&lt;calcoli!$C$11,calcoli!$C$36,IF(AND(calcoli!$C$8="maxirata",'sviluppo p. amm.to'!A26=calcoli!$C$11),calcoli!$C$46,IF('sviluppo p. amm.to'!A26=calcoli!$C$11,calcoli!$C$36,"")))</f>
        <v>119</v>
      </c>
      <c r="Q26" s="59">
        <f t="shared" si="3"/>
        <v>124</v>
      </c>
      <c r="R26" s="19">
        <f>IF(E26="","",IF(calcoli!$C$11&gt;18,E26+K26+L26+IF($M$2&lt;$N$2,M26,N26),E26+K26+L26+M26))</f>
        <v>124</v>
      </c>
      <c r="S26" s="53"/>
      <c r="T26" s="88">
        <f>IF(A26&lt;calcoli!$C$11,calcoli!$C$58,IF(AND(calcoli!$C$8="maxirata",'sviluppo p. amm.to'!A26=calcoli!$C$11),calcoli!$C$46,IF('sviluppo p. amm.to'!A26=calcoli!$C$11,calcoli!$C$58,"")))</f>
        <v>118.78882868393664</v>
      </c>
      <c r="U26" s="53"/>
      <c r="V26" s="67" t="str">
        <f>IF(calcoli!$C$8="MAXIRATA",IF(SIMULATORE!$E$16&gt;='sviluppo p. amm.to'!A26,calcoli!$C$50,""),"")</f>
        <v/>
      </c>
      <c r="W26" s="60" t="str">
        <f>IF(calcoli!$C$8="MAXIRATA",IF(SIMULATORE!$E$16&gt;='sviluppo p. amm.to'!A26,calcoli!$C$50+$K$3+IF(C26="",0,IF($M$2&lt;$N$2,IF(MOD(A26,12)&gt;0,0,1),0)),""),"")</f>
        <v/>
      </c>
      <c r="X26" s="22" t="str">
        <f>IF(calcoli!$C$8="MAXIRATA",IF(SIMULATORE!$E$16&gt;='sviluppo p. amm.to'!A26,calcoli!$C$50+$K$3+IF(C26="",0,IF($M$2&lt;$N$2,IF(MOD(A26,12)&gt;0,0,3),0)),""),"")</f>
        <v/>
      </c>
      <c r="Y26" s="53"/>
      <c r="AA26" s="61"/>
      <c r="AB26" s="61"/>
    </row>
    <row r="27" spans="1:28" hidden="1">
      <c r="A27" s="7">
        <v>22</v>
      </c>
      <c r="B27" s="7">
        <f t="shared" si="5"/>
        <v>22</v>
      </c>
      <c r="C27" s="54">
        <f>IF(B27=0,0,IF(calcoli!$C$8="MAXIRATA",IF('sviluppo p. amm.to'!B27=calcoli!$C$11,calcoli!$C$46,IF(B27&gt;calcoli!$C$11,"",calcoli!$C$35)),IF(B27&gt;calcoli!$C$11,"",calcoli!$C$35)))</f>
        <v>118.78882868393664</v>
      </c>
      <c r="D27" s="54">
        <f>IF(B27=0,0,IF(calcoli!$C$8="MAXIRATA",IF('sviluppo p. amm.to'!B27=calcoli!$C$11,calcoli!$C$46,IF(B27&gt;calcoli!$C$11,"",calcoli!$C$36)),IF(B27&gt;calcoli!$C$11,"",calcoli!$C$36)))</f>
        <v>119</v>
      </c>
      <c r="E27" s="55">
        <f>IF(C27=0,0,IF(C27="","",D27+MROUND(calcoli!$C$37,0.01)))</f>
        <v>119</v>
      </c>
      <c r="F27" s="54">
        <f>IF(B27=0,0,IF(B27&gt;calcoli!$C$11,"",C27-G27))</f>
        <v>108.93190652319801</v>
      </c>
      <c r="G27" s="54">
        <f>IF(B27=0,0,IF(B27&gt;calcoli!$C$11,"",'sviluppo p. amm.to'!J26*calcoli!$C$10/12))</f>
        <v>9.8569221607386321</v>
      </c>
      <c r="H27" s="56">
        <f>IF(B27=0,0,IF(B27&gt;calcoli!$C$11,"",G27+calcoli!$C$36-calcoli!$C$35))</f>
        <v>10.068093476801991</v>
      </c>
      <c r="I27" s="52">
        <f t="shared" si="1"/>
        <v>2257.0172888417083</v>
      </c>
      <c r="J27" s="13">
        <f t="shared" si="2"/>
        <v>1592.9827111582922</v>
      </c>
      <c r="K27" s="55">
        <f>IF(B27=0,0,IF(B27&gt;calcoli!$C$11,"",$K$3))</f>
        <v>5</v>
      </c>
      <c r="L27" s="29">
        <f t="shared" si="0"/>
        <v>0</v>
      </c>
      <c r="M27" s="29">
        <f t="shared" si="4"/>
        <v>0</v>
      </c>
      <c r="N27" s="13"/>
      <c r="O27" s="77"/>
      <c r="P27" s="17">
        <f>IF(A27&lt;calcoli!$C$11,calcoli!$C$36,IF(AND(calcoli!$C$8="maxirata",'sviluppo p. amm.to'!A27=calcoli!$C$11),calcoli!$C$46,IF('sviluppo p. amm.to'!A27=calcoli!$C$11,calcoli!$C$36,"")))</f>
        <v>119</v>
      </c>
      <c r="Q27" s="59">
        <f t="shared" si="3"/>
        <v>124</v>
      </c>
      <c r="R27" s="19">
        <f>IF(E27="","",IF(calcoli!$C$11&gt;18,E27+K27+L27+IF($M$2&lt;$N$2,M27,N27),E27+K27+L27+M27))</f>
        <v>124</v>
      </c>
      <c r="S27" s="53"/>
      <c r="T27" s="88">
        <f>IF(A27&lt;calcoli!$C$11,calcoli!$C$58,IF(AND(calcoli!$C$8="maxirata",'sviluppo p. amm.to'!A27=calcoli!$C$11),calcoli!$C$46,IF('sviluppo p. amm.to'!A27=calcoli!$C$11,calcoli!$C$58,"")))</f>
        <v>118.78882868393664</v>
      </c>
      <c r="U27" s="53"/>
      <c r="V27" s="67" t="str">
        <f>IF(calcoli!$C$8="MAXIRATA",IF(SIMULATORE!$E$16&gt;='sviluppo p. amm.to'!A27,calcoli!$C$50,""),"")</f>
        <v/>
      </c>
      <c r="W27" s="60" t="str">
        <f>IF(calcoli!$C$8="MAXIRATA",IF(SIMULATORE!$E$16&gt;='sviluppo p. amm.to'!A27,calcoli!$C$50+$K$3+IF(C27="",0,IF($M$2&lt;$N$2,IF(MOD(A27,12)&gt;0,0,1),0)),""),"")</f>
        <v/>
      </c>
      <c r="X27" s="22" t="str">
        <f>IF(calcoli!$C$8="MAXIRATA",IF(SIMULATORE!$E$16&gt;='sviluppo p. amm.to'!A27,calcoli!$C$50+$K$3+IF(C27="",0,IF($M$2&lt;$N$2,IF(MOD(A27,12)&gt;0,0,3),0)),""),"")</f>
        <v/>
      </c>
      <c r="Y27" s="53"/>
      <c r="AA27" s="61"/>
      <c r="AB27" s="61"/>
    </row>
    <row r="28" spans="1:28" hidden="1">
      <c r="A28" s="7">
        <v>23</v>
      </c>
      <c r="B28" s="7">
        <f t="shared" si="5"/>
        <v>23</v>
      </c>
      <c r="C28" s="54">
        <f>IF(B28=0,0,IF(calcoli!$C$8="MAXIRATA",IF('sviluppo p. amm.to'!B28=calcoli!$C$11,calcoli!$C$46,IF(B28&gt;calcoli!$C$11,"",calcoli!$C$35)),IF(B28&gt;calcoli!$C$11,"",calcoli!$C$35)))</f>
        <v>118.78882868393664</v>
      </c>
      <c r="D28" s="54">
        <f>IF(B28=0,0,IF(calcoli!$C$8="MAXIRATA",IF('sviluppo p. amm.to'!B28=calcoli!$C$11,calcoli!$C$46,IF(B28&gt;calcoli!$C$11,"",calcoli!$C$36)),IF(B28&gt;calcoli!$C$11,"",calcoli!$C$36)))</f>
        <v>119</v>
      </c>
      <c r="E28" s="55">
        <f>IF(C28=0,0,IF(C28="","",D28+MROUND(calcoli!$C$37,0.01)))</f>
        <v>119</v>
      </c>
      <c r="F28" s="54">
        <f>IF(B28=0,0,IF(B28&gt;calcoli!$C$11,"",C28-G28))</f>
        <v>109.56280381514486</v>
      </c>
      <c r="G28" s="54">
        <f>IF(B28=0,0,IF(B28&gt;calcoli!$C$11,"",'sviluppo p. amm.to'!J27*calcoli!$C$10/12))</f>
        <v>9.226024868791777</v>
      </c>
      <c r="H28" s="56">
        <f>IF(B28=0,0,IF(B28&gt;calcoli!$C$11,"",G28+calcoli!$C$36-calcoli!$C$35))</f>
        <v>9.4371961848551251</v>
      </c>
      <c r="I28" s="52">
        <f t="shared" si="1"/>
        <v>2366.5800926568531</v>
      </c>
      <c r="J28" s="13">
        <f t="shared" si="2"/>
        <v>1483.4199073431473</v>
      </c>
      <c r="K28" s="55">
        <f>IF(B28=0,0,IF(B28&gt;calcoli!$C$11,"",$K$3))</f>
        <v>5</v>
      </c>
      <c r="L28" s="29">
        <f t="shared" si="0"/>
        <v>0</v>
      </c>
      <c r="M28" s="29">
        <f t="shared" si="4"/>
        <v>0</v>
      </c>
      <c r="N28" s="13"/>
      <c r="O28" s="77"/>
      <c r="P28" s="17">
        <f>IF(A28&lt;calcoli!$C$11,calcoli!$C$36,IF(AND(calcoli!$C$8="maxirata",'sviluppo p. amm.to'!A28=calcoli!$C$11),calcoli!$C$46,IF('sviluppo p. amm.to'!A28=calcoli!$C$11,calcoli!$C$36,"")))</f>
        <v>119</v>
      </c>
      <c r="Q28" s="59">
        <f t="shared" si="3"/>
        <v>124</v>
      </c>
      <c r="R28" s="19">
        <f>IF(E28="","",IF(calcoli!$C$11&gt;18,E28+K28+L28+IF($M$2&lt;$N$2,M28,N28),E28+K28+L28+M28))</f>
        <v>124</v>
      </c>
      <c r="S28" s="53"/>
      <c r="T28" s="88">
        <f>IF(A28&lt;calcoli!$C$11,calcoli!$C$58,IF(AND(calcoli!$C$8="maxirata",'sviluppo p. amm.to'!A28=calcoli!$C$11),calcoli!$C$46,IF('sviluppo p. amm.to'!A28=calcoli!$C$11,calcoli!$C$58,"")))</f>
        <v>118.78882868393664</v>
      </c>
      <c r="U28" s="53"/>
      <c r="V28" s="67" t="str">
        <f>IF(calcoli!$C$8="MAXIRATA",IF(SIMULATORE!$E$16&gt;='sviluppo p. amm.to'!A28,calcoli!$C$50,""),"")</f>
        <v/>
      </c>
      <c r="W28" s="60" t="str">
        <f>IF(calcoli!$C$8="MAXIRATA",IF(SIMULATORE!$E$16&gt;='sviluppo p. amm.to'!A28,calcoli!$C$50+$K$3+IF(C28="",0,IF($M$2&lt;$N$2,IF(MOD(A28,12)&gt;0,0,1),0)),""),"")</f>
        <v/>
      </c>
      <c r="X28" s="22" t="str">
        <f>IF(calcoli!$C$8="MAXIRATA",IF(SIMULATORE!$E$16&gt;='sviluppo p. amm.to'!A28,calcoli!$C$50+$K$3+IF(C28="",0,IF($M$2&lt;$N$2,IF(MOD(A28,12)&gt;0,0,3),0)),""),"")</f>
        <v/>
      </c>
      <c r="Y28" s="53"/>
      <c r="AA28" s="61"/>
      <c r="AB28" s="61"/>
    </row>
    <row r="29" spans="1:28" hidden="1">
      <c r="A29" s="7">
        <v>24</v>
      </c>
      <c r="B29" s="7">
        <f t="shared" si="5"/>
        <v>24</v>
      </c>
      <c r="C29" s="54">
        <f>IF(B29=0,0,IF(calcoli!$C$8="MAXIRATA",IF('sviluppo p. amm.to'!B29=calcoli!$C$11,calcoli!$C$46,IF(B29&gt;calcoli!$C$11,"",calcoli!$C$35)),IF(B29&gt;calcoli!$C$11,"",calcoli!$C$35)))</f>
        <v>118.78882868393664</v>
      </c>
      <c r="D29" s="54">
        <f>IF(B29=0,0,IF(calcoli!$C$8="MAXIRATA",IF('sviluppo p. amm.to'!B29=calcoli!$C$11,calcoli!$C$46,IF(B29&gt;calcoli!$C$11,"",calcoli!$C$36)),IF(B29&gt;calcoli!$C$11,"",calcoli!$C$36)))</f>
        <v>119</v>
      </c>
      <c r="E29" s="55">
        <f>IF(C29=0,0,IF(C29="","",D29+MROUND(calcoli!$C$37,0.01)))</f>
        <v>119</v>
      </c>
      <c r="F29" s="54">
        <f>IF(B29=0,0,IF(B29&gt;calcoli!$C$11,"",C29-G29))</f>
        <v>110.19735505390759</v>
      </c>
      <c r="G29" s="54">
        <f>IF(B29=0,0,IF(B29&gt;calcoli!$C$11,"",'sviluppo p. amm.to'!J28*calcoli!$C$10/12))</f>
        <v>8.5914736300290624</v>
      </c>
      <c r="H29" s="56">
        <f>IF(B29=0,0,IF(B29&gt;calcoli!$C$11,"",G29+calcoli!$C$36-calcoli!$C$35))</f>
        <v>8.8026449460924141</v>
      </c>
      <c r="I29" s="52">
        <f t="shared" si="1"/>
        <v>2476.7774477107605</v>
      </c>
      <c r="J29" s="13">
        <f t="shared" si="2"/>
        <v>1373.2225522892397</v>
      </c>
      <c r="K29" s="55">
        <f>IF(B29=0,0,IF(B29&gt;calcoli!$C$11,"",$K$3))</f>
        <v>5</v>
      </c>
      <c r="L29" s="29">
        <f t="shared" si="0"/>
        <v>1</v>
      </c>
      <c r="M29" s="29">
        <f t="shared" si="4"/>
        <v>2</v>
      </c>
      <c r="N29" s="13"/>
      <c r="O29" s="77"/>
      <c r="P29" s="17">
        <f>IF(A29&lt;calcoli!$C$11,calcoli!$C$36,IF(AND(calcoli!$C$8="maxirata",'sviluppo p. amm.to'!A29=calcoli!$C$11),calcoli!$C$46,IF('sviluppo p. amm.to'!A29=calcoli!$C$11,calcoli!$C$36,"")))</f>
        <v>119</v>
      </c>
      <c r="Q29" s="59">
        <f t="shared" si="3"/>
        <v>125</v>
      </c>
      <c r="R29" s="19">
        <f>IF(E29="","",IF(calcoli!$C$11&gt;18,E29+K29+L29+IF($M$2&lt;$N$2,M29,N29),E29+K29+L29+M29))</f>
        <v>125</v>
      </c>
      <c r="S29" s="53"/>
      <c r="T29" s="88">
        <f>IF(A29&lt;calcoli!$C$11,calcoli!$C$58,IF(AND(calcoli!$C$8="maxirata",'sviluppo p. amm.to'!A29=calcoli!$C$11),calcoli!$C$46,IF('sviluppo p. amm.to'!A29=calcoli!$C$11,calcoli!$C$58,"")))</f>
        <v>118.78882868393664</v>
      </c>
      <c r="U29" s="53"/>
      <c r="V29" s="67" t="str">
        <f>IF(calcoli!$C$8="MAXIRATA",IF(SIMULATORE!$E$16&gt;='sviluppo p. amm.to'!A29,calcoli!$C$50,""),"")</f>
        <v/>
      </c>
      <c r="W29" s="60" t="str">
        <f>IF(calcoli!$C$8="MAXIRATA",IF(SIMULATORE!$E$16&gt;='sviluppo p. amm.to'!A29,calcoli!$C$50+$K$3+IF(C29="",0,IF($M$2&lt;$N$2,IF(MOD(A29,12)&gt;0,0,1),0)),""),"")</f>
        <v/>
      </c>
      <c r="X29" s="22" t="str">
        <f>IF(calcoli!$C$8="MAXIRATA",IF(SIMULATORE!$E$16&gt;='sviluppo p. amm.to'!A29,calcoli!$C$50+$K$3+IF(C29="",0,IF($M$2&lt;$N$2,IF(MOD(A29,12)&gt;0,0,3),0)),""),"")</f>
        <v/>
      </c>
      <c r="Y29" s="53"/>
      <c r="AA29" s="61"/>
      <c r="AB29" s="61"/>
    </row>
    <row r="30" spans="1:28" hidden="1">
      <c r="A30" s="7">
        <v>25</v>
      </c>
      <c r="B30" s="7">
        <f t="shared" si="5"/>
        <v>25</v>
      </c>
      <c r="C30" s="54">
        <f>IF(B30=0,0,IF(calcoli!$C$8="MAXIRATA",IF('sviluppo p. amm.to'!B30=calcoli!$C$11,calcoli!$C$46,IF(B30&gt;calcoli!$C$11,"",calcoli!$C$35)),IF(B30&gt;calcoli!$C$11,"",calcoli!$C$35)))</f>
        <v>118.78882868393664</v>
      </c>
      <c r="D30" s="54">
        <f>IF(B30=0,0,IF(calcoli!$C$8="MAXIRATA",IF('sviluppo p. amm.to'!B30=calcoli!$C$11,calcoli!$C$46,IF(B30&gt;calcoli!$C$11,"",calcoli!$C$36)),IF(B30&gt;calcoli!$C$11,"",calcoli!$C$36)))</f>
        <v>119</v>
      </c>
      <c r="E30" s="55">
        <f>IF(C30=0,0,IF(C30="","",D30+MROUND(calcoli!$C$37,0.01)))</f>
        <v>119</v>
      </c>
      <c r="F30" s="54">
        <f>IF(B30=0,0,IF(B30&gt;calcoli!$C$11,"",C30-G30))</f>
        <v>110.83558140192812</v>
      </c>
      <c r="G30" s="54">
        <f>IF(B30=0,0,IF(B30&gt;calcoli!$C$11,"",'sviluppo p. amm.to'!J29*calcoli!$C$10/12))</f>
        <v>7.9532472820085145</v>
      </c>
      <c r="H30" s="56">
        <f>IF(B30=0,0,IF(B30&gt;calcoli!$C$11,"",G30+calcoli!$C$36-calcoli!$C$35))</f>
        <v>8.164418598071876</v>
      </c>
      <c r="I30" s="52">
        <f t="shared" si="1"/>
        <v>2587.6130291126888</v>
      </c>
      <c r="J30" s="13">
        <f t="shared" si="2"/>
        <v>1262.3869708873117</v>
      </c>
      <c r="K30" s="55">
        <f>IF(B30=0,0,IF(B30&gt;calcoli!$C$11,"",$K$3))</f>
        <v>5</v>
      </c>
      <c r="L30" s="29">
        <f t="shared" si="0"/>
        <v>0</v>
      </c>
      <c r="M30" s="29">
        <f t="shared" si="4"/>
        <v>0</v>
      </c>
      <c r="N30" s="13"/>
      <c r="O30" s="77"/>
      <c r="P30" s="17">
        <f>IF(A30&lt;calcoli!$C$11,calcoli!$C$36,IF(AND(calcoli!$C$8="maxirata",'sviluppo p. amm.to'!A30=calcoli!$C$11),calcoli!$C$46,IF('sviluppo p. amm.to'!A30=calcoli!$C$11,calcoli!$C$36,"")))</f>
        <v>119</v>
      </c>
      <c r="Q30" s="59">
        <f t="shared" si="3"/>
        <v>124</v>
      </c>
      <c r="R30" s="19">
        <f>IF(E30="","",IF(calcoli!$C$11&gt;18,E30+K30+L30+IF($M$2&lt;$N$2,M30,N30),E30+K30+L30+M30))</f>
        <v>124</v>
      </c>
      <c r="S30" s="53"/>
      <c r="T30" s="88">
        <f>IF(A30&lt;calcoli!$C$11,calcoli!$C$58,IF(AND(calcoli!$C$8="maxirata",'sviluppo p. amm.to'!A30=calcoli!$C$11),calcoli!$C$46,IF('sviluppo p. amm.to'!A30=calcoli!$C$11,calcoli!$C$58,"")))</f>
        <v>118.78882868393664</v>
      </c>
      <c r="U30" s="53"/>
      <c r="V30" s="67" t="str">
        <f>IF(calcoli!$C$8="MAXIRATA",IF(SIMULATORE!$E$16&gt;='sviluppo p. amm.to'!A30,calcoli!$C$50,""),"")</f>
        <v/>
      </c>
      <c r="W30" s="60" t="str">
        <f>IF(calcoli!$C$8="MAXIRATA",IF(SIMULATORE!$E$16&gt;='sviluppo p. amm.to'!A30,calcoli!$C$50+$K$3+IF(C30="",0,IF($M$2&lt;$N$2,IF(MOD(A30,12)&gt;0,0,1),0)),""),"")</f>
        <v/>
      </c>
      <c r="X30" s="22" t="str">
        <f>IF(calcoli!$C$8="MAXIRATA",IF(SIMULATORE!$E$16&gt;='sviluppo p. amm.to'!A30,calcoli!$C$50+$K$3+IF(C30="",0,IF($M$2&lt;$N$2,IF(MOD(A30,12)&gt;0,0,3),0)),""),"")</f>
        <v/>
      </c>
      <c r="Y30" s="53"/>
      <c r="AA30" s="61"/>
      <c r="AB30" s="61"/>
    </row>
    <row r="31" spans="1:28" hidden="1">
      <c r="A31" s="7">
        <v>26</v>
      </c>
      <c r="B31" s="7">
        <f t="shared" si="5"/>
        <v>26</v>
      </c>
      <c r="C31" s="54">
        <f>IF(B31=0,0,IF(calcoli!$C$8="MAXIRATA",IF('sviluppo p. amm.to'!B31=calcoli!$C$11,calcoli!$C$46,IF(B31&gt;calcoli!$C$11,"",calcoli!$C$35)),IF(B31&gt;calcoli!$C$11,"",calcoli!$C$35)))</f>
        <v>118.78882868393664</v>
      </c>
      <c r="D31" s="54">
        <f>IF(B31=0,0,IF(calcoli!$C$8="MAXIRATA",IF('sviluppo p. amm.to'!B31=calcoli!$C$11,calcoli!$C$46,IF(B31&gt;calcoli!$C$11,"",calcoli!$C$36)),IF(B31&gt;calcoli!$C$11,"",calcoli!$C$36)))</f>
        <v>119</v>
      </c>
      <c r="E31" s="55">
        <f>IF(C31=0,0,IF(C31="","",D31+MROUND(calcoli!$C$37,0.01)))</f>
        <v>119</v>
      </c>
      <c r="F31" s="54">
        <f>IF(B31=0,0,IF(B31&gt;calcoli!$C$11,"",C31-G31))</f>
        <v>111.47750414421429</v>
      </c>
      <c r="G31" s="54">
        <f>IF(B31=0,0,IF(B31&gt;calcoli!$C$11,"",'sviluppo p. amm.to'!J30*calcoli!$C$10/12))</f>
        <v>7.3113245397223467</v>
      </c>
      <c r="H31" s="56">
        <f>IF(B31=0,0,IF(B31&gt;calcoli!$C$11,"",G31+calcoli!$C$36-calcoli!$C$35))</f>
        <v>7.5224958557857065</v>
      </c>
      <c r="I31" s="52">
        <f t="shared" si="1"/>
        <v>2699.0905332569032</v>
      </c>
      <c r="J31" s="13">
        <f t="shared" si="2"/>
        <v>1150.9094667430975</v>
      </c>
      <c r="K31" s="55">
        <f>IF(B31=0,0,IF(B31&gt;calcoli!$C$11,"",$K$3))</f>
        <v>5</v>
      </c>
      <c r="L31" s="29">
        <f t="shared" si="0"/>
        <v>0</v>
      </c>
      <c r="M31" s="29">
        <f t="shared" si="4"/>
        <v>0</v>
      </c>
      <c r="N31" s="13"/>
      <c r="O31" s="77"/>
      <c r="P31" s="17">
        <f>IF(A31&lt;calcoli!$C$11,calcoli!$C$36,IF(AND(calcoli!$C$8="maxirata",'sviluppo p. amm.to'!A31=calcoli!$C$11),calcoli!$C$46,IF('sviluppo p. amm.to'!A31=calcoli!$C$11,calcoli!$C$36,"")))</f>
        <v>119</v>
      </c>
      <c r="Q31" s="59">
        <f t="shared" si="3"/>
        <v>124</v>
      </c>
      <c r="R31" s="19">
        <f>IF(E31="","",IF(calcoli!$C$11&gt;18,E31+K31+L31+IF($M$2&lt;$N$2,M31,N31),E31+K31+L31+M31))</f>
        <v>124</v>
      </c>
      <c r="S31" s="53"/>
      <c r="T31" s="88">
        <f>IF(A31&lt;calcoli!$C$11,calcoli!$C$58,IF(AND(calcoli!$C$8="maxirata",'sviluppo p. amm.to'!A31=calcoli!$C$11),calcoli!$C$46,IF('sviluppo p. amm.to'!A31=calcoli!$C$11,calcoli!$C$58,"")))</f>
        <v>118.78882868393664</v>
      </c>
      <c r="U31" s="53"/>
      <c r="V31" s="67" t="str">
        <f>IF(calcoli!$C$8="MAXIRATA",IF(SIMULATORE!$E$16&gt;='sviluppo p. amm.to'!A31,calcoli!$C$50,""),"")</f>
        <v/>
      </c>
      <c r="W31" s="60" t="str">
        <f>IF(calcoli!$C$8="MAXIRATA",IF(SIMULATORE!$E$16&gt;='sviluppo p. amm.to'!A31,calcoli!$C$50+$K$3+IF(C31="",0,IF($M$2&lt;$N$2,IF(MOD(A31,12)&gt;0,0,1),0)),""),"")</f>
        <v/>
      </c>
      <c r="X31" s="22" t="str">
        <f>IF(calcoli!$C$8="MAXIRATA",IF(SIMULATORE!$E$16&gt;='sviluppo p. amm.to'!A31,calcoli!$C$50+$K$3+IF(C31="",0,IF($M$2&lt;$N$2,IF(MOD(A31,12)&gt;0,0,3),0)),""),"")</f>
        <v/>
      </c>
      <c r="Y31" s="53"/>
      <c r="AA31" s="61"/>
      <c r="AB31" s="61"/>
    </row>
    <row r="32" spans="1:28" hidden="1">
      <c r="A32" s="7">
        <v>27</v>
      </c>
      <c r="B32" s="7">
        <f t="shared" si="5"/>
        <v>27</v>
      </c>
      <c r="C32" s="54">
        <f>IF(B32=0,0,IF(calcoli!$C$8="MAXIRATA",IF('sviluppo p. amm.to'!B32=calcoli!$C$11,calcoli!$C$46,IF(B32&gt;calcoli!$C$11,"",calcoli!$C$35)),IF(B32&gt;calcoli!$C$11,"",calcoli!$C$35)))</f>
        <v>118.78882868393664</v>
      </c>
      <c r="D32" s="54">
        <f>IF(B32=0,0,IF(calcoli!$C$8="MAXIRATA",IF('sviluppo p. amm.to'!B32=calcoli!$C$11,calcoli!$C$46,IF(B32&gt;calcoli!$C$11,"",calcoli!$C$36)),IF(B32&gt;calcoli!$C$11,"",calcoli!$C$36)))</f>
        <v>119</v>
      </c>
      <c r="E32" s="55">
        <f>IF(C32=0,0,IF(C32="","",D32+MROUND(calcoli!$C$37,0.01)))</f>
        <v>119</v>
      </c>
      <c r="F32" s="54">
        <f>IF(B32=0,0,IF(B32&gt;calcoli!$C$11,"",C32-G32))</f>
        <v>112.12314468904954</v>
      </c>
      <c r="G32" s="54">
        <f>IF(B32=0,0,IF(B32&gt;calcoli!$C$11,"",'sviluppo p. amm.to'!J31*calcoli!$C$10/12))</f>
        <v>6.6656839948871074</v>
      </c>
      <c r="H32" s="56">
        <f>IF(B32=0,0,IF(B32&gt;calcoli!$C$11,"",G32+calcoli!$C$36-calcoli!$C$35))</f>
        <v>6.8768553109504609</v>
      </c>
      <c r="I32" s="52">
        <f t="shared" si="1"/>
        <v>2811.2136779459529</v>
      </c>
      <c r="J32" s="13">
        <f t="shared" si="2"/>
        <v>1038.786322054048</v>
      </c>
      <c r="K32" s="55">
        <f>IF(B32=0,0,IF(B32&gt;calcoli!$C$11,"",$K$3))</f>
        <v>5</v>
      </c>
      <c r="L32" s="29">
        <f t="shared" si="0"/>
        <v>0</v>
      </c>
      <c r="M32" s="29">
        <f t="shared" si="4"/>
        <v>0</v>
      </c>
      <c r="N32" s="13"/>
      <c r="O32" s="77"/>
      <c r="P32" s="17">
        <f>IF(A32&lt;calcoli!$C$11,calcoli!$C$36,IF(AND(calcoli!$C$8="maxirata",'sviluppo p. amm.to'!A32=calcoli!$C$11),calcoli!$C$46,IF('sviluppo p. amm.to'!A32=calcoli!$C$11,calcoli!$C$36,"")))</f>
        <v>119</v>
      </c>
      <c r="Q32" s="59">
        <f t="shared" si="3"/>
        <v>124</v>
      </c>
      <c r="R32" s="19">
        <f>IF(E32="","",IF(calcoli!$C$11&gt;18,E32+K32+L32+IF($M$2&lt;$N$2,M32,N32),E32+K32+L32+M32))</f>
        <v>124</v>
      </c>
      <c r="S32" s="53"/>
      <c r="T32" s="88">
        <f>IF(A32&lt;calcoli!$C$11,calcoli!$C$58,IF(AND(calcoli!$C$8="maxirata",'sviluppo p. amm.to'!A32=calcoli!$C$11),calcoli!$C$46,IF('sviluppo p. amm.to'!A32=calcoli!$C$11,calcoli!$C$58,"")))</f>
        <v>118.78882868393664</v>
      </c>
      <c r="U32" s="53"/>
      <c r="V32" s="67" t="str">
        <f>IF(calcoli!$C$8="MAXIRATA",IF(SIMULATORE!$E$16&gt;='sviluppo p. amm.to'!A32,calcoli!$C$50,""),"")</f>
        <v/>
      </c>
      <c r="W32" s="60" t="str">
        <f>IF(calcoli!$C$8="MAXIRATA",IF(SIMULATORE!$E$16&gt;='sviluppo p. amm.to'!A32,calcoli!$C$50+$K$3+IF(C32="",0,IF($M$2&lt;$N$2,IF(MOD(A32,12)&gt;0,0,1),0)),""),"")</f>
        <v/>
      </c>
      <c r="X32" s="22" t="str">
        <f>IF(calcoli!$C$8="MAXIRATA",IF(SIMULATORE!$E$16&gt;='sviluppo p. amm.to'!A32,calcoli!$C$50+$K$3+IF(C32="",0,IF($M$2&lt;$N$2,IF(MOD(A32,12)&gt;0,0,3),0)),""),"")</f>
        <v/>
      </c>
      <c r="Y32" s="53"/>
      <c r="AA32" s="61"/>
      <c r="AB32" s="61"/>
    </row>
    <row r="33" spans="1:28" hidden="1">
      <c r="A33" s="7">
        <v>28</v>
      </c>
      <c r="B33" s="7">
        <f t="shared" si="5"/>
        <v>28</v>
      </c>
      <c r="C33" s="54">
        <f>IF(B33=0,0,IF(calcoli!$C$8="MAXIRATA",IF('sviluppo p. amm.to'!B33=calcoli!$C$11,calcoli!$C$46,IF(B33&gt;calcoli!$C$11,"",calcoli!$C$35)),IF(B33&gt;calcoli!$C$11,"",calcoli!$C$35)))</f>
        <v>118.78882868393664</v>
      </c>
      <c r="D33" s="54">
        <f>IF(B33=0,0,IF(calcoli!$C$8="MAXIRATA",IF('sviluppo p. amm.to'!B33=calcoli!$C$11,calcoli!$C$46,IF(B33&gt;calcoli!$C$11,"",calcoli!$C$36)),IF(B33&gt;calcoli!$C$11,"",calcoli!$C$36)))</f>
        <v>119</v>
      </c>
      <c r="E33" s="55">
        <f>IF(C33=0,0,IF(C33="","",D33+MROUND(calcoli!$C$37,0.01)))</f>
        <v>119</v>
      </c>
      <c r="F33" s="54">
        <f>IF(B33=0,0,IF(B33&gt;calcoli!$C$11,"",C33-G33))</f>
        <v>112.77252456870694</v>
      </c>
      <c r="G33" s="54">
        <f>IF(B33=0,0,IF(B33&gt;calcoli!$C$11,"",'sviluppo p. amm.to'!J32*calcoli!$C$10/12))</f>
        <v>6.016304115229695</v>
      </c>
      <c r="H33" s="56">
        <f>IF(B33=0,0,IF(B33&gt;calcoli!$C$11,"",G33+calcoli!$C$36-calcoli!$C$35))</f>
        <v>6.2274754312930583</v>
      </c>
      <c r="I33" s="52">
        <f t="shared" si="1"/>
        <v>2923.9862025146599</v>
      </c>
      <c r="J33" s="13">
        <f t="shared" si="2"/>
        <v>926.01379748534112</v>
      </c>
      <c r="K33" s="55">
        <f>IF(B33=0,0,IF(B33&gt;calcoli!$C$11,"",$K$3))</f>
        <v>5</v>
      </c>
      <c r="L33" s="29">
        <f t="shared" si="0"/>
        <v>0</v>
      </c>
      <c r="M33" s="29">
        <f t="shared" si="4"/>
        <v>0</v>
      </c>
      <c r="N33" s="13"/>
      <c r="O33" s="77"/>
      <c r="P33" s="17">
        <f>IF(A33&lt;calcoli!$C$11,calcoli!$C$36,IF(AND(calcoli!$C$8="maxirata",'sviluppo p. amm.to'!A33=calcoli!$C$11),calcoli!$C$46,IF('sviluppo p. amm.to'!A33=calcoli!$C$11,calcoli!$C$36,"")))</f>
        <v>119</v>
      </c>
      <c r="Q33" s="59">
        <f t="shared" si="3"/>
        <v>124</v>
      </c>
      <c r="R33" s="19">
        <f>IF(E33="","",IF(calcoli!$C$11&gt;18,E33+K33+L33+IF($M$2&lt;$N$2,M33,N33),E33+K33+L33+M33))</f>
        <v>124</v>
      </c>
      <c r="S33" s="53"/>
      <c r="T33" s="88">
        <f>IF(A33&lt;calcoli!$C$11,calcoli!$C$58,IF(AND(calcoli!$C$8="maxirata",'sviluppo p. amm.to'!A33=calcoli!$C$11),calcoli!$C$46,IF('sviluppo p. amm.to'!A33=calcoli!$C$11,calcoli!$C$58,"")))</f>
        <v>118.78882868393664</v>
      </c>
      <c r="U33" s="53"/>
      <c r="V33" s="67" t="str">
        <f>IF(calcoli!$C$8="MAXIRATA",IF(SIMULATORE!$E$16&gt;='sviluppo p. amm.to'!A33,calcoli!$C$50,""),"")</f>
        <v/>
      </c>
      <c r="W33" s="60" t="str">
        <f>IF(calcoli!$C$8="MAXIRATA",IF(SIMULATORE!$E$16&gt;='sviluppo p. amm.to'!A33,calcoli!$C$50+$K$3+IF(C33="",0,IF($M$2&lt;$N$2,IF(MOD(A33,12)&gt;0,0,1),0)),""),"")</f>
        <v/>
      </c>
      <c r="X33" s="22" t="str">
        <f>IF(calcoli!$C$8="MAXIRATA",IF(SIMULATORE!$E$16&gt;='sviluppo p. amm.to'!A33,calcoli!$C$50+$K$3+IF(C33="",0,IF($M$2&lt;$N$2,IF(MOD(A33,12)&gt;0,0,3),0)),""),"")</f>
        <v/>
      </c>
      <c r="Y33" s="53"/>
      <c r="AA33" s="61"/>
      <c r="AB33" s="61"/>
    </row>
    <row r="34" spans="1:28" hidden="1">
      <c r="A34" s="7">
        <v>29</v>
      </c>
      <c r="B34" s="7">
        <f t="shared" si="5"/>
        <v>29</v>
      </c>
      <c r="C34" s="54">
        <f>IF(B34=0,0,IF(calcoli!$C$8="MAXIRATA",IF('sviluppo p. amm.to'!B34=calcoli!$C$11,calcoli!$C$46,IF(B34&gt;calcoli!$C$11,"",calcoli!$C$35)),IF(B34&gt;calcoli!$C$11,"",calcoli!$C$35)))</f>
        <v>118.78882868393664</v>
      </c>
      <c r="D34" s="54">
        <f>IF(B34=0,0,IF(calcoli!$C$8="MAXIRATA",IF('sviluppo p. amm.to'!B34=calcoli!$C$11,calcoli!$C$46,IF(B34&gt;calcoli!$C$11,"",calcoli!$C$36)),IF(B34&gt;calcoli!$C$11,"",calcoli!$C$36)))</f>
        <v>119</v>
      </c>
      <c r="E34" s="55">
        <f>IF(C34=0,0,IF(C34="","",D34+MROUND(calcoli!$C$37,0.01)))</f>
        <v>119</v>
      </c>
      <c r="F34" s="54">
        <f>IF(B34=0,0,IF(B34&gt;calcoli!$C$11,"",C34-G34))</f>
        <v>113.42566544016738</v>
      </c>
      <c r="G34" s="54">
        <f>IF(B34=0,0,IF(B34&gt;calcoli!$C$11,"",'sviluppo p. amm.to'!J33*calcoli!$C$10/12))</f>
        <v>5.363163243769268</v>
      </c>
      <c r="H34" s="56">
        <f>IF(B34=0,0,IF(B34&gt;calcoli!$C$11,"",G34+calcoli!$C$36-calcoli!$C$35))</f>
        <v>5.5743345598326215</v>
      </c>
      <c r="I34" s="52">
        <f t="shared" si="1"/>
        <v>3037.4118679548274</v>
      </c>
      <c r="J34" s="13">
        <f t="shared" si="2"/>
        <v>812.58813204517378</v>
      </c>
      <c r="K34" s="55">
        <f>IF(B34=0,0,IF(B34&gt;calcoli!$C$11,"",$K$3))</f>
        <v>5</v>
      </c>
      <c r="L34" s="29">
        <f t="shared" si="0"/>
        <v>0</v>
      </c>
      <c r="M34" s="29">
        <f t="shared" si="4"/>
        <v>0</v>
      </c>
      <c r="N34" s="13"/>
      <c r="O34" s="77"/>
      <c r="P34" s="17">
        <f>IF(A34&lt;calcoli!$C$11,calcoli!$C$36,IF(AND(calcoli!$C$8="maxirata",'sviluppo p. amm.to'!A34=calcoli!$C$11),calcoli!$C$46,IF('sviluppo p. amm.to'!A34=calcoli!$C$11,calcoli!$C$36,"")))</f>
        <v>119</v>
      </c>
      <c r="Q34" s="59">
        <f t="shared" si="3"/>
        <v>124</v>
      </c>
      <c r="R34" s="19">
        <f>IF(E34="","",IF(calcoli!$C$11&gt;18,E34+K34+L34+IF($M$2&lt;$N$2,M34,N34),E34+K34+L34+M34))</f>
        <v>124</v>
      </c>
      <c r="S34" s="53"/>
      <c r="T34" s="88">
        <f>IF(A34&lt;calcoli!$C$11,calcoli!$C$58,IF(AND(calcoli!$C$8="maxirata",'sviluppo p. amm.to'!A34=calcoli!$C$11),calcoli!$C$46,IF('sviluppo p. amm.to'!A34=calcoli!$C$11,calcoli!$C$58,"")))</f>
        <v>118.78882868393664</v>
      </c>
      <c r="U34" s="53"/>
      <c r="V34" s="67" t="str">
        <f>IF(calcoli!$C$8="MAXIRATA",IF(SIMULATORE!$E$16&gt;='sviluppo p. amm.to'!A34,calcoli!$C$50,""),"")</f>
        <v/>
      </c>
      <c r="W34" s="60" t="str">
        <f>IF(calcoli!$C$8="MAXIRATA",IF(SIMULATORE!$E$16&gt;='sviluppo p. amm.to'!A34,calcoli!$C$50+$K$3+IF(C34="",0,IF($M$2&lt;$N$2,IF(MOD(A34,12)&gt;0,0,1),0)),""),"")</f>
        <v/>
      </c>
      <c r="X34" s="22" t="str">
        <f>IF(calcoli!$C$8="MAXIRATA",IF(SIMULATORE!$E$16&gt;='sviluppo p. amm.to'!A34,calcoli!$C$50+$K$3+IF(C34="",0,IF($M$2&lt;$N$2,IF(MOD(A34,12)&gt;0,0,3),0)),""),"")</f>
        <v/>
      </c>
      <c r="Y34" s="53"/>
      <c r="AA34" s="61"/>
      <c r="AB34" s="61"/>
    </row>
    <row r="35" spans="1:28" hidden="1">
      <c r="A35" s="7">
        <v>30</v>
      </c>
      <c r="B35" s="7">
        <f t="shared" si="5"/>
        <v>30</v>
      </c>
      <c r="C35" s="54">
        <f>IF(B35=0,0,IF(calcoli!$C$8="MAXIRATA",IF('sviluppo p. amm.to'!B35=calcoli!$C$11,calcoli!$C$46,IF(B35&gt;calcoli!$C$11,"",calcoli!$C$35)),IF(B35&gt;calcoli!$C$11,"",calcoli!$C$35)))</f>
        <v>118.78882868393664</v>
      </c>
      <c r="D35" s="54">
        <f>IF(B35=0,0,IF(calcoli!$C$8="MAXIRATA",IF('sviluppo p. amm.to'!B35=calcoli!$C$11,calcoli!$C$46,IF(B35&gt;calcoli!$C$11,"",calcoli!$C$36)),IF(B35&gt;calcoli!$C$11,"",calcoli!$C$36)))</f>
        <v>119</v>
      </c>
      <c r="E35" s="55">
        <f>IF(C35=0,0,IF(C35="","",D35+MROUND(calcoli!$C$37,0.01)))</f>
        <v>119</v>
      </c>
      <c r="F35" s="54">
        <f>IF(B35=0,0,IF(B35&gt;calcoli!$C$11,"",C35-G35))</f>
        <v>114.08258908584168</v>
      </c>
      <c r="G35" s="54">
        <f>IF(B35=0,0,IF(B35&gt;calcoli!$C$11,"",'sviluppo p. amm.to'!J34*calcoli!$C$10/12))</f>
        <v>4.7062395980949647</v>
      </c>
      <c r="H35" s="56">
        <f>IF(B35=0,0,IF(B35&gt;calcoli!$C$11,"",G35+calcoli!$C$36-calcoli!$C$35))</f>
        <v>4.9174109141583244</v>
      </c>
      <c r="I35" s="52">
        <f t="shared" si="1"/>
        <v>3151.4944570406692</v>
      </c>
      <c r="J35" s="13">
        <f t="shared" si="2"/>
        <v>698.50554295933216</v>
      </c>
      <c r="K35" s="55">
        <f>IF(B35=0,0,IF(B35&gt;calcoli!$C$11,"",$K$3))</f>
        <v>5</v>
      </c>
      <c r="L35" s="29">
        <f t="shared" si="0"/>
        <v>0</v>
      </c>
      <c r="M35" s="29">
        <f t="shared" si="4"/>
        <v>0</v>
      </c>
      <c r="N35" s="13"/>
      <c r="O35" s="77"/>
      <c r="P35" s="17">
        <f>IF(A35&lt;calcoli!$C$11,calcoli!$C$36,IF(AND(calcoli!$C$8="maxirata",'sviluppo p. amm.to'!A35=calcoli!$C$11),calcoli!$C$46,IF('sviluppo p. amm.to'!A35=calcoli!$C$11,calcoli!$C$36,"")))</f>
        <v>119</v>
      </c>
      <c r="Q35" s="59">
        <f t="shared" si="3"/>
        <v>124</v>
      </c>
      <c r="R35" s="19">
        <f>IF(E35="","",IF(calcoli!$C$11&gt;18,E35+K35+L35+IF($M$2&lt;$N$2,M35,N35),E35+K35+L35+M35))</f>
        <v>124</v>
      </c>
      <c r="S35" s="53"/>
      <c r="T35" s="88">
        <f>IF(A35&lt;calcoli!$C$11,calcoli!$C$58,IF(AND(calcoli!$C$8="maxirata",'sviluppo p. amm.to'!A35=calcoli!$C$11),calcoli!$C$46,IF('sviluppo p. amm.to'!A35=calcoli!$C$11,calcoli!$C$58,"")))</f>
        <v>118.78882868393664</v>
      </c>
      <c r="U35" s="53"/>
      <c r="V35" s="67" t="str">
        <f>IF(calcoli!$C$8="MAXIRATA",IF(SIMULATORE!$E$16&gt;='sviluppo p. amm.to'!A35,calcoli!$C$50,""),"")</f>
        <v/>
      </c>
      <c r="W35" s="60" t="str">
        <f>IF(calcoli!$C$8="MAXIRATA",IF(SIMULATORE!$E$16&gt;='sviluppo p. amm.to'!A35,calcoli!$C$50+$K$3+IF(C35="",0,IF($M$2&lt;$N$2,IF(MOD(A35,12)&gt;0,0,1),0)),""),"")</f>
        <v/>
      </c>
      <c r="X35" s="22" t="str">
        <f>IF(calcoli!$C$8="MAXIRATA",IF(SIMULATORE!$E$16&gt;='sviluppo p. amm.to'!A35,calcoli!$C$50+$K$3+IF(C35="",0,IF($M$2&lt;$N$2,IF(MOD(A35,12)&gt;0,0,3),0)),""),"")</f>
        <v/>
      </c>
      <c r="Y35" s="53"/>
      <c r="AA35" s="61"/>
      <c r="AB35" s="61"/>
    </row>
    <row r="36" spans="1:28" hidden="1">
      <c r="A36" s="7">
        <v>31</v>
      </c>
      <c r="B36" s="7">
        <f t="shared" si="5"/>
        <v>31</v>
      </c>
      <c r="C36" s="54">
        <f>IF(B36=0,0,IF(calcoli!$C$8="MAXIRATA",IF('sviluppo p. amm.to'!B36=calcoli!$C$11,calcoli!$C$46,IF(B36&gt;calcoli!$C$11,"",calcoli!$C$35)),IF(B36&gt;calcoli!$C$11,"",calcoli!$C$35)))</f>
        <v>118.78882868393664</v>
      </c>
      <c r="D36" s="54">
        <f>IF(B36=0,0,IF(calcoli!$C$8="MAXIRATA",IF('sviluppo p. amm.to'!B36=calcoli!$C$11,calcoli!$C$46,IF(B36&gt;calcoli!$C$11,"",calcoli!$C$36)),IF(B36&gt;calcoli!$C$11,"",calcoli!$C$36)))</f>
        <v>119</v>
      </c>
      <c r="E36" s="55">
        <f>IF(C36=0,0,IF(C36="","",D36+MROUND(calcoli!$C$37,0.01)))</f>
        <v>119</v>
      </c>
      <c r="F36" s="54">
        <f>IF(B36=0,0,IF(B36&gt;calcoli!$C$11,"",C36-G36))</f>
        <v>114.74331741429718</v>
      </c>
      <c r="G36" s="54">
        <f>IF(B36=0,0,IF(B36&gt;calcoli!$C$11,"",'sviluppo p. amm.to'!J35*calcoli!$C$10/12))</f>
        <v>4.0455112696394657</v>
      </c>
      <c r="H36" s="56">
        <f>IF(B36=0,0,IF(B36&gt;calcoli!$C$11,"",G36+calcoli!$C$36-calcoli!$C$35))</f>
        <v>4.2566825857028192</v>
      </c>
      <c r="I36" s="52">
        <f t="shared" si="1"/>
        <v>3266.2377744549663</v>
      </c>
      <c r="J36" s="13">
        <f t="shared" si="2"/>
        <v>583.76222554503499</v>
      </c>
      <c r="K36" s="55">
        <f>IF(B36=0,0,IF(B36&gt;calcoli!$C$11,"",$K$3))</f>
        <v>5</v>
      </c>
      <c r="L36" s="29">
        <f t="shared" si="0"/>
        <v>0</v>
      </c>
      <c r="M36" s="29">
        <f t="shared" si="4"/>
        <v>0</v>
      </c>
      <c r="N36" s="13"/>
      <c r="O36" s="77"/>
      <c r="P36" s="17">
        <f>IF(A36&lt;calcoli!$C$11,calcoli!$C$36,IF(AND(calcoli!$C$8="maxirata",'sviluppo p. amm.to'!A36=calcoli!$C$11),calcoli!$C$46,IF('sviluppo p. amm.to'!A36=calcoli!$C$11,calcoli!$C$36,"")))</f>
        <v>119</v>
      </c>
      <c r="Q36" s="59">
        <f t="shared" si="3"/>
        <v>124</v>
      </c>
      <c r="R36" s="19">
        <f>IF(E36="","",IF(calcoli!$C$11&gt;18,E36+K36+L36+IF($M$2&lt;$N$2,M36,N36),E36+K36+L36+M36))</f>
        <v>124</v>
      </c>
      <c r="S36" s="53"/>
      <c r="T36" s="88">
        <f>IF(A36&lt;calcoli!$C$11,calcoli!$C$58,IF(AND(calcoli!$C$8="maxirata",'sviluppo p. amm.to'!A36=calcoli!$C$11),calcoli!$C$46,IF('sviluppo p. amm.to'!A36=calcoli!$C$11,calcoli!$C$58,"")))</f>
        <v>118.78882868393664</v>
      </c>
      <c r="U36" s="53"/>
      <c r="V36" s="67" t="str">
        <f>IF(calcoli!$C$8="MAXIRATA",IF(SIMULATORE!$E$16&gt;='sviluppo p. amm.to'!A36,calcoli!$C$50,""),"")</f>
        <v/>
      </c>
      <c r="W36" s="60" t="str">
        <f>IF(calcoli!$C$8="MAXIRATA",IF(SIMULATORE!$E$16&gt;='sviluppo p. amm.to'!A36,calcoli!$C$50+$K$3+IF(C36="",0,IF($M$2&lt;$N$2,IF(MOD(A36,12)&gt;0,0,1),0)),""),"")</f>
        <v/>
      </c>
      <c r="X36" s="22" t="str">
        <f>IF(calcoli!$C$8="MAXIRATA",IF(SIMULATORE!$E$16&gt;='sviluppo p. amm.to'!A36,calcoli!$C$50+$K$3+IF(C36="",0,IF($M$2&lt;$N$2,IF(MOD(A36,12)&gt;0,0,3),0)),""),"")</f>
        <v/>
      </c>
      <c r="Y36" s="53"/>
      <c r="AA36" s="61"/>
      <c r="AB36" s="61"/>
    </row>
    <row r="37" spans="1:28" hidden="1">
      <c r="A37" s="7">
        <v>32</v>
      </c>
      <c r="B37" s="7">
        <f t="shared" si="5"/>
        <v>32</v>
      </c>
      <c r="C37" s="54">
        <f>IF(B37=0,0,IF(calcoli!$C$8="MAXIRATA",IF('sviluppo p. amm.to'!B37=calcoli!$C$11,calcoli!$C$46,IF(B37&gt;calcoli!$C$11,"",calcoli!$C$35)),IF(B37&gt;calcoli!$C$11,"",calcoli!$C$35)))</f>
        <v>118.78882868393664</v>
      </c>
      <c r="D37" s="54">
        <f>IF(B37=0,0,IF(calcoli!$C$8="MAXIRATA",IF('sviluppo p. amm.to'!B37=calcoli!$C$11,calcoli!$C$46,IF(B37&gt;calcoli!$C$11,"",calcoli!$C$36)),IF(B37&gt;calcoli!$C$11,"",calcoli!$C$36)))</f>
        <v>119</v>
      </c>
      <c r="E37" s="55">
        <f>IF(C37=0,0,IF(C37="","",D37+MROUND(calcoli!$C$37,0.01)))</f>
        <v>119</v>
      </c>
      <c r="F37" s="54">
        <f>IF(B37=0,0,IF(B37&gt;calcoli!$C$11,"",C37-G37))</f>
        <v>115.40787246098832</v>
      </c>
      <c r="G37" s="54">
        <f>IF(B37=0,0,IF(B37&gt;calcoli!$C$11,"",'sviluppo p. amm.to'!J36*calcoli!$C$10/12))</f>
        <v>3.3809562229483281</v>
      </c>
      <c r="H37" s="56">
        <f>IF(B37=0,0,IF(B37&gt;calcoli!$C$11,"",G37+calcoli!$C$36-calcoli!$C$35))</f>
        <v>3.5921275390116847</v>
      </c>
      <c r="I37" s="52">
        <f t="shared" si="1"/>
        <v>3381.6456469159548</v>
      </c>
      <c r="J37" s="13">
        <f t="shared" si="2"/>
        <v>468.35435308404669</v>
      </c>
      <c r="K37" s="55">
        <f>IF(B37=0,0,IF(B37&gt;calcoli!$C$11,"",$K$3))</f>
        <v>5</v>
      </c>
      <c r="L37" s="29">
        <f t="shared" si="0"/>
        <v>0</v>
      </c>
      <c r="M37" s="29">
        <f t="shared" si="4"/>
        <v>0</v>
      </c>
      <c r="N37" s="13"/>
      <c r="O37" s="77"/>
      <c r="P37" s="17">
        <f>IF(A37&lt;calcoli!$C$11,calcoli!$C$36,IF(AND(calcoli!$C$8="maxirata",'sviluppo p. amm.to'!A37=calcoli!$C$11),calcoli!$C$46,IF('sviluppo p. amm.to'!A37=calcoli!$C$11,calcoli!$C$36,"")))</f>
        <v>119</v>
      </c>
      <c r="Q37" s="59">
        <f t="shared" si="3"/>
        <v>124</v>
      </c>
      <c r="R37" s="19">
        <f>IF(E37="","",IF(calcoli!$C$11&gt;18,E37+K37+L37+IF($M$2&lt;$N$2,M37,N37),E37+K37+L37+M37))</f>
        <v>124</v>
      </c>
      <c r="S37" s="53"/>
      <c r="T37" s="88">
        <f>IF(A37&lt;calcoli!$C$11,calcoli!$C$58,IF(AND(calcoli!$C$8="maxirata",'sviluppo p. amm.to'!A37=calcoli!$C$11),calcoli!$C$46,IF('sviluppo p. amm.to'!A37=calcoli!$C$11,calcoli!$C$58,"")))</f>
        <v>118.78882868393664</v>
      </c>
      <c r="U37" s="53"/>
      <c r="V37" s="67" t="str">
        <f>IF(calcoli!$C$8="MAXIRATA",IF(SIMULATORE!$E$16&gt;='sviluppo p. amm.to'!A37,calcoli!$C$50,""),"")</f>
        <v/>
      </c>
      <c r="W37" s="60" t="str">
        <f>IF(calcoli!$C$8="MAXIRATA",IF(SIMULATORE!$E$16&gt;='sviluppo p. amm.to'!A37,calcoli!$C$50+$K$3+IF(C37="",0,IF($M$2&lt;$N$2,IF(MOD(A37,12)&gt;0,0,1),0)),""),"")</f>
        <v/>
      </c>
      <c r="X37" s="22" t="str">
        <f>IF(calcoli!$C$8="MAXIRATA",IF(SIMULATORE!$E$16&gt;='sviluppo p. amm.to'!A37,calcoli!$C$50+$K$3+IF(C37="",0,IF($M$2&lt;$N$2,IF(MOD(A37,12)&gt;0,0,3),0)),""),"")</f>
        <v/>
      </c>
      <c r="Y37" s="53"/>
      <c r="AA37" s="61"/>
      <c r="AB37" s="61"/>
    </row>
    <row r="38" spans="1:28" hidden="1">
      <c r="A38" s="7">
        <v>33</v>
      </c>
      <c r="B38" s="7">
        <f t="shared" si="5"/>
        <v>33</v>
      </c>
      <c r="C38" s="54">
        <f>IF(B38=0,0,IF(calcoli!$C$8="MAXIRATA",IF('sviluppo p. amm.to'!B38=calcoli!$C$11,calcoli!$C$46,IF(B38&gt;calcoli!$C$11,"",calcoli!$C$35)),IF(B38&gt;calcoli!$C$11,"",calcoli!$C$35)))</f>
        <v>118.78882868393664</v>
      </c>
      <c r="D38" s="54">
        <f>IF(B38=0,0,IF(calcoli!$C$8="MAXIRATA",IF('sviluppo p. amm.to'!B38=calcoli!$C$11,calcoli!$C$46,IF(B38&gt;calcoli!$C$11,"",calcoli!$C$36)),IF(B38&gt;calcoli!$C$11,"",calcoli!$C$36)))</f>
        <v>119</v>
      </c>
      <c r="E38" s="55">
        <f>IF(C38=0,0,IF(C38="","",D38+MROUND(calcoli!$C$37,0.01)))</f>
        <v>119</v>
      </c>
      <c r="F38" s="54">
        <f>IF(B38=0,0,IF(B38&gt;calcoli!$C$11,"",C38-G38))</f>
        <v>116.07627638899154</v>
      </c>
      <c r="G38" s="54">
        <f>IF(B38=0,0,IF(B38&gt;calcoli!$C$11,"",'sviluppo p. amm.to'!J37*calcoli!$C$10/12))</f>
        <v>2.712552294945104</v>
      </c>
      <c r="H38" s="56">
        <f>IF(B38=0,0,IF(B38&gt;calcoli!$C$11,"",G38+calcoli!$C$36-calcoli!$C$35))</f>
        <v>2.9237236110084552</v>
      </c>
      <c r="I38" s="52">
        <f t="shared" si="1"/>
        <v>3497.7219233049464</v>
      </c>
      <c r="J38" s="13">
        <f t="shared" si="2"/>
        <v>352.27807669505512</v>
      </c>
      <c r="K38" s="55">
        <f>IF(B38=0,0,IF(B38&gt;calcoli!$C$11,"",$K$3))</f>
        <v>5</v>
      </c>
      <c r="L38" s="29">
        <f t="shared" ref="L38:L69" si="6">IF(C38="","",IF(MOD(A38,12)&gt;0,0,$L$3))</f>
        <v>0</v>
      </c>
      <c r="M38" s="29">
        <f t="shared" ref="M38:M69" si="7">IF(C38&lt;&gt;"",IF(B38=1,16,0)+IF(C38=0,0,IF(MOD(A38,12)&gt;0,0,$M$3)),"")</f>
        <v>0</v>
      </c>
      <c r="N38" s="13"/>
      <c r="O38" s="77"/>
      <c r="P38" s="17">
        <f>IF(A38&lt;calcoli!$C$11,calcoli!$C$36,IF(AND(calcoli!$C$8="maxirata",'sviluppo p. amm.to'!A38=calcoli!$C$11),calcoli!$C$46,IF('sviluppo p. amm.to'!A38=calcoli!$C$11,calcoli!$C$36,"")))</f>
        <v>119</v>
      </c>
      <c r="Q38" s="59">
        <f t="shared" si="3"/>
        <v>124</v>
      </c>
      <c r="R38" s="19">
        <f>IF(E38="","",IF(calcoli!$C$11&gt;18,E38+K38+L38+IF($M$2&lt;$N$2,M38,N38),E38+K38+L38+M38))</f>
        <v>124</v>
      </c>
      <c r="S38" s="53"/>
      <c r="T38" s="88">
        <f>IF(A38&lt;calcoli!$C$11,calcoli!$C$58,IF(AND(calcoli!$C$8="maxirata",'sviluppo p. amm.to'!A38=calcoli!$C$11),calcoli!$C$46,IF('sviluppo p. amm.to'!A38=calcoli!$C$11,calcoli!$C$58,"")))</f>
        <v>118.78882868393664</v>
      </c>
      <c r="U38" s="53"/>
      <c r="V38" s="67" t="str">
        <f>IF(calcoli!$C$8="MAXIRATA",IF(SIMULATORE!$E$16&gt;='sviluppo p. amm.to'!A38,calcoli!$C$50,""),"")</f>
        <v/>
      </c>
      <c r="W38" s="60" t="str">
        <f>IF(calcoli!$C$8="MAXIRATA",IF(SIMULATORE!$E$16&gt;='sviluppo p. amm.to'!A38,calcoli!$C$50+$K$3+IF(C38="",0,IF($M$2&lt;$N$2,IF(MOD(A38,12)&gt;0,0,1),0)),""),"")</f>
        <v/>
      </c>
      <c r="X38" s="22" t="str">
        <f>IF(calcoli!$C$8="MAXIRATA",IF(SIMULATORE!$E$16&gt;='sviluppo p. amm.to'!A38,calcoli!$C$50+$K$3+IF(C38="",0,IF($M$2&lt;$N$2,IF(MOD(A38,12)&gt;0,0,3),0)),""),"")</f>
        <v/>
      </c>
      <c r="Y38" s="53"/>
      <c r="AA38" s="61"/>
      <c r="AB38" s="61"/>
    </row>
    <row r="39" spans="1:28" hidden="1">
      <c r="A39" s="7">
        <v>34</v>
      </c>
      <c r="B39" s="7">
        <f t="shared" si="5"/>
        <v>34</v>
      </c>
      <c r="C39" s="54">
        <f>IF(B39=0,0,IF(calcoli!$C$8="MAXIRATA",IF('sviluppo p. amm.to'!B39=calcoli!$C$11,calcoli!$C$46,IF(B39&gt;calcoli!$C$11,"",calcoli!$C$35)),IF(B39&gt;calcoli!$C$11,"",calcoli!$C$35)))</f>
        <v>118.78882868393664</v>
      </c>
      <c r="D39" s="54">
        <f>IF(B39=0,0,IF(calcoli!$C$8="MAXIRATA",IF('sviluppo p. amm.to'!B39=calcoli!$C$11,calcoli!$C$46,IF(B39&gt;calcoli!$C$11,"",calcoli!$C$36)),IF(B39&gt;calcoli!$C$11,"",calcoli!$C$36)))</f>
        <v>119</v>
      </c>
      <c r="E39" s="55">
        <f>IF(C39=0,0,IF(C39="","",D39+MROUND(calcoli!$C$37,0.01)))</f>
        <v>119</v>
      </c>
      <c r="F39" s="54">
        <f>IF(B39=0,0,IF(B39&gt;calcoli!$C$11,"",C39-G39))</f>
        <v>116.74855148974444</v>
      </c>
      <c r="G39" s="54">
        <f>IF(B39=0,0,IF(B39&gt;calcoli!$C$11,"",'sviluppo p. amm.to'!J38*calcoli!$C$10/12))</f>
        <v>2.0402771941921944</v>
      </c>
      <c r="H39" s="56">
        <f>IF(B39=0,0,IF(B39&gt;calcoli!$C$11,"",G39+calcoli!$C$36-calcoli!$C$35))</f>
        <v>2.2514485102555568</v>
      </c>
      <c r="I39" s="52">
        <f t="shared" si="1"/>
        <v>3614.4704747946907</v>
      </c>
      <c r="J39" s="13">
        <f t="shared" si="2"/>
        <v>235.52952520531068</v>
      </c>
      <c r="K39" s="55">
        <f>IF(B39=0,0,IF(B39&gt;calcoli!$C$11,"",$K$3))</f>
        <v>5</v>
      </c>
      <c r="L39" s="29">
        <f t="shared" si="6"/>
        <v>0</v>
      </c>
      <c r="M39" s="29">
        <f t="shared" si="7"/>
        <v>0</v>
      </c>
      <c r="N39" s="13"/>
      <c r="O39" s="77"/>
      <c r="P39" s="17">
        <f>IF(A39&lt;calcoli!$C$11,calcoli!$C$36,IF(AND(calcoli!$C$8="maxirata",'sviluppo p. amm.to'!A39=calcoli!$C$11),calcoli!$C$46,IF('sviluppo p. amm.to'!A39=calcoli!$C$11,calcoli!$C$36,"")))</f>
        <v>119</v>
      </c>
      <c r="Q39" s="59">
        <f t="shared" si="3"/>
        <v>124</v>
      </c>
      <c r="R39" s="19">
        <f>IF(E39="","",IF(calcoli!$C$11&gt;18,E39+K39+L39+IF($M$2&lt;$N$2,M39,N39),E39+K39+L39+M39))</f>
        <v>124</v>
      </c>
      <c r="S39" s="53"/>
      <c r="T39" s="88">
        <f>IF(A39&lt;calcoli!$C$11,calcoli!$C$58,IF(AND(calcoli!$C$8="maxirata",'sviluppo p. amm.to'!A39=calcoli!$C$11),calcoli!$C$46,IF('sviluppo p. amm.to'!A39=calcoli!$C$11,calcoli!$C$58,"")))</f>
        <v>118.78882868393664</v>
      </c>
      <c r="U39" s="53"/>
      <c r="V39" s="67" t="str">
        <f>IF(calcoli!$C$8="MAXIRATA",IF(SIMULATORE!$E$16&gt;='sviluppo p. amm.to'!A39,calcoli!$C$50,""),"")</f>
        <v/>
      </c>
      <c r="W39" s="60" t="str">
        <f>IF(calcoli!$C$8="MAXIRATA",IF(SIMULATORE!$E$16&gt;='sviluppo p. amm.to'!A39,calcoli!$C$50+$K$3+IF(C39="",0,IF($M$2&lt;$N$2,IF(MOD(A39,12)&gt;0,0,1),0)),""),"")</f>
        <v/>
      </c>
      <c r="X39" s="22" t="str">
        <f>IF(calcoli!$C$8="MAXIRATA",IF(SIMULATORE!$E$16&gt;='sviluppo p. amm.to'!A39,calcoli!$C$50+$K$3+IF(C39="",0,IF($M$2&lt;$N$2,IF(MOD(A39,12)&gt;0,0,3),0)),""),"")</f>
        <v/>
      </c>
      <c r="Y39" s="53"/>
      <c r="AA39" s="61"/>
      <c r="AB39" s="61"/>
    </row>
    <row r="40" spans="1:28" hidden="1">
      <c r="A40" s="7">
        <v>35</v>
      </c>
      <c r="B40" s="7">
        <f t="shared" si="5"/>
        <v>35</v>
      </c>
      <c r="C40" s="54">
        <f>IF(B40=0,0,IF(calcoli!$C$8="MAXIRATA",IF('sviluppo p. amm.to'!B40=calcoli!$C$11,calcoli!$C$46,IF(B40&gt;calcoli!$C$11,"",calcoli!$C$35)),IF(B40&gt;calcoli!$C$11,"",calcoli!$C$35)))</f>
        <v>118.78882868393664</v>
      </c>
      <c r="D40" s="54">
        <f>IF(B40=0,0,IF(calcoli!$C$8="MAXIRATA",IF('sviluppo p. amm.to'!B40=calcoli!$C$11,calcoli!$C$46,IF(B40&gt;calcoli!$C$11,"",calcoli!$C$36)),IF(B40&gt;calcoli!$C$11,"",calcoli!$C$36)))</f>
        <v>119</v>
      </c>
      <c r="E40" s="55">
        <f>IF(C40=0,0,IF(C40="","",D40+MROUND(calcoli!$C$37,0.01)))</f>
        <v>119</v>
      </c>
      <c r="F40" s="54">
        <f>IF(B40=0,0,IF(B40&gt;calcoli!$C$11,"",C40-G40))</f>
        <v>117.42472018378922</v>
      </c>
      <c r="G40" s="54">
        <f>IF(B40=0,0,IF(B40&gt;calcoli!$C$11,"",'sviluppo p. amm.to'!J39*calcoli!$C$10/12))</f>
        <v>1.3641085001474245</v>
      </c>
      <c r="H40" s="56">
        <f>IF(B40=0,0,IF(B40&gt;calcoli!$C$11,"",G40+calcoli!$C$36-calcoli!$C$35))</f>
        <v>1.5752798162107808</v>
      </c>
      <c r="I40" s="52">
        <f t="shared" si="1"/>
        <v>3731.89519497848</v>
      </c>
      <c r="J40" s="13">
        <f t="shared" si="2"/>
        <v>118.10480502152146</v>
      </c>
      <c r="K40" s="55">
        <f>IF(B40=0,0,IF(B40&gt;calcoli!$C$11,"",$K$3))</f>
        <v>5</v>
      </c>
      <c r="L40" s="29">
        <f t="shared" si="6"/>
        <v>0</v>
      </c>
      <c r="M40" s="29">
        <f t="shared" si="7"/>
        <v>0</v>
      </c>
      <c r="N40" s="13"/>
      <c r="O40" s="77"/>
      <c r="P40" s="17">
        <f>IF(A40&lt;calcoli!$C$11,calcoli!$C$36,IF(AND(calcoli!$C$8="maxirata",'sviluppo p. amm.to'!A40=calcoli!$C$11),calcoli!$C$46,IF('sviluppo p. amm.to'!A40=calcoli!$C$11,calcoli!$C$36,"")))</f>
        <v>119</v>
      </c>
      <c r="Q40" s="59">
        <f t="shared" si="3"/>
        <v>124</v>
      </c>
      <c r="R40" s="19">
        <f>IF(E40="","",IF(calcoli!$C$11&gt;18,E40+K40+L40+IF($M$2&lt;$N$2,M40,N40),E40+K40+L40+M40))</f>
        <v>124</v>
      </c>
      <c r="S40" s="53"/>
      <c r="T40" s="88">
        <f>IF(A40&lt;calcoli!$C$11,calcoli!$C$58,IF(AND(calcoli!$C$8="maxirata",'sviluppo p. amm.to'!A40=calcoli!$C$11),calcoli!$C$46,IF('sviluppo p. amm.to'!A40=calcoli!$C$11,calcoli!$C$58,"")))</f>
        <v>118.78882868393664</v>
      </c>
      <c r="U40" s="53"/>
      <c r="V40" s="67" t="str">
        <f>IF(calcoli!$C$8="MAXIRATA",IF(SIMULATORE!$E$16&gt;='sviluppo p. amm.to'!A40,calcoli!$C$50,""),"")</f>
        <v/>
      </c>
      <c r="W40" s="60" t="str">
        <f>IF(calcoli!$C$8="MAXIRATA",IF(SIMULATORE!$E$16&gt;='sviluppo p. amm.to'!A40,calcoli!$C$50+$K$3+IF(C40="",0,IF($M$2&lt;$N$2,IF(MOD(A40,12)&gt;0,0,1),0)),""),"")</f>
        <v/>
      </c>
      <c r="X40" s="22" t="str">
        <f>IF(calcoli!$C$8="MAXIRATA",IF(SIMULATORE!$E$16&gt;='sviluppo p. amm.to'!A40,calcoli!$C$50+$K$3+IF(C40="",0,IF($M$2&lt;$N$2,IF(MOD(A40,12)&gt;0,0,3),0)),""),"")</f>
        <v/>
      </c>
      <c r="Y40" s="53"/>
      <c r="AA40" s="61"/>
      <c r="AB40" s="61"/>
    </row>
    <row r="41" spans="1:28" hidden="1">
      <c r="A41" s="7">
        <v>36</v>
      </c>
      <c r="B41" s="7">
        <f t="shared" si="5"/>
        <v>36</v>
      </c>
      <c r="C41" s="54">
        <f>IF(B41=0,0,IF(calcoli!$C$8="MAXIRATA",IF('sviluppo p. amm.to'!B41=calcoli!$C$11,calcoli!$C$46,IF(B41&gt;calcoli!$C$11,"",calcoli!$C$35)),IF(B41&gt;calcoli!$C$11,"",calcoli!$C$35)))</f>
        <v>118.78882868393664</v>
      </c>
      <c r="D41" s="54">
        <f>IF(B41=0,0,IF(calcoli!$C$8="MAXIRATA",IF('sviluppo p. amm.to'!B41=calcoli!$C$11,calcoli!$C$46,IF(B41&gt;calcoli!$C$11,"",calcoli!$C$36)),IF(B41&gt;calcoli!$C$11,"",calcoli!$C$36)))</f>
        <v>119</v>
      </c>
      <c r="E41" s="55">
        <f>IF(C41=0,0,IF(C41="","",D41+MROUND(calcoli!$C$37,0.01)))</f>
        <v>119</v>
      </c>
      <c r="F41" s="54">
        <f>IF(B41=0,0,IF(B41&gt;calcoli!$C$11,"",C41-G41))</f>
        <v>118.10480502152033</v>
      </c>
      <c r="G41" s="54">
        <f>IF(B41=0,0,IF(B41&gt;calcoli!$C$11,"",'sviluppo p. amm.to'!J40*calcoli!$C$10/12))</f>
        <v>0.68402366241631185</v>
      </c>
      <c r="H41" s="56">
        <f>IF(B41=0,0,IF(B41&gt;calcoli!$C$11,"",G41+calcoli!$C$36-calcoli!$C$35))</f>
        <v>0.89519497847966534</v>
      </c>
      <c r="I41" s="52">
        <f t="shared" si="1"/>
        <v>3850.0000000000005</v>
      </c>
      <c r="J41" s="13">
        <f t="shared" si="2"/>
        <v>1.1226575225009583E-12</v>
      </c>
      <c r="K41" s="55">
        <f>IF(B41=0,0,IF(B41&gt;calcoli!$C$11,"",$K$3))</f>
        <v>5</v>
      </c>
      <c r="L41" s="29">
        <f t="shared" si="6"/>
        <v>1</v>
      </c>
      <c r="M41" s="29">
        <f t="shared" si="7"/>
        <v>2</v>
      </c>
      <c r="N41" s="13"/>
      <c r="O41" s="77"/>
      <c r="P41" s="17">
        <f>IF(A41&lt;calcoli!$C$11,calcoli!$C$36,IF(AND(calcoli!$C$8="maxirata",'sviluppo p. amm.to'!A41=calcoli!$C$11),calcoli!$C$46,IF('sviluppo p. amm.to'!A41=calcoli!$C$11,calcoli!$C$36,"")))</f>
        <v>119</v>
      </c>
      <c r="Q41" s="59">
        <f t="shared" si="3"/>
        <v>125</v>
      </c>
      <c r="R41" s="19">
        <f>IF(E41="","",IF(calcoli!$C$11&gt;18,E41+K41+L41+IF($M$2&lt;$N$2,M41,N41),E41+K41+L41+M41))</f>
        <v>125</v>
      </c>
      <c r="S41" s="53"/>
      <c r="T41" s="88">
        <f>IF(A41&lt;calcoli!$C$11,calcoli!$C$58,IF(AND(calcoli!$C$8="maxirata",'sviluppo p. amm.to'!A41=calcoli!$C$11),calcoli!$C$46,IF('sviluppo p. amm.to'!A41=calcoli!$C$11,calcoli!$C$58,"")))</f>
        <v>118.78882868393664</v>
      </c>
      <c r="U41" s="53"/>
      <c r="V41" s="67" t="str">
        <f>IF(calcoli!$C$8="MAXIRATA",IF(SIMULATORE!$E$16&gt;='sviluppo p. amm.to'!A41,calcoli!$C$50,""),"")</f>
        <v/>
      </c>
      <c r="W41" s="60" t="str">
        <f>IF(calcoli!$C$8="MAXIRATA",IF(SIMULATORE!$E$16&gt;='sviluppo p. amm.to'!A41,calcoli!$C$50+$K$3+IF(C41="",0,IF($M$2&lt;$N$2,IF(MOD(A41,12)&gt;0,0,1),0)),""),"")</f>
        <v/>
      </c>
      <c r="X41" s="22" t="str">
        <f>IF(calcoli!$C$8="MAXIRATA",IF(SIMULATORE!$E$16&gt;='sviluppo p. amm.to'!A41,calcoli!$C$50+$K$3+IF(C41="",0,IF($M$2&lt;$N$2,IF(MOD(A41,12)&gt;0,0,3),0)),""),"")</f>
        <v/>
      </c>
      <c r="Y41" s="53"/>
      <c r="AA41" s="61"/>
      <c r="AB41" s="61"/>
    </row>
    <row r="42" spans="1:28" hidden="1">
      <c r="A42" s="7">
        <v>37</v>
      </c>
      <c r="B42" s="7">
        <f t="shared" si="5"/>
        <v>37</v>
      </c>
      <c r="C42" s="54" t="str">
        <f>IF(B42=0,0,IF(calcoli!$C$8="MAXIRATA",IF('sviluppo p. amm.to'!B42=calcoli!$C$11,calcoli!$C$46,IF(B42&gt;calcoli!$C$11,"",calcoli!$C$35)),IF(B42&gt;calcoli!$C$11,"",calcoli!$C$35)))</f>
        <v/>
      </c>
      <c r="D42" s="54" t="str">
        <f>IF(B42=0,0,IF(calcoli!$C$8="MAXIRATA",IF('sviluppo p. amm.to'!B42=calcoli!$C$11,calcoli!$C$46,IF(B42&gt;calcoli!$C$11,"",calcoli!$C$36)),IF(B42&gt;calcoli!$C$11,"",calcoli!$C$36)))</f>
        <v/>
      </c>
      <c r="E42" s="55" t="str">
        <f>IF(C42=0,0,IF(C42="","",D42+MROUND(calcoli!$C$37,0.01)))</f>
        <v/>
      </c>
      <c r="F42" s="54" t="str">
        <f>IF(B42=0,0,IF(B42&gt;calcoli!$C$11,"",C42-G42))</f>
        <v/>
      </c>
      <c r="G42" s="54" t="str">
        <f>IF(B42=0,0,IF(B42&gt;calcoli!$C$11,"",'sviluppo p. amm.to'!J41*calcoli!$C$10/12))</f>
        <v/>
      </c>
      <c r="H42" s="56" t="str">
        <f>IF(B42=0,0,IF(B42&gt;calcoli!$C$11,"",G42+calcoli!$C$36-calcoli!$C$35))</f>
        <v/>
      </c>
      <c r="I42" s="52" t="str">
        <f t="shared" si="1"/>
        <v/>
      </c>
      <c r="J42" s="13" t="str">
        <f t="shared" si="2"/>
        <v/>
      </c>
      <c r="K42" s="55" t="str">
        <f>IF(B42=0,0,IF(B42&gt;calcoli!$C$11,"",$K$3))</f>
        <v/>
      </c>
      <c r="L42" s="29" t="str">
        <f t="shared" si="6"/>
        <v/>
      </c>
      <c r="M42" s="29" t="str">
        <f t="shared" si="7"/>
        <v/>
      </c>
      <c r="N42" s="13"/>
      <c r="O42" s="77"/>
      <c r="P42" s="17" t="str">
        <f>IF(A42&lt;calcoli!$C$11,calcoli!$C$36,IF(AND(calcoli!$C$8="maxirata",'sviluppo p. amm.to'!A42=calcoli!$C$11),calcoli!$C$46,IF('sviluppo p. amm.to'!A42=calcoli!$C$11,calcoli!$C$36,"")))</f>
        <v/>
      </c>
      <c r="Q42" s="59" t="str">
        <f t="shared" si="3"/>
        <v/>
      </c>
      <c r="R42" s="19" t="str">
        <f>IF(E42="","",IF(calcoli!$C$11&gt;18,E42+K42+L42+IF($M$2&lt;$N$2,M42,N42),E42+K42+L42+M42))</f>
        <v/>
      </c>
      <c r="S42" s="53"/>
      <c r="T42" s="88" t="str">
        <f>IF(A42&lt;calcoli!$C$11,calcoli!$C$58,IF(AND(calcoli!$C$8="maxirata",'sviluppo p. amm.to'!A42=calcoli!$C$11),calcoli!$C$46,IF('sviluppo p. amm.to'!A42=calcoli!$C$11,calcoli!$C$58,"")))</f>
        <v/>
      </c>
      <c r="U42" s="53"/>
      <c r="V42" s="67" t="str">
        <f>IF(calcoli!$C$8="MAXIRATA",IF(SIMULATORE!$E$16&gt;='sviluppo p. amm.to'!A42,calcoli!$C$50,""),"")</f>
        <v/>
      </c>
      <c r="W42" s="60" t="str">
        <f>IF(calcoli!$C$8="MAXIRATA",IF(SIMULATORE!$E$16&gt;='sviluppo p. amm.to'!A42,calcoli!$C$50+$K$3+IF(C42="",0,IF($M$2&lt;$N$2,IF(MOD(A42,12)&gt;0,0,1),0)),""),"")</f>
        <v/>
      </c>
      <c r="X42" s="22" t="str">
        <f>IF(calcoli!$C$8="MAXIRATA",IF(SIMULATORE!$E$16&gt;='sviluppo p. amm.to'!A42,calcoli!$C$50+$K$3+IF(C42="",0,IF($M$2&lt;$N$2,IF(MOD(A42,12)&gt;0,0,3),0)),""),"")</f>
        <v/>
      </c>
      <c r="Y42" s="53"/>
      <c r="AA42" s="61"/>
      <c r="AB42" s="61"/>
    </row>
    <row r="43" spans="1:28" hidden="1">
      <c r="A43" s="7">
        <v>38</v>
      </c>
      <c r="B43" s="7">
        <f t="shared" si="5"/>
        <v>38</v>
      </c>
      <c r="C43" s="54" t="str">
        <f>IF(B43=0,0,IF(calcoli!$C$8="MAXIRATA",IF('sviluppo p. amm.to'!B43=calcoli!$C$11,calcoli!$C$46,IF(B43&gt;calcoli!$C$11,"",calcoli!$C$35)),IF(B43&gt;calcoli!$C$11,"",calcoli!$C$35)))</f>
        <v/>
      </c>
      <c r="D43" s="54" t="str">
        <f>IF(B43=0,0,IF(calcoli!$C$8="MAXIRATA",IF('sviluppo p. amm.to'!B43=calcoli!$C$11,calcoli!$C$46,IF(B43&gt;calcoli!$C$11,"",calcoli!$C$36)),IF(B43&gt;calcoli!$C$11,"",calcoli!$C$36)))</f>
        <v/>
      </c>
      <c r="E43" s="55" t="str">
        <f>IF(C43=0,0,IF(C43="","",D43+MROUND(calcoli!$C$37,0.01)))</f>
        <v/>
      </c>
      <c r="F43" s="54" t="str">
        <f>IF(B43=0,0,IF(B43&gt;calcoli!$C$11,"",C43-G43))</f>
        <v/>
      </c>
      <c r="G43" s="54" t="str">
        <f>IF(B43=0,0,IF(B43&gt;calcoli!$C$11,"",'sviluppo p. amm.to'!J42*calcoli!$C$10/12))</f>
        <v/>
      </c>
      <c r="H43" s="56" t="str">
        <f>IF(B43=0,0,IF(B43&gt;calcoli!$C$11,"",G43+calcoli!$C$36-calcoli!$C$35))</f>
        <v/>
      </c>
      <c r="I43" s="52" t="str">
        <f t="shared" si="1"/>
        <v/>
      </c>
      <c r="J43" s="13" t="str">
        <f t="shared" si="2"/>
        <v/>
      </c>
      <c r="K43" s="55" t="str">
        <f>IF(B43=0,0,IF(B43&gt;calcoli!$C$11,"",$K$3))</f>
        <v/>
      </c>
      <c r="L43" s="29" t="str">
        <f t="shared" si="6"/>
        <v/>
      </c>
      <c r="M43" s="29" t="str">
        <f t="shared" si="7"/>
        <v/>
      </c>
      <c r="N43" s="13"/>
      <c r="O43" s="77"/>
      <c r="P43" s="17" t="str">
        <f>IF(A43&lt;calcoli!$C$11,calcoli!$C$36,IF(AND(calcoli!$C$8="maxirata",'sviluppo p. amm.to'!A43=calcoli!$C$11),calcoli!$C$46,IF('sviluppo p. amm.to'!A43=calcoli!$C$11,calcoli!$C$36,"")))</f>
        <v/>
      </c>
      <c r="Q43" s="59" t="str">
        <f t="shared" si="3"/>
        <v/>
      </c>
      <c r="R43" s="19" t="str">
        <f>IF(E43="","",IF(calcoli!$C$11&gt;18,E43+K43+L43+IF($M$2&lt;$N$2,M43,N43),E43+K43+L43+M43))</f>
        <v/>
      </c>
      <c r="S43" s="53"/>
      <c r="T43" s="88" t="str">
        <f>IF(A43&lt;calcoli!$C$11,calcoli!$C$58,IF(AND(calcoli!$C$8="maxirata",'sviluppo p. amm.to'!A43=calcoli!$C$11),calcoli!$C$46,IF('sviluppo p. amm.to'!A43=calcoli!$C$11,calcoli!$C$58,"")))</f>
        <v/>
      </c>
      <c r="U43" s="53"/>
      <c r="V43" s="67" t="str">
        <f>IF(calcoli!$C$8="MAXIRATA",IF(SIMULATORE!$E$16&gt;='sviluppo p. amm.to'!A43,calcoli!$C$50,""),"")</f>
        <v/>
      </c>
      <c r="W43" s="60" t="str">
        <f>IF(calcoli!$C$8="MAXIRATA",IF(SIMULATORE!$E$16&gt;='sviluppo p. amm.to'!A43,calcoli!$C$50+$K$3+IF(C43="",0,IF($M$2&lt;$N$2,IF(MOD(A43,12)&gt;0,0,1),0)),""),"")</f>
        <v/>
      </c>
      <c r="X43" s="22" t="str">
        <f>IF(calcoli!$C$8="MAXIRATA",IF(SIMULATORE!$E$16&gt;='sviluppo p. amm.to'!A43,calcoli!$C$50+$K$3+IF(C43="",0,IF($M$2&lt;$N$2,IF(MOD(A43,12)&gt;0,0,3),0)),""),"")</f>
        <v/>
      </c>
      <c r="Y43" s="53"/>
      <c r="AA43" s="61"/>
      <c r="AB43" s="61"/>
    </row>
    <row r="44" spans="1:28" hidden="1">
      <c r="A44" s="7">
        <v>39</v>
      </c>
      <c r="B44" s="7">
        <f t="shared" si="5"/>
        <v>39</v>
      </c>
      <c r="C44" s="54" t="str">
        <f>IF(B44=0,0,IF(calcoli!$C$8="MAXIRATA",IF('sviluppo p. amm.to'!B44=calcoli!$C$11,calcoli!$C$46,IF(B44&gt;calcoli!$C$11,"",calcoli!$C$35)),IF(B44&gt;calcoli!$C$11,"",calcoli!$C$35)))</f>
        <v/>
      </c>
      <c r="D44" s="54" t="str">
        <f>IF(B44=0,0,IF(calcoli!$C$8="MAXIRATA",IF('sviluppo p. amm.to'!B44=calcoli!$C$11,calcoli!$C$46,IF(B44&gt;calcoli!$C$11,"",calcoli!$C$36)),IF(B44&gt;calcoli!$C$11,"",calcoli!$C$36)))</f>
        <v/>
      </c>
      <c r="E44" s="55" t="str">
        <f>IF(C44=0,0,IF(C44="","",D44+MROUND(calcoli!$C$37,0.01)))</f>
        <v/>
      </c>
      <c r="F44" s="54" t="str">
        <f>IF(B44=0,0,IF(B44&gt;calcoli!$C$11,"",C44-G44))</f>
        <v/>
      </c>
      <c r="G44" s="54" t="str">
        <f>IF(B44=0,0,IF(B44&gt;calcoli!$C$11,"",'sviluppo p. amm.to'!J43*calcoli!$C$10/12))</f>
        <v/>
      </c>
      <c r="H44" s="56" t="str">
        <f>IF(B44=0,0,IF(B44&gt;calcoli!$C$11,"",G44+calcoli!$C$36-calcoli!$C$35))</f>
        <v/>
      </c>
      <c r="I44" s="52" t="str">
        <f t="shared" si="1"/>
        <v/>
      </c>
      <c r="J44" s="13" t="str">
        <f t="shared" si="2"/>
        <v/>
      </c>
      <c r="K44" s="55" t="str">
        <f>IF(B44=0,0,IF(B44&gt;calcoli!$C$11,"",$K$3))</f>
        <v/>
      </c>
      <c r="L44" s="29" t="str">
        <f t="shared" si="6"/>
        <v/>
      </c>
      <c r="M44" s="29" t="str">
        <f t="shared" si="7"/>
        <v/>
      </c>
      <c r="N44" s="13"/>
      <c r="O44" s="77"/>
      <c r="P44" s="17" t="str">
        <f>IF(A44&lt;calcoli!$C$11,calcoli!$C$36,IF(AND(calcoli!$C$8="maxirata",'sviluppo p. amm.to'!A44=calcoli!$C$11),calcoli!$C$46,IF('sviluppo p. amm.to'!A44=calcoli!$C$11,calcoli!$C$36,"")))</f>
        <v/>
      </c>
      <c r="Q44" s="59" t="str">
        <f t="shared" si="3"/>
        <v/>
      </c>
      <c r="R44" s="19" t="str">
        <f>IF(E44="","",IF(calcoli!$C$11&gt;18,E44+K44+L44+IF($M$2&lt;$N$2,M44,N44),E44+K44+L44+M44))</f>
        <v/>
      </c>
      <c r="S44" s="53"/>
      <c r="T44" s="88" t="str">
        <f>IF(A44&lt;calcoli!$C$11,calcoli!$C$58,IF(AND(calcoli!$C$8="maxirata",'sviluppo p. amm.to'!A44=calcoli!$C$11),calcoli!$C$46,IF('sviluppo p. amm.to'!A44=calcoli!$C$11,calcoli!$C$58,"")))</f>
        <v/>
      </c>
      <c r="U44" s="53"/>
      <c r="V44" s="67" t="str">
        <f>IF(calcoli!$C$8="MAXIRATA",IF(SIMULATORE!$E$16&gt;='sviluppo p. amm.to'!A44,calcoli!$C$50,""),"")</f>
        <v/>
      </c>
      <c r="W44" s="60" t="str">
        <f>IF(calcoli!$C$8="MAXIRATA",IF(SIMULATORE!$E$16&gt;='sviluppo p. amm.to'!A44,calcoli!$C$50+$K$3+IF(C44="",0,IF($M$2&lt;$N$2,IF(MOD(A44,12)&gt;0,0,1),0)),""),"")</f>
        <v/>
      </c>
      <c r="X44" s="22" t="str">
        <f>IF(calcoli!$C$8="MAXIRATA",IF(SIMULATORE!$E$16&gt;='sviluppo p. amm.to'!A44,calcoli!$C$50+$K$3+IF(C44="",0,IF($M$2&lt;$N$2,IF(MOD(A44,12)&gt;0,0,3),0)),""),"")</f>
        <v/>
      </c>
      <c r="Y44" s="53"/>
      <c r="AA44" s="61"/>
      <c r="AB44" s="61"/>
    </row>
    <row r="45" spans="1:28" hidden="1">
      <c r="A45" s="7">
        <v>40</v>
      </c>
      <c r="B45" s="7">
        <f t="shared" si="5"/>
        <v>40</v>
      </c>
      <c r="C45" s="54" t="str">
        <f>IF(B45=0,0,IF(calcoli!$C$8="MAXIRATA",IF('sviluppo p. amm.to'!B45=calcoli!$C$11,calcoli!$C$46,IF(B45&gt;calcoli!$C$11,"",calcoli!$C$35)),IF(B45&gt;calcoli!$C$11,"",calcoli!$C$35)))</f>
        <v/>
      </c>
      <c r="D45" s="54" t="str">
        <f>IF(B45=0,0,IF(calcoli!$C$8="MAXIRATA",IF('sviluppo p. amm.to'!B45=calcoli!$C$11,calcoli!$C$46,IF(B45&gt;calcoli!$C$11,"",calcoli!$C$36)),IF(B45&gt;calcoli!$C$11,"",calcoli!$C$36)))</f>
        <v/>
      </c>
      <c r="E45" s="55" t="str">
        <f>IF(C45=0,0,IF(C45="","",D45+MROUND(calcoli!$C$37,0.01)))</f>
        <v/>
      </c>
      <c r="F45" s="54" t="str">
        <f>IF(B45=0,0,IF(B45&gt;calcoli!$C$11,"",C45-G45))</f>
        <v/>
      </c>
      <c r="G45" s="54" t="str">
        <f>IF(B45=0,0,IF(B45&gt;calcoli!$C$11,"",'sviluppo p. amm.to'!J44*calcoli!$C$10/12))</f>
        <v/>
      </c>
      <c r="H45" s="56" t="str">
        <f>IF(B45=0,0,IF(B45&gt;calcoli!$C$11,"",G45+calcoli!$C$36-calcoli!$C$35))</f>
        <v/>
      </c>
      <c r="I45" s="52" t="str">
        <f t="shared" si="1"/>
        <v/>
      </c>
      <c r="J45" s="13" t="str">
        <f t="shared" si="2"/>
        <v/>
      </c>
      <c r="K45" s="55" t="str">
        <f>IF(B45=0,0,IF(B45&gt;calcoli!$C$11,"",$K$3))</f>
        <v/>
      </c>
      <c r="L45" s="29" t="str">
        <f t="shared" si="6"/>
        <v/>
      </c>
      <c r="M45" s="29" t="str">
        <f t="shared" si="7"/>
        <v/>
      </c>
      <c r="N45" s="13"/>
      <c r="O45" s="77"/>
      <c r="P45" s="17" t="str">
        <f>IF(A45&lt;calcoli!$C$11,calcoli!$C$36,IF(AND(calcoli!$C$8="maxirata",'sviluppo p. amm.to'!A45=calcoli!$C$11),calcoli!$C$46,IF('sviluppo p. amm.to'!A45=calcoli!$C$11,calcoli!$C$36,"")))</f>
        <v/>
      </c>
      <c r="Q45" s="59" t="str">
        <f t="shared" si="3"/>
        <v/>
      </c>
      <c r="R45" s="19" t="str">
        <f>IF(E45="","",IF(calcoli!$C$11&gt;18,E45+K45+L45+IF($M$2&lt;$N$2,M45,N45),E45+K45+L45+M45))</f>
        <v/>
      </c>
      <c r="S45" s="53"/>
      <c r="T45" s="88" t="str">
        <f>IF(A45&lt;calcoli!$C$11,calcoli!$C$58,IF(AND(calcoli!$C$8="maxirata",'sviluppo p. amm.to'!A45=calcoli!$C$11),calcoli!$C$46,IF('sviluppo p. amm.to'!A45=calcoli!$C$11,calcoli!$C$58,"")))</f>
        <v/>
      </c>
      <c r="U45" s="53"/>
      <c r="V45" s="67" t="str">
        <f>IF(calcoli!$C$8="MAXIRATA",IF(SIMULATORE!$E$16&gt;='sviluppo p. amm.to'!A45,calcoli!$C$50,""),"")</f>
        <v/>
      </c>
      <c r="W45" s="60" t="str">
        <f>IF(calcoli!$C$8="MAXIRATA",IF(SIMULATORE!$E$16&gt;='sviluppo p. amm.to'!A45,calcoli!$C$50+$K$3+IF(C45="",0,IF($M$2&lt;$N$2,IF(MOD(A45,12)&gt;0,0,1),0)),""),"")</f>
        <v/>
      </c>
      <c r="X45" s="22" t="str">
        <f>IF(calcoli!$C$8="MAXIRATA",IF(SIMULATORE!$E$16&gt;='sviluppo p. amm.to'!A45,calcoli!$C$50+$K$3+IF(C45="",0,IF($M$2&lt;$N$2,IF(MOD(A45,12)&gt;0,0,3),0)),""),"")</f>
        <v/>
      </c>
      <c r="Y45" s="53"/>
      <c r="AA45" s="61"/>
      <c r="AB45" s="61"/>
    </row>
    <row r="46" spans="1:28" hidden="1">
      <c r="A46" s="7">
        <v>41</v>
      </c>
      <c r="B46" s="7">
        <f t="shared" si="5"/>
        <v>41</v>
      </c>
      <c r="C46" s="54" t="str">
        <f>IF(B46=0,0,IF(calcoli!$C$8="MAXIRATA",IF('sviluppo p. amm.to'!B46=calcoli!$C$11,calcoli!$C$46,IF(B46&gt;calcoli!$C$11,"",calcoli!$C$35)),IF(B46&gt;calcoli!$C$11,"",calcoli!$C$35)))</f>
        <v/>
      </c>
      <c r="D46" s="54" t="str">
        <f>IF(B46=0,0,IF(calcoli!$C$8="MAXIRATA",IF('sviluppo p. amm.to'!B46=calcoli!$C$11,calcoli!$C$46,IF(B46&gt;calcoli!$C$11,"",calcoli!$C$36)),IF(B46&gt;calcoli!$C$11,"",calcoli!$C$36)))</f>
        <v/>
      </c>
      <c r="E46" s="55" t="str">
        <f>IF(C46=0,0,IF(C46="","",D46+MROUND(calcoli!$C$37,0.01)))</f>
        <v/>
      </c>
      <c r="F46" s="54" t="str">
        <f>IF(B46=0,0,IF(B46&gt;calcoli!$C$11,"",C46-G46))</f>
        <v/>
      </c>
      <c r="G46" s="54" t="str">
        <f>IF(B46=0,0,IF(B46&gt;calcoli!$C$11,"",'sviluppo p. amm.to'!J45*calcoli!$C$10/12))</f>
        <v/>
      </c>
      <c r="H46" s="56" t="str">
        <f>IF(B46=0,0,IF(B46&gt;calcoli!$C$11,"",G46+calcoli!$C$36-calcoli!$C$35))</f>
        <v/>
      </c>
      <c r="I46" s="52" t="str">
        <f t="shared" si="1"/>
        <v/>
      </c>
      <c r="J46" s="13" t="str">
        <f t="shared" si="2"/>
        <v/>
      </c>
      <c r="K46" s="55" t="str">
        <f>IF(B46=0,0,IF(B46&gt;calcoli!$C$11,"",$K$3))</f>
        <v/>
      </c>
      <c r="L46" s="29" t="str">
        <f t="shared" si="6"/>
        <v/>
      </c>
      <c r="M46" s="29" t="str">
        <f t="shared" si="7"/>
        <v/>
      </c>
      <c r="N46" s="13"/>
      <c r="O46" s="77"/>
      <c r="P46" s="17" t="str">
        <f>IF(A46&lt;calcoli!$C$11,calcoli!$C$36,IF(AND(calcoli!$C$8="maxirata",'sviluppo p. amm.to'!A46=calcoli!$C$11),calcoli!$C$46,IF('sviluppo p. amm.to'!A46=calcoli!$C$11,calcoli!$C$36,"")))</f>
        <v/>
      </c>
      <c r="Q46" s="59" t="str">
        <f t="shared" si="3"/>
        <v/>
      </c>
      <c r="R46" s="19" t="str">
        <f>IF(E46="","",IF(calcoli!$C$11&gt;18,E46+K46+L46+IF($M$2&lt;$N$2,M46,N46),E46+K46+L46+M46))</f>
        <v/>
      </c>
      <c r="S46" s="53"/>
      <c r="T46" s="88" t="str">
        <f>IF(A46&lt;calcoli!$C$11,calcoli!$C$58,IF(AND(calcoli!$C$8="maxirata",'sviluppo p. amm.to'!A46=calcoli!$C$11),calcoli!$C$46,IF('sviluppo p. amm.to'!A46=calcoli!$C$11,calcoli!$C$58,"")))</f>
        <v/>
      </c>
      <c r="U46" s="53"/>
      <c r="V46" s="67" t="str">
        <f>IF(calcoli!$C$8="MAXIRATA",IF(SIMULATORE!$E$16&gt;='sviluppo p. amm.to'!A46,calcoli!$C$50,""),"")</f>
        <v/>
      </c>
      <c r="W46" s="60" t="str">
        <f>IF(calcoli!$C$8="MAXIRATA",IF(SIMULATORE!$E$16&gt;='sviluppo p. amm.to'!A46,calcoli!$C$50+$K$3+IF(C46="",0,IF($M$2&lt;$N$2,IF(MOD(A46,12)&gt;0,0,1),0)),""),"")</f>
        <v/>
      </c>
      <c r="X46" s="22" t="str">
        <f>IF(calcoli!$C$8="MAXIRATA",IF(SIMULATORE!$E$16&gt;='sviluppo p. amm.to'!A46,calcoli!$C$50+$K$3+IF(C46="",0,IF($M$2&lt;$N$2,IF(MOD(A46,12)&gt;0,0,3),0)),""),"")</f>
        <v/>
      </c>
      <c r="Y46" s="53"/>
      <c r="AA46" s="61"/>
      <c r="AB46" s="61"/>
    </row>
    <row r="47" spans="1:28" hidden="1">
      <c r="A47" s="7">
        <v>42</v>
      </c>
      <c r="B47" s="7">
        <f t="shared" si="5"/>
        <v>42</v>
      </c>
      <c r="C47" s="54" t="str">
        <f>IF(B47=0,0,IF(calcoli!$C$8="MAXIRATA",IF('sviluppo p. amm.to'!B47=calcoli!$C$11,calcoli!$C$46,IF(B47&gt;calcoli!$C$11,"",calcoli!$C$35)),IF(B47&gt;calcoli!$C$11,"",calcoli!$C$35)))</f>
        <v/>
      </c>
      <c r="D47" s="54" t="str">
        <f>IF(B47=0,0,IF(calcoli!$C$8="MAXIRATA",IF('sviluppo p. amm.to'!B47=calcoli!$C$11,calcoli!$C$46,IF(B47&gt;calcoli!$C$11,"",calcoli!$C$36)),IF(B47&gt;calcoli!$C$11,"",calcoli!$C$36)))</f>
        <v/>
      </c>
      <c r="E47" s="55" t="str">
        <f>IF(C47=0,0,IF(C47="","",D47+MROUND(calcoli!$C$37,0.01)))</f>
        <v/>
      </c>
      <c r="F47" s="54" t="str">
        <f>IF(B47=0,0,IF(B47&gt;calcoli!$C$11,"",C47-G47))</f>
        <v/>
      </c>
      <c r="G47" s="54" t="str">
        <f>IF(B47=0,0,IF(B47&gt;calcoli!$C$11,"",'sviluppo p. amm.to'!J46*calcoli!$C$10/12))</f>
        <v/>
      </c>
      <c r="H47" s="56" t="str">
        <f>IF(B47=0,0,IF(B47&gt;calcoli!$C$11,"",G47+calcoli!$C$36-calcoli!$C$35))</f>
        <v/>
      </c>
      <c r="I47" s="52" t="str">
        <f t="shared" si="1"/>
        <v/>
      </c>
      <c r="J47" s="13" t="str">
        <f t="shared" si="2"/>
        <v/>
      </c>
      <c r="K47" s="55" t="str">
        <f>IF(B47=0,0,IF(B47&gt;calcoli!$C$11,"",$K$3))</f>
        <v/>
      </c>
      <c r="L47" s="29" t="str">
        <f t="shared" si="6"/>
        <v/>
      </c>
      <c r="M47" s="29" t="str">
        <f t="shared" si="7"/>
        <v/>
      </c>
      <c r="N47" s="13"/>
      <c r="O47" s="77"/>
      <c r="P47" s="17" t="str">
        <f>IF(A47&lt;calcoli!$C$11,calcoli!$C$36,IF(AND(calcoli!$C$8="maxirata",'sviluppo p. amm.to'!A47=calcoli!$C$11),calcoli!$C$46,IF('sviluppo p. amm.to'!A47=calcoli!$C$11,calcoli!$C$36,"")))</f>
        <v/>
      </c>
      <c r="Q47" s="59" t="str">
        <f t="shared" si="3"/>
        <v/>
      </c>
      <c r="R47" s="19" t="str">
        <f>IF(E47="","",IF(calcoli!$C$11&gt;18,E47+K47+L47+IF($M$2&lt;$N$2,M47,N47),E47+K47+L47+M47))</f>
        <v/>
      </c>
      <c r="S47" s="53"/>
      <c r="T47" s="88" t="str">
        <f>IF(A47&lt;calcoli!$C$11,calcoli!$C$58,IF(AND(calcoli!$C$8="maxirata",'sviluppo p. amm.to'!A47=calcoli!$C$11),calcoli!$C$46,IF('sviluppo p. amm.to'!A47=calcoli!$C$11,calcoli!$C$58,"")))</f>
        <v/>
      </c>
      <c r="U47" s="53"/>
      <c r="V47" s="67" t="str">
        <f>IF(calcoli!$C$8="MAXIRATA",IF(SIMULATORE!$E$16&gt;='sviluppo p. amm.to'!A47,calcoli!$C$50,""),"")</f>
        <v/>
      </c>
      <c r="W47" s="60" t="str">
        <f>IF(calcoli!$C$8="MAXIRATA",IF(SIMULATORE!$E$16&gt;='sviluppo p. amm.to'!A47,calcoli!$C$50+$K$3+IF(C47="",0,IF($M$2&lt;$N$2,IF(MOD(A47,12)&gt;0,0,1),0)),""),"")</f>
        <v/>
      </c>
      <c r="X47" s="22" t="str">
        <f>IF(calcoli!$C$8="MAXIRATA",IF(SIMULATORE!$E$16&gt;='sviluppo p. amm.to'!A47,calcoli!$C$50+$K$3+IF(C47="",0,IF($M$2&lt;$N$2,IF(MOD(A47,12)&gt;0,0,3),0)),""),"")</f>
        <v/>
      </c>
      <c r="Y47" s="53"/>
      <c r="AA47" s="61"/>
      <c r="AB47" s="61"/>
    </row>
    <row r="48" spans="1:28" hidden="1">
      <c r="A48" s="7">
        <v>43</v>
      </c>
      <c r="B48" s="7">
        <f t="shared" si="5"/>
        <v>43</v>
      </c>
      <c r="C48" s="54" t="str">
        <f>IF(B48=0,0,IF(calcoli!$C$8="MAXIRATA",IF('sviluppo p. amm.to'!B48=calcoli!$C$11,calcoli!$C$46,IF(B48&gt;calcoli!$C$11,"",calcoli!$C$35)),IF(B48&gt;calcoli!$C$11,"",calcoli!$C$35)))</f>
        <v/>
      </c>
      <c r="D48" s="54" t="str">
        <f>IF(B48=0,0,IF(calcoli!$C$8="MAXIRATA",IF('sviluppo p. amm.to'!B48=calcoli!$C$11,calcoli!$C$46,IF(B48&gt;calcoli!$C$11,"",calcoli!$C$36)),IF(B48&gt;calcoli!$C$11,"",calcoli!$C$36)))</f>
        <v/>
      </c>
      <c r="E48" s="55" t="str">
        <f>IF(C48=0,0,IF(C48="","",D48+MROUND(calcoli!$C$37,0.01)))</f>
        <v/>
      </c>
      <c r="F48" s="54" t="str">
        <f>IF(B48=0,0,IF(B48&gt;calcoli!$C$11,"",C48-G48))</f>
        <v/>
      </c>
      <c r="G48" s="54" t="str">
        <f>IF(B48=0,0,IF(B48&gt;calcoli!$C$11,"",'sviluppo p. amm.to'!J47*calcoli!$C$10/12))</f>
        <v/>
      </c>
      <c r="H48" s="56" t="str">
        <f>IF(B48=0,0,IF(B48&gt;calcoli!$C$11,"",G48+calcoli!$C$36-calcoli!$C$35))</f>
        <v/>
      </c>
      <c r="I48" s="52" t="str">
        <f t="shared" si="1"/>
        <v/>
      </c>
      <c r="J48" s="13" t="str">
        <f t="shared" si="2"/>
        <v/>
      </c>
      <c r="K48" s="55" t="str">
        <f>IF(B48=0,0,IF(B48&gt;calcoli!$C$11,"",$K$3))</f>
        <v/>
      </c>
      <c r="L48" s="29" t="str">
        <f t="shared" si="6"/>
        <v/>
      </c>
      <c r="M48" s="29" t="str">
        <f t="shared" si="7"/>
        <v/>
      </c>
      <c r="N48" s="13"/>
      <c r="O48" s="77"/>
      <c r="P48" s="17" t="str">
        <f>IF(A48&lt;calcoli!$C$11,calcoli!$C$36,IF(AND(calcoli!$C$8="maxirata",'sviluppo p. amm.to'!A48=calcoli!$C$11),calcoli!$C$46,IF('sviluppo p. amm.to'!A48=calcoli!$C$11,calcoli!$C$36,"")))</f>
        <v/>
      </c>
      <c r="Q48" s="59" t="str">
        <f t="shared" si="3"/>
        <v/>
      </c>
      <c r="R48" s="19" t="str">
        <f>IF(E48="","",IF(calcoli!$C$11&gt;18,E48+K48+L48+IF($M$2&lt;$N$2,M48,N48),E48+K48+L48+M48))</f>
        <v/>
      </c>
      <c r="S48" s="53"/>
      <c r="T48" s="88" t="str">
        <f>IF(A48&lt;calcoli!$C$11,calcoli!$C$58,IF(AND(calcoli!$C$8="maxirata",'sviluppo p. amm.to'!A48=calcoli!$C$11),calcoli!$C$46,IF('sviluppo p. amm.to'!A48=calcoli!$C$11,calcoli!$C$58,"")))</f>
        <v/>
      </c>
      <c r="U48" s="53"/>
      <c r="V48" s="67" t="str">
        <f>IF(calcoli!$C$8="MAXIRATA",IF(SIMULATORE!$E$16&gt;='sviluppo p. amm.to'!A48,calcoli!$C$50,""),"")</f>
        <v/>
      </c>
      <c r="W48" s="60" t="str">
        <f>IF(calcoli!$C$8="MAXIRATA",IF(SIMULATORE!$E$16&gt;='sviluppo p. amm.to'!A48,calcoli!$C$50+$K$3+IF(C48="",0,IF($M$2&lt;$N$2,IF(MOD(A48,12)&gt;0,0,1),0)),""),"")</f>
        <v/>
      </c>
      <c r="X48" s="22" t="str">
        <f>IF(calcoli!$C$8="MAXIRATA",IF(SIMULATORE!$E$16&gt;='sviluppo p. amm.to'!A48,calcoli!$C$50+$K$3+IF(C48="",0,IF($M$2&lt;$N$2,IF(MOD(A48,12)&gt;0,0,3),0)),""),"")</f>
        <v/>
      </c>
      <c r="Y48" s="53"/>
      <c r="AA48" s="61"/>
      <c r="AB48" s="61"/>
    </row>
    <row r="49" spans="1:28" hidden="1">
      <c r="A49" s="7">
        <v>44</v>
      </c>
      <c r="B49" s="7">
        <f t="shared" si="5"/>
        <v>44</v>
      </c>
      <c r="C49" s="54" t="str">
        <f>IF(B49=0,0,IF(calcoli!$C$8="MAXIRATA",IF('sviluppo p. amm.to'!B49=calcoli!$C$11,calcoli!$C$46,IF(B49&gt;calcoli!$C$11,"",calcoli!$C$35)),IF(B49&gt;calcoli!$C$11,"",calcoli!$C$35)))</f>
        <v/>
      </c>
      <c r="D49" s="54" t="str">
        <f>IF(B49=0,0,IF(calcoli!$C$8="MAXIRATA",IF('sviluppo p. amm.to'!B49=calcoli!$C$11,calcoli!$C$46,IF(B49&gt;calcoli!$C$11,"",calcoli!$C$36)),IF(B49&gt;calcoli!$C$11,"",calcoli!$C$36)))</f>
        <v/>
      </c>
      <c r="E49" s="55" t="str">
        <f>IF(C49=0,0,IF(C49="","",D49+MROUND(calcoli!$C$37,0.01)))</f>
        <v/>
      </c>
      <c r="F49" s="54" t="str">
        <f>IF(B49=0,0,IF(B49&gt;calcoli!$C$11,"",C49-G49))</f>
        <v/>
      </c>
      <c r="G49" s="54" t="str">
        <f>IF(B49=0,0,IF(B49&gt;calcoli!$C$11,"",'sviluppo p. amm.to'!J48*calcoli!$C$10/12))</f>
        <v/>
      </c>
      <c r="H49" s="56" t="str">
        <f>IF(B49=0,0,IF(B49&gt;calcoli!$C$11,"",G49+calcoli!$C$36-calcoli!$C$35))</f>
        <v/>
      </c>
      <c r="I49" s="52" t="str">
        <f t="shared" si="1"/>
        <v/>
      </c>
      <c r="J49" s="13" t="str">
        <f t="shared" si="2"/>
        <v/>
      </c>
      <c r="K49" s="55" t="str">
        <f>IF(B49=0,0,IF(B49&gt;calcoli!$C$11,"",$K$3))</f>
        <v/>
      </c>
      <c r="L49" s="29" t="str">
        <f t="shared" si="6"/>
        <v/>
      </c>
      <c r="M49" s="29" t="str">
        <f t="shared" si="7"/>
        <v/>
      </c>
      <c r="N49" s="13"/>
      <c r="O49" s="77"/>
      <c r="P49" s="17" t="str">
        <f>IF(A49&lt;calcoli!$C$11,calcoli!$C$36,IF(AND(calcoli!$C$8="maxirata",'sviluppo p. amm.to'!A49=calcoli!$C$11),calcoli!$C$46,IF('sviluppo p. amm.to'!A49=calcoli!$C$11,calcoli!$C$36,"")))</f>
        <v/>
      </c>
      <c r="Q49" s="59" t="str">
        <f t="shared" si="3"/>
        <v/>
      </c>
      <c r="R49" s="19" t="str">
        <f>IF(E49="","",IF(calcoli!$C$11&gt;18,E49+K49+L49+IF($M$2&lt;$N$2,M49,N49),E49+K49+L49+M49))</f>
        <v/>
      </c>
      <c r="S49" s="53"/>
      <c r="T49" s="88" t="str">
        <f>IF(A49&lt;calcoli!$C$11,calcoli!$C$58,IF(AND(calcoli!$C$8="maxirata",'sviluppo p. amm.to'!A49=calcoli!$C$11),calcoli!$C$46,IF('sviluppo p. amm.to'!A49=calcoli!$C$11,calcoli!$C$58,"")))</f>
        <v/>
      </c>
      <c r="U49" s="53"/>
      <c r="V49" s="67" t="str">
        <f>IF(calcoli!$C$8="MAXIRATA",IF(SIMULATORE!$E$16&gt;='sviluppo p. amm.to'!A49,calcoli!$C$50,""),"")</f>
        <v/>
      </c>
      <c r="W49" s="60" t="str">
        <f>IF(calcoli!$C$8="MAXIRATA",IF(SIMULATORE!$E$16&gt;='sviluppo p. amm.to'!A49,calcoli!$C$50+$K$3+IF(C49="",0,IF($M$2&lt;$N$2,IF(MOD(A49,12)&gt;0,0,1),0)),""),"")</f>
        <v/>
      </c>
      <c r="X49" s="22" t="str">
        <f>IF(calcoli!$C$8="MAXIRATA",IF(SIMULATORE!$E$16&gt;='sviluppo p. amm.to'!A49,calcoli!$C$50+$K$3+IF(C49="",0,IF($M$2&lt;$N$2,IF(MOD(A49,12)&gt;0,0,3),0)),""),"")</f>
        <v/>
      </c>
      <c r="Y49" s="53"/>
      <c r="AA49" s="61"/>
      <c r="AB49" s="61"/>
    </row>
    <row r="50" spans="1:28" hidden="1">
      <c r="A50" s="7">
        <v>45</v>
      </c>
      <c r="B50" s="7">
        <f t="shared" si="5"/>
        <v>45</v>
      </c>
      <c r="C50" s="54" t="str">
        <f>IF(B50=0,0,IF(calcoli!$C$8="MAXIRATA",IF('sviluppo p. amm.to'!B50=calcoli!$C$11,calcoli!$C$46,IF(B50&gt;calcoli!$C$11,"",calcoli!$C$35)),IF(B50&gt;calcoli!$C$11,"",calcoli!$C$35)))</f>
        <v/>
      </c>
      <c r="D50" s="54" t="str">
        <f>IF(B50=0,0,IF(calcoli!$C$8="MAXIRATA",IF('sviluppo p. amm.to'!B50=calcoli!$C$11,calcoli!$C$46,IF(B50&gt;calcoli!$C$11,"",calcoli!$C$36)),IF(B50&gt;calcoli!$C$11,"",calcoli!$C$36)))</f>
        <v/>
      </c>
      <c r="E50" s="55" t="str">
        <f>IF(C50=0,0,IF(C50="","",D50+MROUND(calcoli!$C$37,0.01)))</f>
        <v/>
      </c>
      <c r="F50" s="54" t="str">
        <f>IF(B50=0,0,IF(B50&gt;calcoli!$C$11,"",C50-G50))</f>
        <v/>
      </c>
      <c r="G50" s="54" t="str">
        <f>IF(B50=0,0,IF(B50&gt;calcoli!$C$11,"",'sviluppo p. amm.to'!J49*calcoli!$C$10/12))</f>
        <v/>
      </c>
      <c r="H50" s="56" t="str">
        <f>IF(B50=0,0,IF(B50&gt;calcoli!$C$11,"",G50+calcoli!$C$36-calcoli!$C$35))</f>
        <v/>
      </c>
      <c r="I50" s="52" t="str">
        <f t="shared" si="1"/>
        <v/>
      </c>
      <c r="J50" s="13" t="str">
        <f t="shared" si="2"/>
        <v/>
      </c>
      <c r="K50" s="55" t="str">
        <f>IF(B50=0,0,IF(B50&gt;calcoli!$C$11,"",$K$3))</f>
        <v/>
      </c>
      <c r="L50" s="29" t="str">
        <f t="shared" si="6"/>
        <v/>
      </c>
      <c r="M50" s="29" t="str">
        <f t="shared" si="7"/>
        <v/>
      </c>
      <c r="N50" s="13"/>
      <c r="O50" s="77"/>
      <c r="P50" s="17" t="str">
        <f>IF(A50&lt;calcoli!$C$11,calcoli!$C$36,IF(AND(calcoli!$C$8="maxirata",'sviluppo p. amm.to'!A50=calcoli!$C$11),calcoli!$C$46,IF('sviluppo p. amm.to'!A50=calcoli!$C$11,calcoli!$C$36,"")))</f>
        <v/>
      </c>
      <c r="Q50" s="59" t="str">
        <f t="shared" si="3"/>
        <v/>
      </c>
      <c r="R50" s="19" t="str">
        <f>IF(E50="","",IF(calcoli!$C$11&gt;18,E50+K50+L50+IF($M$2&lt;$N$2,M50,N50),E50+K50+L50+M50))</f>
        <v/>
      </c>
      <c r="S50" s="53"/>
      <c r="T50" s="88" t="str">
        <f>IF(A50&lt;calcoli!$C$11,calcoli!$C$58,IF(AND(calcoli!$C$8="maxirata",'sviluppo p. amm.to'!A50=calcoli!$C$11),calcoli!$C$46,IF('sviluppo p. amm.to'!A50=calcoli!$C$11,calcoli!$C$58,"")))</f>
        <v/>
      </c>
      <c r="U50" s="53"/>
      <c r="V50" s="67" t="str">
        <f>IF(calcoli!$C$8="MAXIRATA",IF(SIMULATORE!$E$16&gt;='sviluppo p. amm.to'!A50,calcoli!$C$50,""),"")</f>
        <v/>
      </c>
      <c r="W50" s="60" t="str">
        <f>IF(calcoli!$C$8="MAXIRATA",IF(SIMULATORE!$E$16&gt;='sviluppo p. amm.to'!A50,calcoli!$C$50+$K$3+IF(C50="",0,IF($M$2&lt;$N$2,IF(MOD(A50,12)&gt;0,0,1),0)),""),"")</f>
        <v/>
      </c>
      <c r="X50" s="22" t="str">
        <f>IF(calcoli!$C$8="MAXIRATA",IF(SIMULATORE!$E$16&gt;='sviluppo p. amm.to'!A50,calcoli!$C$50+$K$3+IF(C50="",0,IF($M$2&lt;$N$2,IF(MOD(A50,12)&gt;0,0,3),0)),""),"")</f>
        <v/>
      </c>
      <c r="Y50" s="53"/>
      <c r="AA50" s="61"/>
      <c r="AB50" s="61"/>
    </row>
    <row r="51" spans="1:28" hidden="1">
      <c r="A51" s="7">
        <v>46</v>
      </c>
      <c r="B51" s="7">
        <f t="shared" si="5"/>
        <v>46</v>
      </c>
      <c r="C51" s="54" t="str">
        <f>IF(B51=0,0,IF(calcoli!$C$8="MAXIRATA",IF('sviluppo p. amm.to'!B51=calcoli!$C$11,calcoli!$C$46,IF(B51&gt;calcoli!$C$11,"",calcoli!$C$35)),IF(B51&gt;calcoli!$C$11,"",calcoli!$C$35)))</f>
        <v/>
      </c>
      <c r="D51" s="54" t="str">
        <f>IF(B51=0,0,IF(calcoli!$C$8="MAXIRATA",IF('sviluppo p. amm.to'!B51=calcoli!$C$11,calcoli!$C$46,IF(B51&gt;calcoli!$C$11,"",calcoli!$C$36)),IF(B51&gt;calcoli!$C$11,"",calcoli!$C$36)))</f>
        <v/>
      </c>
      <c r="E51" s="55" t="str">
        <f>IF(C51=0,0,IF(C51="","",D51+MROUND(calcoli!$C$37,0.01)))</f>
        <v/>
      </c>
      <c r="F51" s="54" t="str">
        <f>IF(B51=0,0,IF(B51&gt;calcoli!$C$11,"",C51-G51))</f>
        <v/>
      </c>
      <c r="G51" s="54" t="str">
        <f>IF(B51=0,0,IF(B51&gt;calcoli!$C$11,"",'sviluppo p. amm.to'!J50*calcoli!$C$10/12))</f>
        <v/>
      </c>
      <c r="H51" s="56" t="str">
        <f>IF(B51=0,0,IF(B51&gt;calcoli!$C$11,"",G51+calcoli!$C$36-calcoli!$C$35))</f>
        <v/>
      </c>
      <c r="I51" s="52" t="str">
        <f t="shared" si="1"/>
        <v/>
      </c>
      <c r="J51" s="13" t="str">
        <f t="shared" si="2"/>
        <v/>
      </c>
      <c r="K51" s="55" t="str">
        <f>IF(B51=0,0,IF(B51&gt;calcoli!$C$11,"",$K$3))</f>
        <v/>
      </c>
      <c r="L51" s="29" t="str">
        <f t="shared" si="6"/>
        <v/>
      </c>
      <c r="M51" s="29" t="str">
        <f t="shared" si="7"/>
        <v/>
      </c>
      <c r="N51" s="13"/>
      <c r="O51" s="77"/>
      <c r="P51" s="17" t="str">
        <f>IF(A51&lt;calcoli!$C$11,calcoli!$C$36,IF(AND(calcoli!$C$8="maxirata",'sviluppo p. amm.to'!A51=calcoli!$C$11),calcoli!$C$46,IF('sviluppo p. amm.to'!A51=calcoli!$C$11,calcoli!$C$36,"")))</f>
        <v/>
      </c>
      <c r="Q51" s="59" t="str">
        <f t="shared" si="3"/>
        <v/>
      </c>
      <c r="R51" s="19" t="str">
        <f>IF(E51="","",IF(calcoli!$C$11&gt;18,E51+K51+L51+IF($M$2&lt;$N$2,M51,N51),E51+K51+L51+M51))</f>
        <v/>
      </c>
      <c r="S51" s="53"/>
      <c r="T51" s="88" t="str">
        <f>IF(A51&lt;calcoli!$C$11,calcoli!$C$58,IF(AND(calcoli!$C$8="maxirata",'sviluppo p. amm.to'!A51=calcoli!$C$11),calcoli!$C$46,IF('sviluppo p. amm.to'!A51=calcoli!$C$11,calcoli!$C$58,"")))</f>
        <v/>
      </c>
      <c r="U51" s="53"/>
      <c r="V51" s="67" t="str">
        <f>IF(calcoli!$C$8="MAXIRATA",IF(SIMULATORE!$E$16&gt;='sviluppo p. amm.to'!A51,calcoli!$C$50,""),"")</f>
        <v/>
      </c>
      <c r="W51" s="60" t="str">
        <f>IF(calcoli!$C$8="MAXIRATA",IF(SIMULATORE!$E$16&gt;='sviluppo p. amm.to'!A51,calcoli!$C$50+$K$3+IF(C51="",0,IF($M$2&lt;$N$2,IF(MOD(A51,12)&gt;0,0,1),0)),""),"")</f>
        <v/>
      </c>
      <c r="X51" s="22" t="str">
        <f>IF(calcoli!$C$8="MAXIRATA",IF(SIMULATORE!$E$16&gt;='sviluppo p. amm.to'!A51,calcoli!$C$50+$K$3+IF(C51="",0,IF($M$2&lt;$N$2,IF(MOD(A51,12)&gt;0,0,3),0)),""),"")</f>
        <v/>
      </c>
      <c r="Y51" s="53"/>
      <c r="AA51" s="61"/>
      <c r="AB51" s="61"/>
    </row>
    <row r="52" spans="1:28" hidden="1">
      <c r="A52" s="7">
        <v>47</v>
      </c>
      <c r="B52" s="7">
        <f t="shared" si="5"/>
        <v>47</v>
      </c>
      <c r="C52" s="54" t="str">
        <f>IF(B52=0,0,IF(calcoli!$C$8="MAXIRATA",IF('sviluppo p. amm.to'!B52=calcoli!$C$11,calcoli!$C$46,IF(B52&gt;calcoli!$C$11,"",calcoli!$C$35)),IF(B52&gt;calcoli!$C$11,"",calcoli!$C$35)))</f>
        <v/>
      </c>
      <c r="D52" s="54" t="str">
        <f>IF(B52=0,0,IF(calcoli!$C$8="MAXIRATA",IF('sviluppo p. amm.to'!B52=calcoli!$C$11,calcoli!$C$46,IF(B52&gt;calcoli!$C$11,"",calcoli!$C$36)),IF(B52&gt;calcoli!$C$11,"",calcoli!$C$36)))</f>
        <v/>
      </c>
      <c r="E52" s="55" t="str">
        <f>IF(C52=0,0,IF(C52="","",D52+MROUND(calcoli!$C$37,0.01)))</f>
        <v/>
      </c>
      <c r="F52" s="54" t="str">
        <f>IF(B52=0,0,IF(B52&gt;calcoli!$C$11,"",C52-G52))</f>
        <v/>
      </c>
      <c r="G52" s="54" t="str">
        <f>IF(B52=0,0,IF(B52&gt;calcoli!$C$11,"",'sviluppo p. amm.to'!J51*calcoli!$C$10/12))</f>
        <v/>
      </c>
      <c r="H52" s="56" t="str">
        <f>IF(B52=0,0,IF(B52&gt;calcoli!$C$11,"",G52+calcoli!$C$36-calcoli!$C$35))</f>
        <v/>
      </c>
      <c r="I52" s="52" t="str">
        <f t="shared" si="1"/>
        <v/>
      </c>
      <c r="J52" s="13" t="str">
        <f t="shared" si="2"/>
        <v/>
      </c>
      <c r="K52" s="55" t="str">
        <f>IF(B52=0,0,IF(B52&gt;calcoli!$C$11,"",$K$3))</f>
        <v/>
      </c>
      <c r="L52" s="29" t="str">
        <f t="shared" si="6"/>
        <v/>
      </c>
      <c r="M52" s="29" t="str">
        <f t="shared" si="7"/>
        <v/>
      </c>
      <c r="N52" s="13"/>
      <c r="O52" s="77"/>
      <c r="P52" s="17" t="str">
        <f>IF(A52&lt;calcoli!$C$11,calcoli!$C$36,IF(AND(calcoli!$C$8="maxirata",'sviluppo p. amm.to'!A52=calcoli!$C$11),calcoli!$C$46,IF('sviluppo p. amm.to'!A52=calcoli!$C$11,calcoli!$C$36,"")))</f>
        <v/>
      </c>
      <c r="Q52" s="59" t="str">
        <f t="shared" si="3"/>
        <v/>
      </c>
      <c r="R52" s="19" t="str">
        <f>IF(E52="","",IF(calcoli!$C$11&gt;18,E52+K52+L52+IF($M$2&lt;$N$2,M52,N52),E52+K52+L52+M52))</f>
        <v/>
      </c>
      <c r="S52" s="53"/>
      <c r="T52" s="88" t="str">
        <f>IF(A52&lt;calcoli!$C$11,calcoli!$C$58,IF(AND(calcoli!$C$8="maxirata",'sviluppo p. amm.to'!A52=calcoli!$C$11),calcoli!$C$46,IF('sviluppo p. amm.to'!A52=calcoli!$C$11,calcoli!$C$58,"")))</f>
        <v/>
      </c>
      <c r="U52" s="53"/>
      <c r="V52" s="67" t="str">
        <f>IF(calcoli!$C$8="MAXIRATA",IF(SIMULATORE!$E$16&gt;='sviluppo p. amm.to'!A52,calcoli!$C$50,""),"")</f>
        <v/>
      </c>
      <c r="W52" s="60" t="str">
        <f>IF(calcoli!$C$8="MAXIRATA",IF(SIMULATORE!$E$16&gt;='sviluppo p. amm.to'!A52,calcoli!$C$50+$K$3+IF(C52="",0,IF($M$2&lt;$N$2,IF(MOD(A52,12)&gt;0,0,1),0)),""),"")</f>
        <v/>
      </c>
      <c r="X52" s="22" t="str">
        <f>IF(calcoli!$C$8="MAXIRATA",IF(SIMULATORE!$E$16&gt;='sviluppo p. amm.to'!A52,calcoli!$C$50+$K$3+IF(C52="",0,IF($M$2&lt;$N$2,IF(MOD(A52,12)&gt;0,0,3),0)),""),"")</f>
        <v/>
      </c>
      <c r="Y52" s="53"/>
      <c r="AA52" s="61"/>
      <c r="AB52" s="61"/>
    </row>
    <row r="53" spans="1:28" hidden="1">
      <c r="A53" s="7">
        <v>48</v>
      </c>
      <c r="B53" s="7">
        <f t="shared" si="5"/>
        <v>48</v>
      </c>
      <c r="C53" s="54" t="str">
        <f>IF(B53=0,0,IF(calcoli!$C$8="MAXIRATA",IF('sviluppo p. amm.to'!B53=calcoli!$C$11,calcoli!$C$46,IF(B53&gt;calcoli!$C$11,"",calcoli!$C$35)),IF(B53&gt;calcoli!$C$11,"",calcoli!$C$35)))</f>
        <v/>
      </c>
      <c r="D53" s="54" t="str">
        <f>IF(B53=0,0,IF(calcoli!$C$8="MAXIRATA",IF('sviluppo p. amm.to'!B53=calcoli!$C$11,calcoli!$C$46,IF(B53&gt;calcoli!$C$11,"",calcoli!$C$36)),IF(B53&gt;calcoli!$C$11,"",calcoli!$C$36)))</f>
        <v/>
      </c>
      <c r="E53" s="55" t="str">
        <f>IF(C53=0,0,IF(C53="","",D53+MROUND(calcoli!$C$37,0.01)))</f>
        <v/>
      </c>
      <c r="F53" s="54" t="str">
        <f>IF(B53=0,0,IF(B53&gt;calcoli!$C$11,"",C53-G53))</f>
        <v/>
      </c>
      <c r="G53" s="54" t="str">
        <f>IF(B53=0,0,IF(B53&gt;calcoli!$C$11,"",'sviluppo p. amm.to'!J52*calcoli!$C$10/12))</f>
        <v/>
      </c>
      <c r="H53" s="56" t="str">
        <f>IF(B53=0,0,IF(B53&gt;calcoli!$C$11,"",G53+calcoli!$C$36-calcoli!$C$35))</f>
        <v/>
      </c>
      <c r="I53" s="52" t="str">
        <f t="shared" si="1"/>
        <v/>
      </c>
      <c r="J53" s="13" t="str">
        <f t="shared" si="2"/>
        <v/>
      </c>
      <c r="K53" s="55" t="str">
        <f>IF(B53=0,0,IF(B53&gt;calcoli!$C$11,"",$K$3))</f>
        <v/>
      </c>
      <c r="L53" s="29" t="str">
        <f t="shared" si="6"/>
        <v/>
      </c>
      <c r="M53" s="29" t="str">
        <f t="shared" si="7"/>
        <v/>
      </c>
      <c r="N53" s="13"/>
      <c r="O53" s="77"/>
      <c r="P53" s="17" t="str">
        <f>IF(A53&lt;calcoli!$C$11,calcoli!$C$36,IF(AND(calcoli!$C$8="maxirata",'sviluppo p. amm.to'!A53=calcoli!$C$11),calcoli!$C$46,IF('sviluppo p. amm.to'!A53=calcoli!$C$11,calcoli!$C$36,"")))</f>
        <v/>
      </c>
      <c r="Q53" s="59" t="str">
        <f t="shared" si="3"/>
        <v/>
      </c>
      <c r="R53" s="19" t="str">
        <f>IF(E53="","",IF(calcoli!$C$11&gt;18,E53+K53+L53+IF($M$2&lt;$N$2,M53,N53),E53+K53+L53+M53))</f>
        <v/>
      </c>
      <c r="S53" s="53"/>
      <c r="T53" s="88" t="str">
        <f>IF(A53&lt;calcoli!$C$11,calcoli!$C$58,IF(AND(calcoli!$C$8="maxirata",'sviluppo p. amm.to'!A53=calcoli!$C$11),calcoli!$C$46,IF('sviluppo p. amm.to'!A53=calcoli!$C$11,calcoli!$C$58,"")))</f>
        <v/>
      </c>
      <c r="U53" s="53"/>
      <c r="V53" s="67" t="str">
        <f>IF(calcoli!$C$8="MAXIRATA",IF(SIMULATORE!$E$16&gt;='sviluppo p. amm.to'!A53,calcoli!$C$50,""),"")</f>
        <v/>
      </c>
      <c r="W53" s="60" t="str">
        <f>IF(calcoli!$C$8="MAXIRATA",IF(SIMULATORE!$E$16&gt;='sviluppo p. amm.to'!A53,calcoli!$C$50+$K$3+IF(C53="",0,IF($M$2&lt;$N$2,IF(MOD(A53,12)&gt;0,0,1),0)),""),"")</f>
        <v/>
      </c>
      <c r="X53" s="22" t="str">
        <f>IF(calcoli!$C$8="MAXIRATA",IF(SIMULATORE!$E$16&gt;='sviluppo p. amm.to'!A53,calcoli!$C$50+$K$3+IF(C53="",0,IF($M$2&lt;$N$2,IF(MOD(A53,12)&gt;0,0,3),0)),""),"")</f>
        <v/>
      </c>
      <c r="Y53" s="53"/>
      <c r="AA53" s="61"/>
      <c r="AB53" s="61"/>
    </row>
    <row r="54" spans="1:28" hidden="1">
      <c r="A54" s="7">
        <v>49</v>
      </c>
      <c r="B54" s="7">
        <f t="shared" si="5"/>
        <v>49</v>
      </c>
      <c r="C54" s="54" t="str">
        <f>IF(B54=0,0,IF(calcoli!$C$8="MAXIRATA",IF('sviluppo p. amm.to'!B54=calcoli!$C$11,calcoli!$C$46,IF(B54&gt;calcoli!$C$11,"",calcoli!$C$35)),IF(B54&gt;calcoli!$C$11,"",calcoli!$C$35)))</f>
        <v/>
      </c>
      <c r="D54" s="54" t="str">
        <f>IF(B54=0,0,IF(calcoli!$C$8="MAXIRATA",IF('sviluppo p. amm.to'!B54=calcoli!$C$11,calcoli!$C$46,IF(B54&gt;calcoli!$C$11,"",calcoli!$C$36)),IF(B54&gt;calcoli!$C$11,"",calcoli!$C$36)))</f>
        <v/>
      </c>
      <c r="E54" s="55" t="str">
        <f>IF(C54=0,0,IF(C54="","",D54+MROUND(calcoli!$C$37,0.01)))</f>
        <v/>
      </c>
      <c r="F54" s="54" t="str">
        <f>IF(B54=0,0,IF(B54&gt;calcoli!$C$11,"",C54-G54))</f>
        <v/>
      </c>
      <c r="G54" s="54" t="str">
        <f>IF(B54=0,0,IF(B54&gt;calcoli!$C$11,"",'sviluppo p. amm.to'!J53*calcoli!$C$10/12))</f>
        <v/>
      </c>
      <c r="H54" s="56" t="str">
        <f>IF(B54=0,0,IF(B54&gt;calcoli!$C$11,"",G54+calcoli!$C$36-calcoli!$C$35))</f>
        <v/>
      </c>
      <c r="I54" s="52" t="str">
        <f t="shared" si="1"/>
        <v/>
      </c>
      <c r="J54" s="13" t="str">
        <f t="shared" si="2"/>
        <v/>
      </c>
      <c r="K54" s="55" t="str">
        <f>IF(B54=0,0,IF(B54&gt;calcoli!$C$11,"",$K$3))</f>
        <v/>
      </c>
      <c r="L54" s="29" t="str">
        <f t="shared" si="6"/>
        <v/>
      </c>
      <c r="M54" s="29" t="str">
        <f t="shared" si="7"/>
        <v/>
      </c>
      <c r="N54" s="13"/>
      <c r="O54" s="77"/>
      <c r="P54" s="17" t="str">
        <f>IF(A54&lt;calcoli!$C$11,calcoli!$C$36,IF(AND(calcoli!$C$8="maxirata",'sviluppo p. amm.to'!A54=calcoli!$C$11),calcoli!$C$46,IF('sviluppo p. amm.to'!A54=calcoli!$C$11,calcoli!$C$36,"")))</f>
        <v/>
      </c>
      <c r="Q54" s="59" t="str">
        <f t="shared" si="3"/>
        <v/>
      </c>
      <c r="R54" s="19" t="str">
        <f>IF(E54="","",IF(calcoli!$C$11&gt;18,E54+K54+L54+IF($M$2&lt;$N$2,M54,N54),E54+K54+L54+M54))</f>
        <v/>
      </c>
      <c r="S54" s="53"/>
      <c r="T54" s="88" t="str">
        <f>IF(A54&lt;calcoli!$C$11,calcoli!$C$58,IF(AND(calcoli!$C$8="maxirata",'sviluppo p. amm.to'!A54=calcoli!$C$11),calcoli!$C$46,IF('sviluppo p. amm.to'!A54=calcoli!$C$11,calcoli!$C$58,"")))</f>
        <v/>
      </c>
      <c r="U54" s="53"/>
      <c r="V54" s="67" t="str">
        <f>IF(calcoli!$C$8="MAXIRATA",IF(SIMULATORE!$E$16&gt;='sviluppo p. amm.to'!A54,calcoli!$C$50,""),"")</f>
        <v/>
      </c>
      <c r="W54" s="60" t="str">
        <f>IF(calcoli!$C$8="MAXIRATA",IF(SIMULATORE!$E$16&gt;='sviluppo p. amm.to'!A54,calcoli!$C$50+$K$3+IF(C54="",0,IF($M$2&lt;$N$2,IF(MOD(A54,12)&gt;0,0,1),0)),""),"")</f>
        <v/>
      </c>
      <c r="X54" s="22" t="str">
        <f>IF(calcoli!$C$8="MAXIRATA",IF(SIMULATORE!$E$16&gt;='sviluppo p. amm.to'!A54,calcoli!$C$50+$K$3+IF(C54="",0,IF($M$2&lt;$N$2,IF(MOD(A54,12)&gt;0,0,3),0)),""),"")</f>
        <v/>
      </c>
      <c r="Y54" s="53"/>
      <c r="AA54" s="61"/>
      <c r="AB54" s="61"/>
    </row>
    <row r="55" spans="1:28" hidden="1">
      <c r="A55" s="7">
        <v>50</v>
      </c>
      <c r="B55" s="7">
        <f t="shared" si="5"/>
        <v>50</v>
      </c>
      <c r="C55" s="54" t="str">
        <f>IF(B55=0,0,IF(calcoli!$C$8="MAXIRATA",IF('sviluppo p. amm.to'!B55=calcoli!$C$11,calcoli!$C$46,IF(B55&gt;calcoli!$C$11,"",calcoli!$C$35)),IF(B55&gt;calcoli!$C$11,"",calcoli!$C$35)))</f>
        <v/>
      </c>
      <c r="D55" s="54" t="str">
        <f>IF(B55=0,0,IF(calcoli!$C$8="MAXIRATA",IF('sviluppo p. amm.to'!B55=calcoli!$C$11,calcoli!$C$46,IF(B55&gt;calcoli!$C$11,"",calcoli!$C$36)),IF(B55&gt;calcoli!$C$11,"",calcoli!$C$36)))</f>
        <v/>
      </c>
      <c r="E55" s="55" t="str">
        <f>IF(C55=0,0,IF(C55="","",D55+MROUND(calcoli!$C$37,0.01)))</f>
        <v/>
      </c>
      <c r="F55" s="54" t="str">
        <f>IF(B55=0,0,IF(B55&gt;calcoli!$C$11,"",C55-G55))</f>
        <v/>
      </c>
      <c r="G55" s="54" t="str">
        <f>IF(B55=0,0,IF(B55&gt;calcoli!$C$11,"",'sviluppo p. amm.to'!J54*calcoli!$C$10/12))</f>
        <v/>
      </c>
      <c r="H55" s="56" t="str">
        <f>IF(B55=0,0,IF(B55&gt;calcoli!$C$11,"",G55+calcoli!$C$36-calcoli!$C$35))</f>
        <v/>
      </c>
      <c r="I55" s="52" t="str">
        <f t="shared" si="1"/>
        <v/>
      </c>
      <c r="J55" s="13" t="str">
        <f t="shared" si="2"/>
        <v/>
      </c>
      <c r="K55" s="55" t="str">
        <f>IF(B55=0,0,IF(B55&gt;calcoli!$C$11,"",$K$3))</f>
        <v/>
      </c>
      <c r="L55" s="29" t="str">
        <f t="shared" si="6"/>
        <v/>
      </c>
      <c r="M55" s="29" t="str">
        <f t="shared" si="7"/>
        <v/>
      </c>
      <c r="N55" s="13"/>
      <c r="O55" s="77"/>
      <c r="P55" s="17" t="str">
        <f>IF(A55&lt;calcoli!$C$11,calcoli!$C$36,IF(AND(calcoli!$C$8="maxirata",'sviluppo p. amm.to'!A55=calcoli!$C$11),calcoli!$C$46,IF('sviluppo p. amm.to'!A55=calcoli!$C$11,calcoli!$C$36,"")))</f>
        <v/>
      </c>
      <c r="Q55" s="59" t="str">
        <f t="shared" si="3"/>
        <v/>
      </c>
      <c r="R55" s="19" t="str">
        <f>IF(E55="","",IF(calcoli!$C$11&gt;18,E55+K55+L55+IF($M$2&lt;$N$2,M55,N55),E55+K55+L55+M55))</f>
        <v/>
      </c>
      <c r="S55" s="53"/>
      <c r="T55" s="88" t="str">
        <f>IF(A55&lt;calcoli!$C$11,calcoli!$C$58,IF(AND(calcoli!$C$8="maxirata",'sviluppo p. amm.to'!A55=calcoli!$C$11),calcoli!$C$46,IF('sviluppo p. amm.to'!A55=calcoli!$C$11,calcoli!$C$58,"")))</f>
        <v/>
      </c>
      <c r="U55" s="53"/>
      <c r="V55" s="67" t="str">
        <f>IF(calcoli!$C$8="MAXIRATA",IF(SIMULATORE!$E$16&gt;='sviluppo p. amm.to'!A55,calcoli!$C$50,""),"")</f>
        <v/>
      </c>
      <c r="W55" s="60" t="str">
        <f>IF(calcoli!$C$8="MAXIRATA",IF(SIMULATORE!$E$16&gt;='sviluppo p. amm.to'!A55,calcoli!$C$50+$K$3+IF(C55="",0,IF($M$2&lt;$N$2,IF(MOD(A55,12)&gt;0,0,1),0)),""),"")</f>
        <v/>
      </c>
      <c r="X55" s="22" t="str">
        <f>IF(calcoli!$C$8="MAXIRATA",IF(SIMULATORE!$E$16&gt;='sviluppo p. amm.to'!A55,calcoli!$C$50+$K$3+IF(C55="",0,IF($M$2&lt;$N$2,IF(MOD(A55,12)&gt;0,0,3),0)),""),"")</f>
        <v/>
      </c>
      <c r="Y55" s="53"/>
      <c r="AA55" s="61"/>
      <c r="AB55" s="61"/>
    </row>
    <row r="56" spans="1:28" hidden="1">
      <c r="A56" s="7">
        <v>51</v>
      </c>
      <c r="B56" s="7">
        <f t="shared" si="5"/>
        <v>51</v>
      </c>
      <c r="C56" s="54" t="str">
        <f>IF(B56=0,0,IF(calcoli!$C$8="MAXIRATA",IF('sviluppo p. amm.to'!B56=calcoli!$C$11,calcoli!$C$46,IF(B56&gt;calcoli!$C$11,"",calcoli!$C$35)),IF(B56&gt;calcoli!$C$11,"",calcoli!$C$35)))</f>
        <v/>
      </c>
      <c r="D56" s="54" t="str">
        <f>IF(B56=0,0,IF(calcoli!$C$8="MAXIRATA",IF('sviluppo p. amm.to'!B56=calcoli!$C$11,calcoli!$C$46,IF(B56&gt;calcoli!$C$11,"",calcoli!$C$36)),IF(B56&gt;calcoli!$C$11,"",calcoli!$C$36)))</f>
        <v/>
      </c>
      <c r="E56" s="55" t="str">
        <f>IF(C56=0,0,IF(C56="","",D56+MROUND(calcoli!$C$37,0.01)))</f>
        <v/>
      </c>
      <c r="F56" s="54" t="str">
        <f>IF(B56=0,0,IF(B56&gt;calcoli!$C$11,"",C56-G56))</f>
        <v/>
      </c>
      <c r="G56" s="54" t="str">
        <f>IF(B56=0,0,IF(B56&gt;calcoli!$C$11,"",'sviluppo p. amm.to'!J55*calcoli!$C$10/12))</f>
        <v/>
      </c>
      <c r="H56" s="56" t="str">
        <f>IF(B56=0,0,IF(B56&gt;calcoli!$C$11,"",G56+calcoli!$C$36-calcoli!$C$35))</f>
        <v/>
      </c>
      <c r="I56" s="52" t="str">
        <f t="shared" si="1"/>
        <v/>
      </c>
      <c r="J56" s="13" t="str">
        <f t="shared" si="2"/>
        <v/>
      </c>
      <c r="K56" s="55" t="str">
        <f>IF(B56=0,0,IF(B56&gt;calcoli!$C$11,"",$K$3))</f>
        <v/>
      </c>
      <c r="L56" s="29" t="str">
        <f t="shared" si="6"/>
        <v/>
      </c>
      <c r="M56" s="29" t="str">
        <f t="shared" si="7"/>
        <v/>
      </c>
      <c r="N56" s="13"/>
      <c r="O56" s="77"/>
      <c r="P56" s="17" t="str">
        <f>IF(A56&lt;calcoli!$C$11,calcoli!$C$36,IF(AND(calcoli!$C$8="maxirata",'sviluppo p. amm.to'!A56=calcoli!$C$11),calcoli!$C$46,IF('sviluppo p. amm.to'!A56=calcoli!$C$11,calcoli!$C$36,"")))</f>
        <v/>
      </c>
      <c r="Q56" s="59" t="str">
        <f t="shared" si="3"/>
        <v/>
      </c>
      <c r="R56" s="19" t="str">
        <f>IF(E56="","",IF(calcoli!$C$11&gt;18,E56+K56+L56+IF($M$2&lt;$N$2,M56,N56),E56+K56+L56+M56))</f>
        <v/>
      </c>
      <c r="S56" s="53"/>
      <c r="T56" s="88" t="str">
        <f>IF(A56&lt;calcoli!$C$11,calcoli!$C$58,IF(AND(calcoli!$C$8="maxirata",'sviluppo p. amm.to'!A56=calcoli!$C$11),calcoli!$C$46,IF('sviluppo p. amm.to'!A56=calcoli!$C$11,calcoli!$C$58,"")))</f>
        <v/>
      </c>
      <c r="U56" s="53"/>
      <c r="V56" s="67" t="str">
        <f>IF(calcoli!$C$8="MAXIRATA",IF(SIMULATORE!$E$16&gt;='sviluppo p. amm.to'!A56,calcoli!$C$50,""),"")</f>
        <v/>
      </c>
      <c r="W56" s="60" t="str">
        <f>IF(calcoli!$C$8="MAXIRATA",IF(SIMULATORE!$E$16&gt;='sviluppo p. amm.to'!A56,calcoli!$C$50+$K$3+IF(C56="",0,IF($M$2&lt;$N$2,IF(MOD(A56,12)&gt;0,0,1),0)),""),"")</f>
        <v/>
      </c>
      <c r="X56" s="22" t="str">
        <f>IF(calcoli!$C$8="MAXIRATA",IF(SIMULATORE!$E$16&gt;='sviluppo p. amm.to'!A56,calcoli!$C$50+$K$3+IF(C56="",0,IF($M$2&lt;$N$2,IF(MOD(A56,12)&gt;0,0,3),0)),""),"")</f>
        <v/>
      </c>
      <c r="Y56" s="53"/>
      <c r="AA56" s="61"/>
      <c r="AB56" s="61"/>
    </row>
    <row r="57" spans="1:28" hidden="1">
      <c r="A57" s="7">
        <v>52</v>
      </c>
      <c r="B57" s="7">
        <f t="shared" si="5"/>
        <v>52</v>
      </c>
      <c r="C57" s="54" t="str">
        <f>IF(B57=0,0,IF(calcoli!$C$8="MAXIRATA",IF('sviluppo p. amm.to'!B57=calcoli!$C$11,calcoli!$C$46,IF(B57&gt;calcoli!$C$11,"",calcoli!$C$35)),IF(B57&gt;calcoli!$C$11,"",calcoli!$C$35)))</f>
        <v/>
      </c>
      <c r="D57" s="54" t="str">
        <f>IF(B57=0,0,IF(calcoli!$C$8="MAXIRATA",IF('sviluppo p. amm.to'!B57=calcoli!$C$11,calcoli!$C$46,IF(B57&gt;calcoli!$C$11,"",calcoli!$C$36)),IF(B57&gt;calcoli!$C$11,"",calcoli!$C$36)))</f>
        <v/>
      </c>
      <c r="E57" s="55" t="str">
        <f>IF(C57=0,0,IF(C57="","",D57+MROUND(calcoli!$C$37,0.01)))</f>
        <v/>
      </c>
      <c r="F57" s="54" t="str">
        <f>IF(B57=0,0,IF(B57&gt;calcoli!$C$11,"",C57-G57))</f>
        <v/>
      </c>
      <c r="G57" s="54" t="str">
        <f>IF(B57=0,0,IF(B57&gt;calcoli!$C$11,"",'sviluppo p. amm.to'!J56*calcoli!$C$10/12))</f>
        <v/>
      </c>
      <c r="H57" s="56" t="str">
        <f>IF(B57=0,0,IF(B57&gt;calcoli!$C$11,"",G57+calcoli!$C$36-calcoli!$C$35))</f>
        <v/>
      </c>
      <c r="I57" s="52" t="str">
        <f t="shared" si="1"/>
        <v/>
      </c>
      <c r="J57" s="13" t="str">
        <f t="shared" si="2"/>
        <v/>
      </c>
      <c r="K57" s="55" t="str">
        <f>IF(B57=0,0,IF(B57&gt;calcoli!$C$11,"",$K$3))</f>
        <v/>
      </c>
      <c r="L57" s="29" t="str">
        <f t="shared" si="6"/>
        <v/>
      </c>
      <c r="M57" s="29" t="str">
        <f t="shared" si="7"/>
        <v/>
      </c>
      <c r="N57" s="13"/>
      <c r="O57" s="77"/>
      <c r="P57" s="17" t="str">
        <f>IF(A57&lt;calcoli!$C$11,calcoli!$C$36,IF(AND(calcoli!$C$8="maxirata",'sviluppo p. amm.to'!A57=calcoli!$C$11),calcoli!$C$46,IF('sviluppo p. amm.to'!A57=calcoli!$C$11,calcoli!$C$36,"")))</f>
        <v/>
      </c>
      <c r="Q57" s="59" t="str">
        <f t="shared" si="3"/>
        <v/>
      </c>
      <c r="R57" s="19" t="str">
        <f>IF(E57="","",IF(calcoli!$C$11&gt;18,E57+K57+L57+IF($M$2&lt;$N$2,M57,N57),E57+K57+L57+M57))</f>
        <v/>
      </c>
      <c r="S57" s="53"/>
      <c r="T57" s="88" t="str">
        <f>IF(A57&lt;calcoli!$C$11,calcoli!$C$58,IF(AND(calcoli!$C$8="maxirata",'sviluppo p. amm.to'!A57=calcoli!$C$11),calcoli!$C$46,IF('sviluppo p. amm.to'!A57=calcoli!$C$11,calcoli!$C$58,"")))</f>
        <v/>
      </c>
      <c r="U57" s="53"/>
      <c r="V57" s="67" t="str">
        <f>IF(calcoli!$C$8="MAXIRATA",IF(SIMULATORE!$E$16&gt;='sviluppo p. amm.to'!A57,calcoli!$C$50,""),"")</f>
        <v/>
      </c>
      <c r="W57" s="60" t="str">
        <f>IF(calcoli!$C$8="MAXIRATA",IF(SIMULATORE!$E$16&gt;='sviluppo p. amm.to'!A57,calcoli!$C$50+$K$3+IF(C57="",0,IF($M$2&lt;$N$2,IF(MOD(A57,12)&gt;0,0,1),0)),""),"")</f>
        <v/>
      </c>
      <c r="X57" s="22" t="str">
        <f>IF(calcoli!$C$8="MAXIRATA",IF(SIMULATORE!$E$16&gt;='sviluppo p. amm.to'!A57,calcoli!$C$50+$K$3+IF(C57="",0,IF($M$2&lt;$N$2,IF(MOD(A57,12)&gt;0,0,3),0)),""),"")</f>
        <v/>
      </c>
      <c r="Y57" s="53"/>
      <c r="AA57" s="61"/>
      <c r="AB57" s="61"/>
    </row>
    <row r="58" spans="1:28" hidden="1">
      <c r="A58" s="7">
        <v>53</v>
      </c>
      <c r="B58" s="7">
        <f t="shared" si="5"/>
        <v>53</v>
      </c>
      <c r="C58" s="54" t="str">
        <f>IF(B58=0,0,IF(calcoli!$C$8="MAXIRATA",IF('sviluppo p. amm.to'!B58=calcoli!$C$11,calcoli!$C$46,IF(B58&gt;calcoli!$C$11,"",calcoli!$C$35)),IF(B58&gt;calcoli!$C$11,"",calcoli!$C$35)))</f>
        <v/>
      </c>
      <c r="D58" s="54" t="str">
        <f>IF(B58=0,0,IF(calcoli!$C$8="MAXIRATA",IF('sviluppo p. amm.to'!B58=calcoli!$C$11,calcoli!$C$46,IF(B58&gt;calcoli!$C$11,"",calcoli!$C$36)),IF(B58&gt;calcoli!$C$11,"",calcoli!$C$36)))</f>
        <v/>
      </c>
      <c r="E58" s="55" t="str">
        <f>IF(C58=0,0,IF(C58="","",D58+MROUND(calcoli!$C$37,0.01)))</f>
        <v/>
      </c>
      <c r="F58" s="54" t="str">
        <f>IF(B58=0,0,IF(B58&gt;calcoli!$C$11,"",C58-G58))</f>
        <v/>
      </c>
      <c r="G58" s="54" t="str">
        <f>IF(B58=0,0,IF(B58&gt;calcoli!$C$11,"",'sviluppo p. amm.to'!J57*calcoli!$C$10/12))</f>
        <v/>
      </c>
      <c r="H58" s="56" t="str">
        <f>IF(B58=0,0,IF(B58&gt;calcoli!$C$11,"",G58+calcoli!$C$36-calcoli!$C$35))</f>
        <v/>
      </c>
      <c r="I58" s="52" t="str">
        <f t="shared" si="1"/>
        <v/>
      </c>
      <c r="J58" s="13" t="str">
        <f t="shared" si="2"/>
        <v/>
      </c>
      <c r="K58" s="55" t="str">
        <f>IF(B58=0,0,IF(B58&gt;calcoli!$C$11,"",$K$3))</f>
        <v/>
      </c>
      <c r="L58" s="29" t="str">
        <f t="shared" si="6"/>
        <v/>
      </c>
      <c r="M58" s="29" t="str">
        <f t="shared" si="7"/>
        <v/>
      </c>
      <c r="N58" s="13"/>
      <c r="O58" s="77"/>
      <c r="P58" s="17" t="str">
        <f>IF(A58&lt;calcoli!$C$11,calcoli!$C$36,IF(AND(calcoli!$C$8="maxirata",'sviluppo p. amm.to'!A58=calcoli!$C$11),calcoli!$C$46,IF('sviluppo p. amm.to'!A58=calcoli!$C$11,calcoli!$C$36,"")))</f>
        <v/>
      </c>
      <c r="Q58" s="59" t="str">
        <f t="shared" si="3"/>
        <v/>
      </c>
      <c r="R58" s="19" t="str">
        <f>IF(E58="","",IF(calcoli!$C$11&gt;18,E58+K58+L58+IF($M$2&lt;$N$2,M58,N58),E58+K58+L58+M58))</f>
        <v/>
      </c>
      <c r="S58" s="53"/>
      <c r="T58" s="88" t="str">
        <f>IF(A58&lt;calcoli!$C$11,calcoli!$C$58,IF(AND(calcoli!$C$8="maxirata",'sviluppo p. amm.to'!A58=calcoli!$C$11),calcoli!$C$46,IF('sviluppo p. amm.to'!A58=calcoli!$C$11,calcoli!$C$58,"")))</f>
        <v/>
      </c>
      <c r="U58" s="53"/>
      <c r="V58" s="67" t="str">
        <f>IF(calcoli!$C$8="MAXIRATA",IF(SIMULATORE!$E$16&gt;='sviluppo p. amm.to'!A58,calcoli!$C$50,""),"")</f>
        <v/>
      </c>
      <c r="W58" s="60" t="str">
        <f>IF(calcoli!$C$8="MAXIRATA",IF(SIMULATORE!$E$16&gt;='sviluppo p. amm.to'!A58,calcoli!$C$50+$K$3+IF(C58="",0,IF($M$2&lt;$N$2,IF(MOD(A58,12)&gt;0,0,1),0)),""),"")</f>
        <v/>
      </c>
      <c r="X58" s="22" t="str">
        <f>IF(calcoli!$C$8="MAXIRATA",IF(SIMULATORE!$E$16&gt;='sviluppo p. amm.to'!A58,calcoli!$C$50+$K$3+IF(C58="",0,IF($M$2&lt;$N$2,IF(MOD(A58,12)&gt;0,0,3),0)),""),"")</f>
        <v/>
      </c>
      <c r="Y58" s="53"/>
      <c r="AA58" s="61"/>
      <c r="AB58" s="61"/>
    </row>
    <row r="59" spans="1:28" hidden="1">
      <c r="A59" s="7">
        <v>54</v>
      </c>
      <c r="B59" s="7">
        <f t="shared" si="5"/>
        <v>54</v>
      </c>
      <c r="C59" s="54" t="str">
        <f>IF(B59=0,0,IF(calcoli!$C$8="MAXIRATA",IF('sviluppo p. amm.to'!B59=calcoli!$C$11,calcoli!$C$46,IF(B59&gt;calcoli!$C$11,"",calcoli!$C$35)),IF(B59&gt;calcoli!$C$11,"",calcoli!$C$35)))</f>
        <v/>
      </c>
      <c r="D59" s="54" t="str">
        <f>IF(B59=0,0,IF(calcoli!$C$8="MAXIRATA",IF('sviluppo p. amm.to'!B59=calcoli!$C$11,calcoli!$C$46,IF(B59&gt;calcoli!$C$11,"",calcoli!$C$36)),IF(B59&gt;calcoli!$C$11,"",calcoli!$C$36)))</f>
        <v/>
      </c>
      <c r="E59" s="55" t="str">
        <f>IF(C59=0,0,IF(C59="","",D59+MROUND(calcoli!$C$37,0.01)))</f>
        <v/>
      </c>
      <c r="F59" s="54" t="str">
        <f>IF(B59=0,0,IF(B59&gt;calcoli!$C$11,"",C59-G59))</f>
        <v/>
      </c>
      <c r="G59" s="54" t="str">
        <f>IF(B59=0,0,IF(B59&gt;calcoli!$C$11,"",'sviluppo p. amm.to'!J58*calcoli!$C$10/12))</f>
        <v/>
      </c>
      <c r="H59" s="56" t="str">
        <f>IF(B59=0,0,IF(B59&gt;calcoli!$C$11,"",G59+calcoli!$C$36-calcoli!$C$35))</f>
        <v/>
      </c>
      <c r="I59" s="52" t="str">
        <f t="shared" si="1"/>
        <v/>
      </c>
      <c r="J59" s="13" t="str">
        <f t="shared" si="2"/>
        <v/>
      </c>
      <c r="K59" s="55" t="str">
        <f>IF(B59=0,0,IF(B59&gt;calcoli!$C$11,"",$K$3))</f>
        <v/>
      </c>
      <c r="L59" s="29" t="str">
        <f t="shared" si="6"/>
        <v/>
      </c>
      <c r="M59" s="29" t="str">
        <f t="shared" si="7"/>
        <v/>
      </c>
      <c r="N59" s="13"/>
      <c r="O59" s="77"/>
      <c r="P59" s="17" t="str">
        <f>IF(A59&lt;calcoli!$C$11,calcoli!$C$36,IF(AND(calcoli!$C$8="maxirata",'sviluppo p. amm.to'!A59=calcoli!$C$11),calcoli!$C$46,IF('sviluppo p. amm.to'!A59=calcoli!$C$11,calcoli!$C$36,"")))</f>
        <v/>
      </c>
      <c r="Q59" s="59" t="str">
        <f t="shared" si="3"/>
        <v/>
      </c>
      <c r="R59" s="19" t="str">
        <f>IF(E59="","",IF(calcoli!$C$11&gt;18,E59+K59+L59+IF($M$2&lt;$N$2,M59,N59),E59+K59+L59+M59))</f>
        <v/>
      </c>
      <c r="S59" s="53"/>
      <c r="T59" s="88" t="str">
        <f>IF(A59&lt;calcoli!$C$11,calcoli!$C$58,IF(AND(calcoli!$C$8="maxirata",'sviluppo p. amm.to'!A59=calcoli!$C$11),calcoli!$C$46,IF('sviluppo p. amm.to'!A59=calcoli!$C$11,calcoli!$C$58,"")))</f>
        <v/>
      </c>
      <c r="U59" s="53"/>
      <c r="V59" s="67" t="str">
        <f>IF(calcoli!$C$8="MAXIRATA",IF(SIMULATORE!$E$16&gt;='sviluppo p. amm.to'!A59,calcoli!$C$50,""),"")</f>
        <v/>
      </c>
      <c r="W59" s="60" t="str">
        <f>IF(calcoli!$C$8="MAXIRATA",IF(SIMULATORE!$E$16&gt;='sviluppo p. amm.to'!A59,calcoli!$C$50+$K$3+IF(C59="",0,IF($M$2&lt;$N$2,IF(MOD(A59,12)&gt;0,0,1),0)),""),"")</f>
        <v/>
      </c>
      <c r="X59" s="22" t="str">
        <f>IF(calcoli!$C$8="MAXIRATA",IF(SIMULATORE!$E$16&gt;='sviluppo p. amm.to'!A59,calcoli!$C$50+$K$3+IF(C59="",0,IF($M$2&lt;$N$2,IF(MOD(A59,12)&gt;0,0,3),0)),""),"")</f>
        <v/>
      </c>
      <c r="Y59" s="53"/>
      <c r="AA59" s="61"/>
      <c r="AB59" s="61"/>
    </row>
    <row r="60" spans="1:28" hidden="1">
      <c r="A60" s="7">
        <v>55</v>
      </c>
      <c r="B60" s="7">
        <f t="shared" si="5"/>
        <v>55</v>
      </c>
      <c r="C60" s="54" t="str">
        <f>IF(B60=0,0,IF(calcoli!$C$8="MAXIRATA",IF('sviluppo p. amm.to'!B60=calcoli!$C$11,calcoli!$C$46,IF(B60&gt;calcoli!$C$11,"",calcoli!$C$35)),IF(B60&gt;calcoli!$C$11,"",calcoli!$C$35)))</f>
        <v/>
      </c>
      <c r="D60" s="54" t="str">
        <f>IF(B60=0,0,IF(calcoli!$C$8="MAXIRATA",IF('sviluppo p. amm.to'!B60=calcoli!$C$11,calcoli!$C$46,IF(B60&gt;calcoli!$C$11,"",calcoli!$C$36)),IF(B60&gt;calcoli!$C$11,"",calcoli!$C$36)))</f>
        <v/>
      </c>
      <c r="E60" s="55" t="str">
        <f>IF(C60=0,0,IF(C60="","",D60+MROUND(calcoli!$C$37,0.01)))</f>
        <v/>
      </c>
      <c r="F60" s="54" t="str">
        <f>IF(B60=0,0,IF(B60&gt;calcoli!$C$11,"",C60-G60))</f>
        <v/>
      </c>
      <c r="G60" s="54" t="str">
        <f>IF(B60=0,0,IF(B60&gt;calcoli!$C$11,"",'sviluppo p. amm.to'!J59*calcoli!$C$10/12))</f>
        <v/>
      </c>
      <c r="H60" s="56" t="str">
        <f>IF(B60=0,0,IF(B60&gt;calcoli!$C$11,"",G60+calcoli!$C$36-calcoli!$C$35))</f>
        <v/>
      </c>
      <c r="I60" s="52" t="str">
        <f t="shared" si="1"/>
        <v/>
      </c>
      <c r="J60" s="13" t="str">
        <f t="shared" si="2"/>
        <v/>
      </c>
      <c r="K60" s="55" t="str">
        <f>IF(B60=0,0,IF(B60&gt;calcoli!$C$11,"",$K$3))</f>
        <v/>
      </c>
      <c r="L60" s="29" t="str">
        <f t="shared" si="6"/>
        <v/>
      </c>
      <c r="M60" s="29" t="str">
        <f t="shared" si="7"/>
        <v/>
      </c>
      <c r="N60" s="13"/>
      <c r="O60" s="77"/>
      <c r="P60" s="17" t="str">
        <f>IF(A60&lt;calcoli!$C$11,calcoli!$C$36,IF(AND(calcoli!$C$8="maxirata",'sviluppo p. amm.to'!A60=calcoli!$C$11),calcoli!$C$46,IF('sviluppo p. amm.to'!A60=calcoli!$C$11,calcoli!$C$36,"")))</f>
        <v/>
      </c>
      <c r="Q60" s="59" t="str">
        <f t="shared" si="3"/>
        <v/>
      </c>
      <c r="R60" s="19" t="str">
        <f>IF(E60="","",IF(calcoli!$C$11&gt;18,E60+K60+L60+IF($M$2&lt;$N$2,M60,N60),E60+K60+L60+M60))</f>
        <v/>
      </c>
      <c r="S60" s="53"/>
      <c r="T60" s="88" t="str">
        <f>IF(A60&lt;calcoli!$C$11,calcoli!$C$58,IF(AND(calcoli!$C$8="maxirata",'sviluppo p. amm.to'!A60=calcoli!$C$11),calcoli!$C$46,IF('sviluppo p. amm.to'!A60=calcoli!$C$11,calcoli!$C$58,"")))</f>
        <v/>
      </c>
      <c r="U60" s="53"/>
      <c r="V60" s="67" t="str">
        <f>IF(calcoli!$C$8="MAXIRATA",IF(SIMULATORE!$E$16&gt;='sviluppo p. amm.to'!A60,calcoli!$C$50,""),"")</f>
        <v/>
      </c>
      <c r="W60" s="60" t="str">
        <f>IF(calcoli!$C$8="MAXIRATA",IF(SIMULATORE!$E$16&gt;='sviluppo p. amm.to'!A60,calcoli!$C$50+$K$3+IF(C60="",0,IF($M$2&lt;$N$2,IF(MOD(A60,12)&gt;0,0,1),0)),""),"")</f>
        <v/>
      </c>
      <c r="X60" s="22" t="str">
        <f>IF(calcoli!$C$8="MAXIRATA",IF(SIMULATORE!$E$16&gt;='sviluppo p. amm.to'!A60,calcoli!$C$50+$K$3+IF(C60="",0,IF($M$2&lt;$N$2,IF(MOD(A60,12)&gt;0,0,3),0)),""),"")</f>
        <v/>
      </c>
      <c r="Y60" s="53"/>
      <c r="AA60" s="61"/>
      <c r="AB60" s="61"/>
    </row>
    <row r="61" spans="1:28" hidden="1">
      <c r="A61" s="7">
        <v>56</v>
      </c>
      <c r="B61" s="7">
        <f t="shared" si="5"/>
        <v>56</v>
      </c>
      <c r="C61" s="54" t="str">
        <f>IF(B61=0,0,IF(calcoli!$C$8="MAXIRATA",IF('sviluppo p. amm.to'!B61=calcoli!$C$11,calcoli!$C$46,IF(B61&gt;calcoli!$C$11,"",calcoli!$C$35)),IF(B61&gt;calcoli!$C$11,"",calcoli!$C$35)))</f>
        <v/>
      </c>
      <c r="D61" s="54" t="str">
        <f>IF(B61=0,0,IF(calcoli!$C$8="MAXIRATA",IF('sviluppo p. amm.to'!B61=calcoli!$C$11,calcoli!$C$46,IF(B61&gt;calcoli!$C$11,"",calcoli!$C$36)),IF(B61&gt;calcoli!$C$11,"",calcoli!$C$36)))</f>
        <v/>
      </c>
      <c r="E61" s="55" t="str">
        <f>IF(C61=0,0,IF(C61="","",D61+MROUND(calcoli!$C$37,0.01)))</f>
        <v/>
      </c>
      <c r="F61" s="54" t="str">
        <f>IF(B61=0,0,IF(B61&gt;calcoli!$C$11,"",C61-G61))</f>
        <v/>
      </c>
      <c r="G61" s="54" t="str">
        <f>IF(B61=0,0,IF(B61&gt;calcoli!$C$11,"",'sviluppo p. amm.to'!J60*calcoli!$C$10/12))</f>
        <v/>
      </c>
      <c r="H61" s="56" t="str">
        <f>IF(B61=0,0,IF(B61&gt;calcoli!$C$11,"",G61+calcoli!$C$36-calcoli!$C$35))</f>
        <v/>
      </c>
      <c r="I61" s="52" t="str">
        <f t="shared" si="1"/>
        <v/>
      </c>
      <c r="J61" s="13" t="str">
        <f t="shared" si="2"/>
        <v/>
      </c>
      <c r="K61" s="55" t="str">
        <f>IF(B61=0,0,IF(B61&gt;calcoli!$C$11,"",$K$3))</f>
        <v/>
      </c>
      <c r="L61" s="29" t="str">
        <f t="shared" si="6"/>
        <v/>
      </c>
      <c r="M61" s="29" t="str">
        <f t="shared" si="7"/>
        <v/>
      </c>
      <c r="N61" s="13"/>
      <c r="O61" s="77"/>
      <c r="P61" s="17" t="str">
        <f>IF(A61&lt;calcoli!$C$11,calcoli!$C$36,IF(AND(calcoli!$C$8="maxirata",'sviluppo p. amm.to'!A61=calcoli!$C$11),calcoli!$C$46,IF('sviluppo p. amm.to'!A61=calcoli!$C$11,calcoli!$C$36,"")))</f>
        <v/>
      </c>
      <c r="Q61" s="59" t="str">
        <f t="shared" si="3"/>
        <v/>
      </c>
      <c r="R61" s="19" t="str">
        <f>IF(E61="","",IF(calcoli!$C$11&gt;18,E61+K61+L61+IF($M$2&lt;$N$2,M61,N61),E61+K61+L61+M61))</f>
        <v/>
      </c>
      <c r="S61" s="53"/>
      <c r="T61" s="88" t="str">
        <f>IF(A61&lt;calcoli!$C$11,calcoli!$C$58,IF(AND(calcoli!$C$8="maxirata",'sviluppo p. amm.to'!A61=calcoli!$C$11),calcoli!$C$46,IF('sviluppo p. amm.to'!A61=calcoli!$C$11,calcoli!$C$58,"")))</f>
        <v/>
      </c>
      <c r="U61" s="53"/>
      <c r="V61" s="67" t="str">
        <f>IF(calcoli!$C$8="MAXIRATA",IF(SIMULATORE!$E$16&gt;='sviluppo p. amm.to'!A61,calcoli!$C$50,""),"")</f>
        <v/>
      </c>
      <c r="W61" s="60" t="str">
        <f>IF(calcoli!$C$8="MAXIRATA",IF(SIMULATORE!$E$16&gt;='sviluppo p. amm.to'!A61,calcoli!$C$50+$K$3+IF(C61="",0,IF($M$2&lt;$N$2,IF(MOD(A61,12)&gt;0,0,1),0)),""),"")</f>
        <v/>
      </c>
      <c r="X61" s="22" t="str">
        <f>IF(calcoli!$C$8="MAXIRATA",IF(SIMULATORE!$E$16&gt;='sviluppo p. amm.to'!A61,calcoli!$C$50+$K$3+IF(C61="",0,IF($M$2&lt;$N$2,IF(MOD(A61,12)&gt;0,0,3),0)),""),"")</f>
        <v/>
      </c>
      <c r="Y61" s="53"/>
      <c r="AA61" s="61"/>
      <c r="AB61" s="61"/>
    </row>
    <row r="62" spans="1:28" hidden="1">
      <c r="A62" s="7">
        <v>57</v>
      </c>
      <c r="B62" s="7">
        <f t="shared" si="5"/>
        <v>57</v>
      </c>
      <c r="C62" s="54" t="str">
        <f>IF(B62=0,0,IF(calcoli!$C$8="MAXIRATA",IF('sviluppo p. amm.to'!B62=calcoli!$C$11,calcoli!$C$46,IF(B62&gt;calcoli!$C$11,"",calcoli!$C$35)),IF(B62&gt;calcoli!$C$11,"",calcoli!$C$35)))</f>
        <v/>
      </c>
      <c r="D62" s="54" t="str">
        <f>IF(B62=0,0,IF(calcoli!$C$8="MAXIRATA",IF('sviluppo p. amm.to'!B62=calcoli!$C$11,calcoli!$C$46,IF(B62&gt;calcoli!$C$11,"",calcoli!$C$36)),IF(B62&gt;calcoli!$C$11,"",calcoli!$C$36)))</f>
        <v/>
      </c>
      <c r="E62" s="55" t="str">
        <f>IF(C62=0,0,IF(C62="","",D62+MROUND(calcoli!$C$37,0.01)))</f>
        <v/>
      </c>
      <c r="F62" s="54" t="str">
        <f>IF(B62=0,0,IF(B62&gt;calcoli!$C$11,"",C62-G62))</f>
        <v/>
      </c>
      <c r="G62" s="54" t="str">
        <f>IF(B62=0,0,IF(B62&gt;calcoli!$C$11,"",'sviluppo p. amm.to'!J61*calcoli!$C$10/12))</f>
        <v/>
      </c>
      <c r="H62" s="56" t="str">
        <f>IF(B62=0,0,IF(B62&gt;calcoli!$C$11,"",G62+calcoli!$C$36-calcoli!$C$35))</f>
        <v/>
      </c>
      <c r="I62" s="52" t="str">
        <f t="shared" si="1"/>
        <v/>
      </c>
      <c r="J62" s="13" t="str">
        <f t="shared" si="2"/>
        <v/>
      </c>
      <c r="K62" s="55" t="str">
        <f>IF(B62=0,0,IF(B62&gt;calcoli!$C$11,"",$K$3))</f>
        <v/>
      </c>
      <c r="L62" s="29" t="str">
        <f t="shared" si="6"/>
        <v/>
      </c>
      <c r="M62" s="29" t="str">
        <f t="shared" si="7"/>
        <v/>
      </c>
      <c r="N62" s="13"/>
      <c r="O62" s="77"/>
      <c r="P62" s="17" t="str">
        <f>IF(A62&lt;calcoli!$C$11,calcoli!$C$36,IF(AND(calcoli!$C$8="maxirata",'sviluppo p. amm.to'!A62=calcoli!$C$11),calcoli!$C$46,IF('sviluppo p. amm.to'!A62=calcoli!$C$11,calcoli!$C$36,"")))</f>
        <v/>
      </c>
      <c r="Q62" s="59" t="str">
        <f t="shared" si="3"/>
        <v/>
      </c>
      <c r="R62" s="19" t="str">
        <f>IF(E62="","",IF(calcoli!$C$11&gt;18,E62+K62+L62+IF($M$2&lt;$N$2,M62,N62),E62+K62+L62+M62))</f>
        <v/>
      </c>
      <c r="S62" s="53"/>
      <c r="T62" s="88" t="str">
        <f>IF(A62&lt;calcoli!$C$11,calcoli!$C$58,IF(AND(calcoli!$C$8="maxirata",'sviluppo p. amm.to'!A62=calcoli!$C$11),calcoli!$C$46,IF('sviluppo p. amm.to'!A62=calcoli!$C$11,calcoli!$C$58,"")))</f>
        <v/>
      </c>
      <c r="U62" s="53"/>
      <c r="V62" s="67" t="str">
        <f>IF(calcoli!$C$8="MAXIRATA",IF(SIMULATORE!$E$16&gt;='sviluppo p. amm.to'!A62,calcoli!$C$50,""),"")</f>
        <v/>
      </c>
      <c r="W62" s="60" t="str">
        <f>IF(calcoli!$C$8="MAXIRATA",IF(SIMULATORE!$E$16&gt;='sviluppo p. amm.to'!A62,calcoli!$C$50+$K$3+IF(C62="",0,IF($M$2&lt;$N$2,IF(MOD(A62,12)&gt;0,0,1),0)),""),"")</f>
        <v/>
      </c>
      <c r="X62" s="22" t="str">
        <f>IF(calcoli!$C$8="MAXIRATA",IF(SIMULATORE!$E$16&gt;='sviluppo p. amm.to'!A62,calcoli!$C$50+$K$3+IF(C62="",0,IF($M$2&lt;$N$2,IF(MOD(A62,12)&gt;0,0,3),0)),""),"")</f>
        <v/>
      </c>
      <c r="Y62" s="53"/>
      <c r="AA62" s="61"/>
      <c r="AB62" s="61"/>
    </row>
    <row r="63" spans="1:28" hidden="1">
      <c r="A63" s="7">
        <v>58</v>
      </c>
      <c r="B63" s="7">
        <f t="shared" si="5"/>
        <v>58</v>
      </c>
      <c r="C63" s="54" t="str">
        <f>IF(B63=0,0,IF(calcoli!$C$8="MAXIRATA",IF('sviluppo p. amm.to'!B63=calcoli!$C$11,calcoli!$C$46,IF(B63&gt;calcoli!$C$11,"",calcoli!$C$35)),IF(B63&gt;calcoli!$C$11,"",calcoli!$C$35)))</f>
        <v/>
      </c>
      <c r="D63" s="54" t="str">
        <f>IF(B63=0,0,IF(calcoli!$C$8="MAXIRATA",IF('sviluppo p. amm.to'!B63=calcoli!$C$11,calcoli!$C$46,IF(B63&gt;calcoli!$C$11,"",calcoli!$C$36)),IF(B63&gt;calcoli!$C$11,"",calcoli!$C$36)))</f>
        <v/>
      </c>
      <c r="E63" s="55" t="str">
        <f>IF(C63=0,0,IF(C63="","",D63+MROUND(calcoli!$C$37,0.01)))</f>
        <v/>
      </c>
      <c r="F63" s="54" t="str">
        <f>IF(B63=0,0,IF(B63&gt;calcoli!$C$11,"",C63-G63))</f>
        <v/>
      </c>
      <c r="G63" s="54" t="str">
        <f>IF(B63=0,0,IF(B63&gt;calcoli!$C$11,"",'sviluppo p. amm.to'!J62*calcoli!$C$10/12))</f>
        <v/>
      </c>
      <c r="H63" s="56" t="str">
        <f>IF(B63=0,0,IF(B63&gt;calcoli!$C$11,"",G63+calcoli!$C$36-calcoli!$C$35))</f>
        <v/>
      </c>
      <c r="I63" s="52" t="str">
        <f t="shared" si="1"/>
        <v/>
      </c>
      <c r="J63" s="13" t="str">
        <f t="shared" si="2"/>
        <v/>
      </c>
      <c r="K63" s="55" t="str">
        <f>IF(B63=0,0,IF(B63&gt;calcoli!$C$11,"",$K$3))</f>
        <v/>
      </c>
      <c r="L63" s="29" t="str">
        <f t="shared" si="6"/>
        <v/>
      </c>
      <c r="M63" s="29" t="str">
        <f t="shared" si="7"/>
        <v/>
      </c>
      <c r="N63" s="13"/>
      <c r="O63" s="77"/>
      <c r="P63" s="17" t="str">
        <f>IF(A63&lt;calcoli!$C$11,calcoli!$C$36,IF(AND(calcoli!$C$8="maxirata",'sviluppo p. amm.to'!A63=calcoli!$C$11),calcoli!$C$46,IF('sviluppo p. amm.to'!A63=calcoli!$C$11,calcoli!$C$36,"")))</f>
        <v/>
      </c>
      <c r="Q63" s="59" t="str">
        <f t="shared" si="3"/>
        <v/>
      </c>
      <c r="R63" s="19" t="str">
        <f>IF(E63="","",IF(calcoli!$C$11&gt;18,E63+K63+L63+IF($M$2&lt;$N$2,M63,N63),E63+K63+L63+M63))</f>
        <v/>
      </c>
      <c r="S63" s="53"/>
      <c r="T63" s="88" t="str">
        <f>IF(A63&lt;calcoli!$C$11,calcoli!$C$58,IF(AND(calcoli!$C$8="maxirata",'sviluppo p. amm.to'!A63=calcoli!$C$11),calcoli!$C$46,IF('sviluppo p. amm.to'!A63=calcoli!$C$11,calcoli!$C$58,"")))</f>
        <v/>
      </c>
      <c r="U63" s="53"/>
      <c r="V63" s="67" t="str">
        <f>IF(calcoli!$C$8="MAXIRATA",IF(SIMULATORE!$E$16&gt;='sviluppo p. amm.to'!A63,calcoli!$C$50,""),"")</f>
        <v/>
      </c>
      <c r="W63" s="60" t="str">
        <f>IF(calcoli!$C$8="MAXIRATA",IF(SIMULATORE!$E$16&gt;='sviluppo p. amm.to'!A63,calcoli!$C$50+$K$3+IF(C63="",0,IF($M$2&lt;$N$2,IF(MOD(A63,12)&gt;0,0,1),0)),""),"")</f>
        <v/>
      </c>
      <c r="X63" s="22" t="str">
        <f>IF(calcoli!$C$8="MAXIRATA",IF(SIMULATORE!$E$16&gt;='sviluppo p. amm.to'!A63,calcoli!$C$50+$K$3+IF(C63="",0,IF($M$2&lt;$N$2,IF(MOD(A63,12)&gt;0,0,3),0)),""),"")</f>
        <v/>
      </c>
      <c r="Y63" s="53"/>
      <c r="AA63" s="61"/>
      <c r="AB63" s="61"/>
    </row>
    <row r="64" spans="1:28" hidden="1">
      <c r="A64" s="7">
        <v>59</v>
      </c>
      <c r="B64" s="7">
        <f t="shared" si="5"/>
        <v>59</v>
      </c>
      <c r="C64" s="54" t="str">
        <f>IF(B64=0,0,IF(calcoli!$C$8="MAXIRATA",IF('sviluppo p. amm.to'!B64=calcoli!$C$11,calcoli!$C$46,IF(B64&gt;calcoli!$C$11,"",calcoli!$C$35)),IF(B64&gt;calcoli!$C$11,"",calcoli!$C$35)))</f>
        <v/>
      </c>
      <c r="D64" s="54" t="str">
        <f>IF(B64=0,0,IF(calcoli!$C$8="MAXIRATA",IF('sviluppo p. amm.to'!B64=calcoli!$C$11,calcoli!$C$46,IF(B64&gt;calcoli!$C$11,"",calcoli!$C$36)),IF(B64&gt;calcoli!$C$11,"",calcoli!$C$36)))</f>
        <v/>
      </c>
      <c r="E64" s="55" t="str">
        <f>IF(C64=0,0,IF(C64="","",D64+MROUND(calcoli!$C$37,0.01)))</f>
        <v/>
      </c>
      <c r="F64" s="54" t="str">
        <f>IF(B64=0,0,IF(B64&gt;calcoli!$C$11,"",C64-G64))</f>
        <v/>
      </c>
      <c r="G64" s="54" t="str">
        <f>IF(B64=0,0,IF(B64&gt;calcoli!$C$11,"",'sviluppo p. amm.to'!J63*calcoli!$C$10/12))</f>
        <v/>
      </c>
      <c r="H64" s="56" t="str">
        <f>IF(B64=0,0,IF(B64&gt;calcoli!$C$11,"",G64+calcoli!$C$36-calcoli!$C$35))</f>
        <v/>
      </c>
      <c r="I64" s="52" t="str">
        <f t="shared" si="1"/>
        <v/>
      </c>
      <c r="J64" s="13" t="str">
        <f t="shared" si="2"/>
        <v/>
      </c>
      <c r="K64" s="55" t="str">
        <f>IF(B64=0,0,IF(B64&gt;calcoli!$C$11,"",$K$3))</f>
        <v/>
      </c>
      <c r="L64" s="29" t="str">
        <f t="shared" si="6"/>
        <v/>
      </c>
      <c r="M64" s="29" t="str">
        <f t="shared" si="7"/>
        <v/>
      </c>
      <c r="N64" s="13"/>
      <c r="O64" s="77"/>
      <c r="P64" s="17" t="str">
        <f>IF(A64&lt;calcoli!$C$11,calcoli!$C$36,IF(AND(calcoli!$C$8="maxirata",'sviluppo p. amm.to'!A64=calcoli!$C$11),calcoli!$C$46,IF('sviluppo p. amm.to'!A64=calcoli!$C$11,calcoli!$C$36,"")))</f>
        <v/>
      </c>
      <c r="Q64" s="59" t="str">
        <f t="shared" si="3"/>
        <v/>
      </c>
      <c r="R64" s="19" t="str">
        <f>IF(E64="","",IF(calcoli!$C$11&gt;18,E64+K64+L64+IF($M$2&lt;$N$2,M64,N64),E64+K64+L64+M64))</f>
        <v/>
      </c>
      <c r="S64" s="53"/>
      <c r="T64" s="88" t="str">
        <f>IF(A64&lt;calcoli!$C$11,calcoli!$C$58,IF(AND(calcoli!$C$8="maxirata",'sviluppo p. amm.to'!A64=calcoli!$C$11),calcoli!$C$46,IF('sviluppo p. amm.to'!A64=calcoli!$C$11,calcoli!$C$58,"")))</f>
        <v/>
      </c>
      <c r="U64" s="53"/>
      <c r="V64" s="67" t="str">
        <f>IF(calcoli!$C$8="MAXIRATA",IF(SIMULATORE!$E$16&gt;='sviluppo p. amm.to'!A64,calcoli!$C$50,""),"")</f>
        <v/>
      </c>
      <c r="W64" s="60" t="str">
        <f>IF(calcoli!$C$8="MAXIRATA",IF(SIMULATORE!$E$16&gt;='sviluppo p. amm.to'!A64,calcoli!$C$50+$K$3+IF(C64="",0,IF($M$2&lt;$N$2,IF(MOD(A64,12)&gt;0,0,1),0)),""),"")</f>
        <v/>
      </c>
      <c r="X64" s="22" t="str">
        <f>IF(calcoli!$C$8="MAXIRATA",IF(SIMULATORE!$E$16&gt;='sviluppo p. amm.to'!A64,calcoli!$C$50+$K$3+IF(C64="",0,IF($M$2&lt;$N$2,IF(MOD(A64,12)&gt;0,0,3),0)),""),"")</f>
        <v/>
      </c>
      <c r="Y64" s="53"/>
      <c r="AA64" s="61"/>
      <c r="AB64" s="61"/>
    </row>
    <row r="65" spans="1:28" hidden="1">
      <c r="A65" s="7">
        <v>60</v>
      </c>
      <c r="B65" s="7">
        <f t="shared" si="5"/>
        <v>60</v>
      </c>
      <c r="C65" s="54" t="str">
        <f>IF(B65=0,0,IF(calcoli!$C$8="MAXIRATA",IF('sviluppo p. amm.to'!B65=calcoli!$C$11,calcoli!$C$46,IF(B65&gt;calcoli!$C$11,"",calcoli!$C$35)),IF(B65&gt;calcoli!$C$11,"",calcoli!$C$35)))</f>
        <v/>
      </c>
      <c r="D65" s="54" t="str">
        <f>IF(B65=0,0,IF(calcoli!$C$8="MAXIRATA",IF('sviluppo p. amm.to'!B65=calcoli!$C$11,calcoli!$C$46,IF(B65&gt;calcoli!$C$11,"",calcoli!$C$36)),IF(B65&gt;calcoli!$C$11,"",calcoli!$C$36)))</f>
        <v/>
      </c>
      <c r="E65" s="55" t="str">
        <f>IF(C65=0,0,IF(C65="","",D65+MROUND(calcoli!$C$37,0.01)))</f>
        <v/>
      </c>
      <c r="F65" s="54" t="str">
        <f>IF(B65=0,0,IF(B65&gt;calcoli!$C$11,"",C65-G65))</f>
        <v/>
      </c>
      <c r="G65" s="54" t="str">
        <f>IF(B65=0,0,IF(B65&gt;calcoli!$C$11,"",'sviluppo p. amm.to'!J64*calcoli!$C$10/12))</f>
        <v/>
      </c>
      <c r="H65" s="56" t="str">
        <f>IF(B65=0,0,IF(B65&gt;calcoli!$C$11,"",G65+calcoli!$C$36-calcoli!$C$35))</f>
        <v/>
      </c>
      <c r="I65" s="52" t="str">
        <f t="shared" si="1"/>
        <v/>
      </c>
      <c r="J65" s="13" t="str">
        <f t="shared" si="2"/>
        <v/>
      </c>
      <c r="K65" s="55" t="str">
        <f>IF(B65=0,0,IF(B65&gt;calcoli!$C$11,"",$K$3))</f>
        <v/>
      </c>
      <c r="L65" s="29" t="str">
        <f t="shared" si="6"/>
        <v/>
      </c>
      <c r="M65" s="29" t="str">
        <f t="shared" si="7"/>
        <v/>
      </c>
      <c r="N65" s="13"/>
      <c r="O65" s="77"/>
      <c r="P65" s="17" t="str">
        <f>IF(A65&lt;calcoli!$C$11,calcoli!$C$36,IF(AND(calcoli!$C$8="maxirata",'sviluppo p. amm.to'!A65=calcoli!$C$11),calcoli!$C$46,IF('sviluppo p. amm.to'!A65=calcoli!$C$11,calcoli!$C$36,"")))</f>
        <v/>
      </c>
      <c r="Q65" s="59" t="str">
        <f t="shared" si="3"/>
        <v/>
      </c>
      <c r="R65" s="19" t="str">
        <f>IF(E65="","",IF(calcoli!$C$11&gt;18,E65+K65+L65+IF($M$2&lt;$N$2,M65,N65),E65+K65+L65+M65))</f>
        <v/>
      </c>
      <c r="S65" s="53"/>
      <c r="T65" s="88" t="str">
        <f>IF(A65&lt;calcoli!$C$11,calcoli!$C$58,IF(AND(calcoli!$C$8="maxirata",'sviluppo p. amm.to'!A65=calcoli!$C$11),calcoli!$C$46,IF('sviluppo p. amm.to'!A65=calcoli!$C$11,calcoli!$C$58,"")))</f>
        <v/>
      </c>
      <c r="U65" s="53"/>
      <c r="V65" s="67" t="str">
        <f>IF(calcoli!$C$8="MAXIRATA",IF(SIMULATORE!$E$16&gt;='sviluppo p. amm.to'!A65,calcoli!$C$50,""),"")</f>
        <v/>
      </c>
      <c r="W65" s="60" t="str">
        <f>IF(calcoli!$C$8="MAXIRATA",IF(SIMULATORE!$E$16&gt;='sviluppo p. amm.to'!A65,calcoli!$C$50+$K$3+IF(C65="",0,IF($M$2&lt;$N$2,IF(MOD(A65,12)&gt;0,0,1),0)),""),"")</f>
        <v/>
      </c>
      <c r="X65" s="22" t="str">
        <f>IF(calcoli!$C$8="MAXIRATA",IF(SIMULATORE!$E$16&gt;='sviluppo p. amm.to'!A65,calcoli!$C$50+$K$3+IF(C65="",0,IF($M$2&lt;$N$2,IF(MOD(A65,12)&gt;0,0,3),0)),""),"")</f>
        <v/>
      </c>
      <c r="Y65" s="53"/>
      <c r="AA65" s="61"/>
      <c r="AB65" s="61"/>
    </row>
    <row r="66" spans="1:28" hidden="1">
      <c r="A66" s="7">
        <v>61</v>
      </c>
      <c r="B66" s="7">
        <f t="shared" si="5"/>
        <v>61</v>
      </c>
      <c r="C66" s="54" t="str">
        <f>IF(B66=0,0,IF(calcoli!$C$8="MAXIRATA",IF('sviluppo p. amm.to'!B66=calcoli!$C$11,calcoli!$C$46,IF(B66&gt;calcoli!$C$11,"",calcoli!$C$35)),IF(B66&gt;calcoli!$C$11,"",calcoli!$C$35)))</f>
        <v/>
      </c>
      <c r="D66" s="54" t="str">
        <f>IF(B66=0,0,IF(calcoli!$C$8="MAXIRATA",IF('sviluppo p. amm.to'!B66=calcoli!$C$11,calcoli!$C$46,IF(B66&gt;calcoli!$C$11,"",calcoli!$C$36)),IF(B66&gt;calcoli!$C$11,"",calcoli!$C$36)))</f>
        <v/>
      </c>
      <c r="E66" s="55" t="str">
        <f>IF(C66=0,0,IF(C66="","",D66+MROUND(calcoli!$C$37,0.01)))</f>
        <v/>
      </c>
      <c r="F66" s="54" t="str">
        <f>IF(B66=0,0,IF(B66&gt;calcoli!$C$11,"",C66-G66))</f>
        <v/>
      </c>
      <c r="G66" s="54" t="str">
        <f>IF(B66=0,0,IF(B66&gt;calcoli!$C$11,"",'sviluppo p. amm.to'!J65*calcoli!$C$10/12))</f>
        <v/>
      </c>
      <c r="H66" s="56" t="str">
        <f>IF(B66=0,0,IF(B66&gt;calcoli!$C$11,"",G66+calcoli!$C$36-calcoli!$C$35))</f>
        <v/>
      </c>
      <c r="I66" s="52" t="str">
        <f t="shared" si="1"/>
        <v/>
      </c>
      <c r="J66" s="13" t="str">
        <f t="shared" si="2"/>
        <v/>
      </c>
      <c r="K66" s="55" t="str">
        <f>IF(B66=0,0,IF(B66&gt;calcoli!$C$11,"",$K$3))</f>
        <v/>
      </c>
      <c r="L66" s="29" t="str">
        <f t="shared" si="6"/>
        <v/>
      </c>
      <c r="M66" s="29" t="str">
        <f t="shared" si="7"/>
        <v/>
      </c>
      <c r="N66" s="13"/>
      <c r="O66" s="77"/>
      <c r="P66" s="17" t="str">
        <f>IF(A66&lt;calcoli!$C$11,calcoli!$C$36,IF(AND(calcoli!$C$8="maxirata",'sviluppo p. amm.to'!A66=calcoli!$C$11),calcoli!$C$46,IF('sviluppo p. amm.to'!A66=calcoli!$C$11,calcoli!$C$36,"")))</f>
        <v/>
      </c>
      <c r="Q66" s="59" t="str">
        <f t="shared" si="3"/>
        <v/>
      </c>
      <c r="R66" s="19" t="str">
        <f>IF(E66="","",IF(calcoli!$C$11&gt;18,E66+K66+L66+IF($M$2&lt;$N$2,M66,N66),E66+K66+L66+M66))</f>
        <v/>
      </c>
      <c r="S66" s="53"/>
      <c r="T66" s="88" t="str">
        <f>IF(A66&lt;calcoli!$C$11,calcoli!$C$58,IF(AND(calcoli!$C$8="maxirata",'sviluppo p. amm.to'!A66=calcoli!$C$11),calcoli!$C$46,IF('sviluppo p. amm.to'!A66=calcoli!$C$11,calcoli!$C$58,"")))</f>
        <v/>
      </c>
      <c r="U66" s="53"/>
      <c r="V66" s="67" t="str">
        <f>IF(calcoli!$C$8="MAXIRATA",IF(SIMULATORE!$E$16&gt;='sviluppo p. amm.to'!A66,calcoli!$C$50,""),"")</f>
        <v/>
      </c>
      <c r="W66" s="60" t="str">
        <f>IF(calcoli!$C$8="MAXIRATA",IF(SIMULATORE!$E$16&gt;='sviluppo p. amm.to'!A66,calcoli!$C$50+$K$3+IF(C66="",0,IF($M$2&lt;$N$2,IF(MOD(A66,12)&gt;0,0,1),0)),""),"")</f>
        <v/>
      </c>
      <c r="X66" s="22" t="str">
        <f>IF(calcoli!$C$8="MAXIRATA",IF(SIMULATORE!$E$16&gt;='sviluppo p. amm.to'!A66,calcoli!$C$50+$K$3+IF(C66="",0,IF($M$2&lt;$N$2,IF(MOD(A66,12)&gt;0,0,3),0)),""),"")</f>
        <v/>
      </c>
      <c r="Y66" s="53"/>
      <c r="AA66" s="61"/>
      <c r="AB66" s="61"/>
    </row>
    <row r="67" spans="1:28" hidden="1">
      <c r="A67" s="7">
        <v>62</v>
      </c>
      <c r="B67" s="7">
        <f t="shared" si="5"/>
        <v>62</v>
      </c>
      <c r="C67" s="54" t="str">
        <f>IF(B67=0,0,IF(calcoli!$C$8="MAXIRATA",IF('sviluppo p. amm.to'!B67=calcoli!$C$11,calcoli!$C$46,IF(B67&gt;calcoli!$C$11,"",calcoli!$C$35)),IF(B67&gt;calcoli!$C$11,"",calcoli!$C$35)))</f>
        <v/>
      </c>
      <c r="D67" s="54" t="str">
        <f>IF(B67=0,0,IF(calcoli!$C$8="MAXIRATA",IF('sviluppo p. amm.to'!B67=calcoli!$C$11,calcoli!$C$46,IF(B67&gt;calcoli!$C$11,"",calcoli!$C$36)),IF(B67&gt;calcoli!$C$11,"",calcoli!$C$36)))</f>
        <v/>
      </c>
      <c r="E67" s="55" t="str">
        <f>IF(C67=0,0,IF(C67="","",D67+MROUND(calcoli!$C$37,0.01)))</f>
        <v/>
      </c>
      <c r="F67" s="54" t="str">
        <f>IF(B67=0,0,IF(B67&gt;calcoli!$C$11,"",C67-G67))</f>
        <v/>
      </c>
      <c r="G67" s="54" t="str">
        <f>IF(B67=0,0,IF(B67&gt;calcoli!$C$11,"",'sviluppo p. amm.to'!J66*calcoli!$C$10/12))</f>
        <v/>
      </c>
      <c r="H67" s="56" t="str">
        <f>IF(B67=0,0,IF(B67&gt;calcoli!$C$11,"",G67+calcoli!$C$36-calcoli!$C$35))</f>
        <v/>
      </c>
      <c r="I67" s="52" t="str">
        <f t="shared" si="1"/>
        <v/>
      </c>
      <c r="J67" s="13" t="str">
        <f t="shared" si="2"/>
        <v/>
      </c>
      <c r="K67" s="55" t="str">
        <f>IF(B67=0,0,IF(B67&gt;calcoli!$C$11,"",$K$3))</f>
        <v/>
      </c>
      <c r="L67" s="29" t="str">
        <f t="shared" si="6"/>
        <v/>
      </c>
      <c r="M67" s="29" t="str">
        <f t="shared" si="7"/>
        <v/>
      </c>
      <c r="N67" s="13"/>
      <c r="O67" s="77"/>
      <c r="P67" s="17" t="str">
        <f>IF(A67&lt;calcoli!$C$11,calcoli!$C$36,IF(AND(calcoli!$C$8="maxirata",'sviluppo p. amm.to'!A67=calcoli!$C$11),calcoli!$C$46,IF('sviluppo p. amm.to'!A67=calcoli!$C$11,calcoli!$C$36,"")))</f>
        <v/>
      </c>
      <c r="Q67" s="59" t="str">
        <f t="shared" si="3"/>
        <v/>
      </c>
      <c r="R67" s="19" t="str">
        <f>IF(E67="","",IF(calcoli!$C$11&gt;18,E67+K67+L67+IF($M$2&lt;$N$2,M67,N67),E67+K67+L67+M67))</f>
        <v/>
      </c>
      <c r="S67" s="53"/>
      <c r="T67" s="88" t="str">
        <f>IF(A67&lt;calcoli!$C$11,calcoli!$C$58,IF(AND(calcoli!$C$8="maxirata",'sviluppo p. amm.to'!A67=calcoli!$C$11),calcoli!$C$46,IF('sviluppo p. amm.to'!A67=calcoli!$C$11,calcoli!$C$58,"")))</f>
        <v/>
      </c>
      <c r="U67" s="53"/>
      <c r="V67" s="67" t="str">
        <f>IF(calcoli!$C$8="MAXIRATA",IF(SIMULATORE!$E$16&gt;='sviluppo p. amm.to'!A67,calcoli!$C$50,""),"")</f>
        <v/>
      </c>
      <c r="W67" s="60" t="str">
        <f>IF(calcoli!$C$8="MAXIRATA",IF(SIMULATORE!$E$16&gt;='sviluppo p. amm.to'!A67,calcoli!$C$50+$K$3+IF(C67="",0,IF($M$2&lt;$N$2,IF(MOD(A67,12)&gt;0,0,1),0)),""),"")</f>
        <v/>
      </c>
      <c r="X67" s="22" t="str">
        <f>IF(calcoli!$C$8="MAXIRATA",IF(SIMULATORE!$E$16&gt;='sviluppo p. amm.to'!A67,calcoli!$C$50+$K$3+IF(C67="",0,IF($M$2&lt;$N$2,IF(MOD(A67,12)&gt;0,0,3),0)),""),"")</f>
        <v/>
      </c>
      <c r="Y67" s="53"/>
      <c r="AA67" s="61"/>
      <c r="AB67" s="61"/>
    </row>
    <row r="68" spans="1:28" hidden="1">
      <c r="A68" s="7">
        <v>63</v>
      </c>
      <c r="B68" s="7">
        <f t="shared" si="5"/>
        <v>63</v>
      </c>
      <c r="C68" s="54" t="str">
        <f>IF(B68=0,0,IF(calcoli!$C$8="MAXIRATA",IF('sviluppo p. amm.to'!B68=calcoli!$C$11,calcoli!$C$46,IF(B68&gt;calcoli!$C$11,"",calcoli!$C$35)),IF(B68&gt;calcoli!$C$11,"",calcoli!$C$35)))</f>
        <v/>
      </c>
      <c r="D68" s="54" t="str">
        <f>IF(B68=0,0,IF(calcoli!$C$8="MAXIRATA",IF('sviluppo p. amm.to'!B68=calcoli!$C$11,calcoli!$C$46,IF(B68&gt;calcoli!$C$11,"",calcoli!$C$36)),IF(B68&gt;calcoli!$C$11,"",calcoli!$C$36)))</f>
        <v/>
      </c>
      <c r="E68" s="55" t="str">
        <f>IF(C68=0,0,IF(C68="","",D68+MROUND(calcoli!$C$37,0.01)))</f>
        <v/>
      </c>
      <c r="F68" s="54" t="str">
        <f>IF(B68=0,0,IF(B68&gt;calcoli!$C$11,"",C68-G68))</f>
        <v/>
      </c>
      <c r="G68" s="54" t="str">
        <f>IF(B68=0,0,IF(B68&gt;calcoli!$C$11,"",'sviluppo p. amm.to'!J67*calcoli!$C$10/12))</f>
        <v/>
      </c>
      <c r="H68" s="56" t="str">
        <f>IF(B68=0,0,IF(B68&gt;calcoli!$C$11,"",G68+calcoli!$C$36-calcoli!$C$35))</f>
        <v/>
      </c>
      <c r="I68" s="52" t="str">
        <f t="shared" si="1"/>
        <v/>
      </c>
      <c r="J68" s="13" t="str">
        <f t="shared" si="2"/>
        <v/>
      </c>
      <c r="K68" s="55" t="str">
        <f>IF(B68=0,0,IF(B68&gt;calcoli!$C$11,"",$K$3))</f>
        <v/>
      </c>
      <c r="L68" s="29" t="str">
        <f t="shared" si="6"/>
        <v/>
      </c>
      <c r="M68" s="29" t="str">
        <f t="shared" si="7"/>
        <v/>
      </c>
      <c r="N68" s="13"/>
      <c r="O68" s="77"/>
      <c r="P68" s="17" t="str">
        <f>IF(A68&lt;calcoli!$C$11,calcoli!$C$36,IF(AND(calcoli!$C$8="maxirata",'sviluppo p. amm.to'!A68=calcoli!$C$11),calcoli!$C$46,IF('sviluppo p. amm.to'!A68=calcoli!$C$11,calcoli!$C$36,"")))</f>
        <v/>
      </c>
      <c r="Q68" s="59" t="str">
        <f t="shared" si="3"/>
        <v/>
      </c>
      <c r="R68" s="19" t="str">
        <f>IF(E68="","",IF(calcoli!$C$11&gt;18,E68+K68+L68+IF($M$2&lt;$N$2,M68,N68),E68+K68+L68+M68))</f>
        <v/>
      </c>
      <c r="S68" s="53"/>
      <c r="T68" s="88" t="str">
        <f>IF(A68&lt;calcoli!$C$11,calcoli!$C$58,IF(AND(calcoli!$C$8="maxirata",'sviluppo p. amm.to'!A68=calcoli!$C$11),calcoli!$C$46,IF('sviluppo p. amm.to'!A68=calcoli!$C$11,calcoli!$C$58,"")))</f>
        <v/>
      </c>
      <c r="U68" s="53"/>
      <c r="V68" s="67" t="str">
        <f>IF(calcoli!$C$8="MAXIRATA",IF(SIMULATORE!$E$16&gt;='sviluppo p. amm.to'!A68,calcoli!$C$50,""),"")</f>
        <v/>
      </c>
      <c r="W68" s="60" t="str">
        <f>IF(calcoli!$C$8="MAXIRATA",IF(SIMULATORE!$E$16&gt;='sviluppo p. amm.to'!A68,calcoli!$C$50+$K$3+IF(C68="",0,IF($M$2&lt;$N$2,IF(MOD(A68,12)&gt;0,0,1),0)),""),"")</f>
        <v/>
      </c>
      <c r="X68" s="22" t="str">
        <f>IF(calcoli!$C$8="MAXIRATA",IF(SIMULATORE!$E$16&gt;='sviluppo p. amm.to'!A68,calcoli!$C$50+$K$3+IF(C68="",0,IF($M$2&lt;$N$2,IF(MOD(A68,12)&gt;0,0,3),0)),""),"")</f>
        <v/>
      </c>
      <c r="Y68" s="53"/>
      <c r="AA68" s="61"/>
      <c r="AB68" s="61"/>
    </row>
    <row r="69" spans="1:28" hidden="1">
      <c r="A69" s="7">
        <v>64</v>
      </c>
      <c r="B69" s="7">
        <f t="shared" si="5"/>
        <v>64</v>
      </c>
      <c r="C69" s="54" t="str">
        <f>IF(B69=0,0,IF(calcoli!$C$8="MAXIRATA",IF('sviluppo p. amm.to'!B69=calcoli!$C$11,calcoli!$C$46,IF(B69&gt;calcoli!$C$11,"",calcoli!$C$35)),IF(B69&gt;calcoli!$C$11,"",calcoli!$C$35)))</f>
        <v/>
      </c>
      <c r="D69" s="54" t="str">
        <f>IF(B69=0,0,IF(calcoli!$C$8="MAXIRATA",IF('sviluppo p. amm.to'!B69=calcoli!$C$11,calcoli!$C$46,IF(B69&gt;calcoli!$C$11,"",calcoli!$C$36)),IF(B69&gt;calcoli!$C$11,"",calcoli!$C$36)))</f>
        <v/>
      </c>
      <c r="E69" s="55" t="str">
        <f>IF(C69=0,0,IF(C69="","",D69+MROUND(calcoli!$C$37,0.01)))</f>
        <v/>
      </c>
      <c r="F69" s="54" t="str">
        <f>IF(B69=0,0,IF(B69&gt;calcoli!$C$11,"",C69-G69))</f>
        <v/>
      </c>
      <c r="G69" s="54" t="str">
        <f>IF(B69=0,0,IF(B69&gt;calcoli!$C$11,"",'sviluppo p. amm.to'!J68*calcoli!$C$10/12))</f>
        <v/>
      </c>
      <c r="H69" s="56" t="str">
        <f>IF(B69=0,0,IF(B69&gt;calcoli!$C$11,"",G69+calcoli!$C$36-calcoli!$C$35))</f>
        <v/>
      </c>
      <c r="I69" s="52" t="str">
        <f t="shared" si="1"/>
        <v/>
      </c>
      <c r="J69" s="13" t="str">
        <f t="shared" si="2"/>
        <v/>
      </c>
      <c r="K69" s="55" t="str">
        <f>IF(B69=0,0,IF(B69&gt;calcoli!$C$11,"",$K$3))</f>
        <v/>
      </c>
      <c r="L69" s="29" t="str">
        <f t="shared" si="6"/>
        <v/>
      </c>
      <c r="M69" s="29" t="str">
        <f t="shared" si="7"/>
        <v/>
      </c>
      <c r="N69" s="13"/>
      <c r="O69" s="77"/>
      <c r="P69" s="17" t="str">
        <f>IF(A69&lt;calcoli!$C$11,calcoli!$C$36,IF(AND(calcoli!$C$8="maxirata",'sviluppo p. amm.to'!A69=calcoli!$C$11),calcoli!$C$46,IF('sviluppo p. amm.to'!A69=calcoli!$C$11,calcoli!$C$36,"")))</f>
        <v/>
      </c>
      <c r="Q69" s="59" t="str">
        <f t="shared" si="3"/>
        <v/>
      </c>
      <c r="R69" s="19" t="str">
        <f>IF(E69="","",IF(calcoli!$C$11&gt;18,E69+K69+L69+IF($M$2&lt;$N$2,M69,N69),E69+K69+L69+M69))</f>
        <v/>
      </c>
      <c r="S69" s="53"/>
      <c r="T69" s="88" t="str">
        <f>IF(A69&lt;calcoli!$C$11,calcoli!$C$58,IF(AND(calcoli!$C$8="maxirata",'sviluppo p. amm.to'!A69=calcoli!$C$11),calcoli!$C$46,IF('sviluppo p. amm.to'!A69=calcoli!$C$11,calcoli!$C$58,"")))</f>
        <v/>
      </c>
      <c r="U69" s="53"/>
      <c r="V69" s="67" t="str">
        <f>IF(calcoli!$C$8="MAXIRATA",IF(SIMULATORE!$E$16&gt;='sviluppo p. amm.to'!A69,calcoli!$C$50,""),"")</f>
        <v/>
      </c>
      <c r="W69" s="60" t="str">
        <f>IF(calcoli!$C$8="MAXIRATA",IF(SIMULATORE!$E$16&gt;='sviluppo p. amm.to'!A69,calcoli!$C$50+$K$3+IF(C69="",0,IF($M$2&lt;$N$2,IF(MOD(A69,12)&gt;0,0,1),0)),""),"")</f>
        <v/>
      </c>
      <c r="X69" s="22" t="str">
        <f>IF(calcoli!$C$8="MAXIRATA",IF(SIMULATORE!$E$16&gt;='sviluppo p. amm.to'!A69,calcoli!$C$50+$K$3+IF(C69="",0,IF($M$2&lt;$N$2,IF(MOD(A69,12)&gt;0,0,3),0)),""),"")</f>
        <v/>
      </c>
      <c r="Y69" s="53"/>
      <c r="AA69" s="61"/>
      <c r="AB69" s="61"/>
    </row>
    <row r="70" spans="1:28" hidden="1">
      <c r="A70" s="7">
        <v>65</v>
      </c>
      <c r="B70" s="7">
        <f t="shared" si="5"/>
        <v>65</v>
      </c>
      <c r="C70" s="54" t="str">
        <f>IF(B70=0,0,IF(calcoli!$C$8="MAXIRATA",IF('sviluppo p. amm.to'!B70=calcoli!$C$11,calcoli!$C$46,IF(B70&gt;calcoli!$C$11,"",calcoli!$C$35)),IF(B70&gt;calcoli!$C$11,"",calcoli!$C$35)))</f>
        <v/>
      </c>
      <c r="D70" s="54" t="str">
        <f>IF(B70=0,0,IF(calcoli!$C$8="MAXIRATA",IF('sviluppo p. amm.to'!B70=calcoli!$C$11,calcoli!$C$46,IF(B70&gt;calcoli!$C$11,"",calcoli!$C$36)),IF(B70&gt;calcoli!$C$11,"",calcoli!$C$36)))</f>
        <v/>
      </c>
      <c r="E70" s="55" t="str">
        <f>IF(C70=0,0,IF(C70="","",D70+MROUND(calcoli!$C$37,0.01)))</f>
        <v/>
      </c>
      <c r="F70" s="54" t="str">
        <f>IF(B70=0,0,IF(B70&gt;calcoli!$C$11,"",C70-G70))</f>
        <v/>
      </c>
      <c r="G70" s="54" t="str">
        <f>IF(B70=0,0,IF(B70&gt;calcoli!$C$11,"",'sviluppo p. amm.to'!J69*calcoli!$C$10/12))</f>
        <v/>
      </c>
      <c r="H70" s="56" t="str">
        <f>IF(B70=0,0,IF(B70&gt;calcoli!$C$11,"",G70+calcoli!$C$36-calcoli!$C$35))</f>
        <v/>
      </c>
      <c r="I70" s="52" t="str">
        <f t="shared" si="1"/>
        <v/>
      </c>
      <c r="J70" s="13" t="str">
        <f t="shared" si="2"/>
        <v/>
      </c>
      <c r="K70" s="55" t="str">
        <f>IF(B70=0,0,IF(B70&gt;calcoli!$C$11,"",$K$3))</f>
        <v/>
      </c>
      <c r="L70" s="29" t="str">
        <f t="shared" ref="L70:L101" si="8">IF(C70="","",IF(MOD(A70,12)&gt;0,0,$L$3))</f>
        <v/>
      </c>
      <c r="M70" s="29" t="str">
        <f t="shared" ref="M70:M101" si="9">IF(C70&lt;&gt;"",IF(B70=1,16,0)+IF(C70=0,0,IF(MOD(A70,12)&gt;0,0,$M$3)),"")</f>
        <v/>
      </c>
      <c r="N70" s="13"/>
      <c r="O70" s="77"/>
      <c r="P70" s="17" t="str">
        <f>IF(A70&lt;calcoli!$C$11,calcoli!$C$36,IF(AND(calcoli!$C$8="maxirata",'sviluppo p. amm.to'!A70=calcoli!$C$11),calcoli!$C$46,IF('sviluppo p. amm.to'!A70=calcoli!$C$11,calcoli!$C$36,"")))</f>
        <v/>
      </c>
      <c r="Q70" s="59" t="str">
        <f t="shared" si="3"/>
        <v/>
      </c>
      <c r="R70" s="19" t="str">
        <f>IF(E70="","",IF(calcoli!$C$11&gt;18,E70+K70+L70+IF($M$2&lt;$N$2,M70,N70),E70+K70+L70+M70))</f>
        <v/>
      </c>
      <c r="S70" s="53"/>
      <c r="T70" s="88" t="str">
        <f>IF(A70&lt;calcoli!$C$11,calcoli!$C$58,IF(AND(calcoli!$C$8="maxirata",'sviluppo p. amm.to'!A70=calcoli!$C$11),calcoli!$C$46,IF('sviluppo p. amm.to'!A70=calcoli!$C$11,calcoli!$C$58,"")))</f>
        <v/>
      </c>
      <c r="U70" s="53"/>
      <c r="V70" s="67" t="str">
        <f>IF(calcoli!$C$8="MAXIRATA",IF(SIMULATORE!$E$16&gt;='sviluppo p. amm.to'!A70,calcoli!$C$50,""),"")</f>
        <v/>
      </c>
      <c r="W70" s="60" t="str">
        <f>IF(calcoli!$C$8="MAXIRATA",IF(SIMULATORE!$E$16&gt;='sviluppo p. amm.to'!A70,calcoli!$C$50+$K$3+IF(C70="",0,IF($M$2&lt;$N$2,IF(MOD(A70,12)&gt;0,0,1),0)),""),"")</f>
        <v/>
      </c>
      <c r="X70" s="22" t="str">
        <f>IF(calcoli!$C$8="MAXIRATA",IF(SIMULATORE!$E$16&gt;='sviluppo p. amm.to'!A70,calcoli!$C$50+$K$3+IF(C70="",0,IF($M$2&lt;$N$2,IF(MOD(A70,12)&gt;0,0,3),0)),""),"")</f>
        <v/>
      </c>
      <c r="Y70" s="53"/>
      <c r="AA70" s="61"/>
      <c r="AB70" s="61"/>
    </row>
    <row r="71" spans="1:28" hidden="1">
      <c r="A71" s="7">
        <v>66</v>
      </c>
      <c r="B71" s="7">
        <f t="shared" si="5"/>
        <v>66</v>
      </c>
      <c r="C71" s="54" t="str">
        <f>IF(B71=0,0,IF(calcoli!$C$8="MAXIRATA",IF('sviluppo p. amm.to'!B71=calcoli!$C$11,calcoli!$C$46,IF(B71&gt;calcoli!$C$11,"",calcoli!$C$35)),IF(B71&gt;calcoli!$C$11,"",calcoli!$C$35)))</f>
        <v/>
      </c>
      <c r="D71" s="54" t="str">
        <f>IF(B71=0,0,IF(calcoli!$C$8="MAXIRATA",IF('sviluppo p. amm.to'!B71=calcoli!$C$11,calcoli!$C$46,IF(B71&gt;calcoli!$C$11,"",calcoli!$C$36)),IF(B71&gt;calcoli!$C$11,"",calcoli!$C$36)))</f>
        <v/>
      </c>
      <c r="E71" s="55" t="str">
        <f>IF(C71=0,0,IF(C71="","",D71+MROUND(calcoli!$C$37,0.01)))</f>
        <v/>
      </c>
      <c r="F71" s="54" t="str">
        <f>IF(B71=0,0,IF(B71&gt;calcoli!$C$11,"",C71-G71))</f>
        <v/>
      </c>
      <c r="G71" s="54" t="str">
        <f>IF(B71=0,0,IF(B71&gt;calcoli!$C$11,"",'sviluppo p. amm.to'!J70*calcoli!$C$10/12))</f>
        <v/>
      </c>
      <c r="H71" s="56" t="str">
        <f>IF(B71=0,0,IF(B71&gt;calcoli!$C$11,"",G71+calcoli!$C$36-calcoli!$C$35))</f>
        <v/>
      </c>
      <c r="I71" s="52" t="str">
        <f t="shared" ref="I71:I134" si="10">IF(C71="","",I70+F71)</f>
        <v/>
      </c>
      <c r="J71" s="13" t="str">
        <f t="shared" ref="J71:J134" si="11">IF(C71="","",J70-F71)</f>
        <v/>
      </c>
      <c r="K71" s="55" t="str">
        <f>IF(B71=0,0,IF(B71&gt;calcoli!$C$11,"",$K$3))</f>
        <v/>
      </c>
      <c r="L71" s="29" t="str">
        <f t="shared" si="8"/>
        <v/>
      </c>
      <c r="M71" s="29" t="str">
        <f t="shared" si="9"/>
        <v/>
      </c>
      <c r="N71" s="13"/>
      <c r="O71" s="77"/>
      <c r="P71" s="17" t="str">
        <f>IF(A71&lt;calcoli!$C$11,calcoli!$C$36,IF(AND(calcoli!$C$8="maxirata",'sviluppo p. amm.to'!A71=calcoli!$C$11),calcoli!$C$46,IF('sviluppo p. amm.to'!A71=calcoli!$C$11,calcoli!$C$36,"")))</f>
        <v/>
      </c>
      <c r="Q71" s="59" t="str">
        <f t="shared" ref="Q71:Q134" si="12">IF(E71="","",E71+K71+L71)</f>
        <v/>
      </c>
      <c r="R71" s="19" t="str">
        <f>IF(E71="","",IF(calcoli!$C$11&gt;18,E71+K71+L71+IF($M$2&lt;$N$2,M71,N71),E71+K71+L71+M71))</f>
        <v/>
      </c>
      <c r="S71" s="53"/>
      <c r="T71" s="88" t="str">
        <f>IF(A71&lt;calcoli!$C$11,calcoli!$C$58,IF(AND(calcoli!$C$8="maxirata",'sviluppo p. amm.to'!A71=calcoli!$C$11),calcoli!$C$46,IF('sviluppo p. amm.to'!A71=calcoli!$C$11,calcoli!$C$58,"")))</f>
        <v/>
      </c>
      <c r="U71" s="53"/>
      <c r="V71" s="67" t="str">
        <f>IF(calcoli!$C$8="MAXIRATA",IF(SIMULATORE!$E$16&gt;='sviluppo p. amm.to'!A71,calcoli!$C$50,""),"")</f>
        <v/>
      </c>
      <c r="W71" s="60" t="str">
        <f>IF(calcoli!$C$8="MAXIRATA",IF(SIMULATORE!$E$16&gt;='sviluppo p. amm.to'!A71,calcoli!$C$50+$K$3+IF(C71="",0,IF($M$2&lt;$N$2,IF(MOD(A71,12)&gt;0,0,1),0)),""),"")</f>
        <v/>
      </c>
      <c r="X71" s="22" t="str">
        <f>IF(calcoli!$C$8="MAXIRATA",IF(SIMULATORE!$E$16&gt;='sviluppo p. amm.to'!A71,calcoli!$C$50+$K$3+IF(C71="",0,IF($M$2&lt;$N$2,IF(MOD(A71,12)&gt;0,0,3),0)),""),"")</f>
        <v/>
      </c>
      <c r="Y71" s="53"/>
      <c r="AA71" s="61"/>
      <c r="AB71" s="61"/>
    </row>
    <row r="72" spans="1:28" hidden="1">
      <c r="A72" s="7">
        <v>67</v>
      </c>
      <c r="B72" s="7">
        <f t="shared" si="5"/>
        <v>67</v>
      </c>
      <c r="C72" s="54" t="str">
        <f>IF(B72=0,0,IF(calcoli!$C$8="MAXIRATA",IF('sviluppo p. amm.to'!B72=calcoli!$C$11,calcoli!$C$46,IF(B72&gt;calcoli!$C$11,"",calcoli!$C$35)),IF(B72&gt;calcoli!$C$11,"",calcoli!$C$35)))</f>
        <v/>
      </c>
      <c r="D72" s="54" t="str">
        <f>IF(B72=0,0,IF(calcoli!$C$8="MAXIRATA",IF('sviluppo p. amm.to'!B72=calcoli!$C$11,calcoli!$C$46,IF(B72&gt;calcoli!$C$11,"",calcoli!$C$36)),IF(B72&gt;calcoli!$C$11,"",calcoli!$C$36)))</f>
        <v/>
      </c>
      <c r="E72" s="55" t="str">
        <f>IF(C72=0,0,IF(C72="","",D72+MROUND(calcoli!$C$37,0.01)))</f>
        <v/>
      </c>
      <c r="F72" s="54" t="str">
        <f>IF(B72=0,0,IF(B72&gt;calcoli!$C$11,"",C72-G72))</f>
        <v/>
      </c>
      <c r="G72" s="54" t="str">
        <f>IF(B72=0,0,IF(B72&gt;calcoli!$C$11,"",'sviluppo p. amm.to'!J71*calcoli!$C$10/12))</f>
        <v/>
      </c>
      <c r="H72" s="56" t="str">
        <f>IF(B72=0,0,IF(B72&gt;calcoli!$C$11,"",G72+calcoli!$C$36-calcoli!$C$35))</f>
        <v/>
      </c>
      <c r="I72" s="52" t="str">
        <f t="shared" si="10"/>
        <v/>
      </c>
      <c r="J72" s="13" t="str">
        <f t="shared" si="11"/>
        <v/>
      </c>
      <c r="K72" s="55" t="str">
        <f>IF(B72=0,0,IF(B72&gt;calcoli!$C$11,"",$K$3))</f>
        <v/>
      </c>
      <c r="L72" s="29" t="str">
        <f t="shared" si="8"/>
        <v/>
      </c>
      <c r="M72" s="29" t="str">
        <f t="shared" si="9"/>
        <v/>
      </c>
      <c r="N72" s="13"/>
      <c r="O72" s="77"/>
      <c r="P72" s="17" t="str">
        <f>IF(A72&lt;calcoli!$C$11,calcoli!$C$36,IF(AND(calcoli!$C$8="maxirata",'sviluppo p. amm.to'!A72=calcoli!$C$11),calcoli!$C$46,IF('sviluppo p. amm.to'!A72=calcoli!$C$11,calcoli!$C$36,"")))</f>
        <v/>
      </c>
      <c r="Q72" s="59" t="str">
        <f t="shared" si="12"/>
        <v/>
      </c>
      <c r="R72" s="19" t="str">
        <f>IF(E72="","",IF(calcoli!$C$11&gt;18,E72+K72+L72+IF($M$2&lt;$N$2,M72,N72),E72+K72+L72+M72))</f>
        <v/>
      </c>
      <c r="S72" s="53"/>
      <c r="T72" s="88" t="str">
        <f>IF(A72&lt;calcoli!$C$11,calcoli!$C$58,IF(AND(calcoli!$C$8="maxirata",'sviluppo p. amm.to'!A72=calcoli!$C$11),calcoli!$C$46,IF('sviluppo p. amm.to'!A72=calcoli!$C$11,calcoli!$C$58,"")))</f>
        <v/>
      </c>
      <c r="U72" s="53"/>
      <c r="V72" s="67" t="str">
        <f>IF(calcoli!$C$8="MAXIRATA",IF(SIMULATORE!$E$16&gt;='sviluppo p. amm.to'!A72,calcoli!$C$50,""),"")</f>
        <v/>
      </c>
      <c r="W72" s="60" t="str">
        <f>IF(calcoli!$C$8="MAXIRATA",IF(SIMULATORE!$E$16&gt;='sviluppo p. amm.to'!A72,calcoli!$C$50+$K$3+IF(C72="",0,IF($M$2&lt;$N$2,IF(MOD(A72,12)&gt;0,0,1),0)),""),"")</f>
        <v/>
      </c>
      <c r="X72" s="22" t="str">
        <f>IF(calcoli!$C$8="MAXIRATA",IF(SIMULATORE!$E$16&gt;='sviluppo p. amm.to'!A72,calcoli!$C$50+$K$3+IF(C72="",0,IF($M$2&lt;$N$2,IF(MOD(A72,12)&gt;0,0,3),0)),""),"")</f>
        <v/>
      </c>
      <c r="Y72" s="53"/>
      <c r="AA72" s="61"/>
      <c r="AB72" s="61"/>
    </row>
    <row r="73" spans="1:28" hidden="1">
      <c r="A73" s="7">
        <v>68</v>
      </c>
      <c r="B73" s="7">
        <f t="shared" si="5"/>
        <v>68</v>
      </c>
      <c r="C73" s="54" t="str">
        <f>IF(B73=0,0,IF(calcoli!$C$8="MAXIRATA",IF('sviluppo p. amm.to'!B73=calcoli!$C$11,calcoli!$C$46,IF(B73&gt;calcoli!$C$11,"",calcoli!$C$35)),IF(B73&gt;calcoli!$C$11,"",calcoli!$C$35)))</f>
        <v/>
      </c>
      <c r="D73" s="54" t="str">
        <f>IF(B73=0,0,IF(calcoli!$C$8="MAXIRATA",IF('sviluppo p. amm.to'!B73=calcoli!$C$11,calcoli!$C$46,IF(B73&gt;calcoli!$C$11,"",calcoli!$C$36)),IF(B73&gt;calcoli!$C$11,"",calcoli!$C$36)))</f>
        <v/>
      </c>
      <c r="E73" s="55" t="str">
        <f>IF(C73=0,0,IF(C73="","",D73+MROUND(calcoli!$C$37,0.01)))</f>
        <v/>
      </c>
      <c r="F73" s="54" t="str">
        <f>IF(B73=0,0,IF(B73&gt;calcoli!$C$11,"",C73-G73))</f>
        <v/>
      </c>
      <c r="G73" s="54" t="str">
        <f>IF(B73=0,0,IF(B73&gt;calcoli!$C$11,"",'sviluppo p. amm.to'!J72*calcoli!$C$10/12))</f>
        <v/>
      </c>
      <c r="H73" s="56" t="str">
        <f>IF(B73=0,0,IF(B73&gt;calcoli!$C$11,"",G73+calcoli!$C$36-calcoli!$C$35))</f>
        <v/>
      </c>
      <c r="I73" s="52" t="str">
        <f t="shared" si="10"/>
        <v/>
      </c>
      <c r="J73" s="13" t="str">
        <f t="shared" si="11"/>
        <v/>
      </c>
      <c r="K73" s="55" t="str">
        <f>IF(B73=0,0,IF(B73&gt;calcoli!$C$11,"",$K$3))</f>
        <v/>
      </c>
      <c r="L73" s="29" t="str">
        <f t="shared" si="8"/>
        <v/>
      </c>
      <c r="M73" s="29" t="str">
        <f t="shared" si="9"/>
        <v/>
      </c>
      <c r="N73" s="13"/>
      <c r="O73" s="77"/>
      <c r="P73" s="17" t="str">
        <f>IF(A73&lt;calcoli!$C$11,calcoli!$C$36,IF(AND(calcoli!$C$8="maxirata",'sviluppo p. amm.to'!A73=calcoli!$C$11),calcoli!$C$46,IF('sviluppo p. amm.to'!A73=calcoli!$C$11,calcoli!$C$36,"")))</f>
        <v/>
      </c>
      <c r="Q73" s="59" t="str">
        <f t="shared" si="12"/>
        <v/>
      </c>
      <c r="R73" s="19" t="str">
        <f>IF(E73="","",IF(calcoli!$C$11&gt;18,E73+K73+L73+IF($M$2&lt;$N$2,M73,N73),E73+K73+L73+M73))</f>
        <v/>
      </c>
      <c r="S73" s="53"/>
      <c r="T73" s="88" t="str">
        <f>IF(A73&lt;calcoli!$C$11,calcoli!$C$58,IF(AND(calcoli!$C$8="maxirata",'sviluppo p. amm.to'!A73=calcoli!$C$11),calcoli!$C$46,IF('sviluppo p. amm.to'!A73=calcoli!$C$11,calcoli!$C$58,"")))</f>
        <v/>
      </c>
      <c r="U73" s="53"/>
      <c r="V73" s="67" t="str">
        <f>IF(calcoli!$C$8="MAXIRATA",IF(SIMULATORE!$E$16&gt;='sviluppo p. amm.to'!A73,calcoli!$C$50,""),"")</f>
        <v/>
      </c>
      <c r="W73" s="60" t="str">
        <f>IF(calcoli!$C$8="MAXIRATA",IF(SIMULATORE!$E$16&gt;='sviluppo p. amm.to'!A73,calcoli!$C$50+$K$3+IF(C73="",0,IF($M$2&lt;$N$2,IF(MOD(A73,12)&gt;0,0,1),0)),""),"")</f>
        <v/>
      </c>
      <c r="X73" s="22" t="str">
        <f>IF(calcoli!$C$8="MAXIRATA",IF(SIMULATORE!$E$16&gt;='sviluppo p. amm.to'!A73,calcoli!$C$50+$K$3+IF(C73="",0,IF($M$2&lt;$N$2,IF(MOD(A73,12)&gt;0,0,3),0)),""),"")</f>
        <v/>
      </c>
      <c r="Y73" s="53"/>
      <c r="AA73" s="61"/>
      <c r="AB73" s="61"/>
    </row>
    <row r="74" spans="1:28" hidden="1">
      <c r="A74" s="7">
        <v>69</v>
      </c>
      <c r="B74" s="7">
        <f t="shared" si="5"/>
        <v>69</v>
      </c>
      <c r="C74" s="54" t="str">
        <f>IF(B74=0,0,IF(calcoli!$C$8="MAXIRATA",IF('sviluppo p. amm.to'!B74=calcoli!$C$11,calcoli!$C$46,IF(B74&gt;calcoli!$C$11,"",calcoli!$C$35)),IF(B74&gt;calcoli!$C$11,"",calcoli!$C$35)))</f>
        <v/>
      </c>
      <c r="D74" s="54" t="str">
        <f>IF(B74=0,0,IF(calcoli!$C$8="MAXIRATA",IF('sviluppo p. amm.to'!B74=calcoli!$C$11,calcoli!$C$46,IF(B74&gt;calcoli!$C$11,"",calcoli!$C$36)),IF(B74&gt;calcoli!$C$11,"",calcoli!$C$36)))</f>
        <v/>
      </c>
      <c r="E74" s="55" t="str">
        <f>IF(C74=0,0,IF(C74="","",D74+MROUND(calcoli!$C$37,0.01)))</f>
        <v/>
      </c>
      <c r="F74" s="54" t="str">
        <f>IF(B74=0,0,IF(B74&gt;calcoli!$C$11,"",C74-G74))</f>
        <v/>
      </c>
      <c r="G74" s="54" t="str">
        <f>IF(B74=0,0,IF(B74&gt;calcoli!$C$11,"",'sviluppo p. amm.to'!J73*calcoli!$C$10/12))</f>
        <v/>
      </c>
      <c r="H74" s="56" t="str">
        <f>IF(B74=0,0,IF(B74&gt;calcoli!$C$11,"",G74+calcoli!$C$36-calcoli!$C$35))</f>
        <v/>
      </c>
      <c r="I74" s="52" t="str">
        <f t="shared" si="10"/>
        <v/>
      </c>
      <c r="J74" s="13" t="str">
        <f t="shared" si="11"/>
        <v/>
      </c>
      <c r="K74" s="55" t="str">
        <f>IF(B74=0,0,IF(B74&gt;calcoli!$C$11,"",$K$3))</f>
        <v/>
      </c>
      <c r="L74" s="29" t="str">
        <f t="shared" si="8"/>
        <v/>
      </c>
      <c r="M74" s="29" t="str">
        <f t="shared" si="9"/>
        <v/>
      </c>
      <c r="N74" s="13"/>
      <c r="O74" s="77"/>
      <c r="P74" s="17" t="str">
        <f>IF(A74&lt;calcoli!$C$11,calcoli!$C$36,IF(AND(calcoli!$C$8="maxirata",'sviluppo p. amm.to'!A74=calcoli!$C$11),calcoli!$C$46,IF('sviluppo p. amm.to'!A74=calcoli!$C$11,calcoli!$C$36,"")))</f>
        <v/>
      </c>
      <c r="Q74" s="59" t="str">
        <f t="shared" si="12"/>
        <v/>
      </c>
      <c r="R74" s="19" t="str">
        <f>IF(E74="","",IF(calcoli!$C$11&gt;18,E74+K74+L74+IF($M$2&lt;$N$2,M74,N74),E74+K74+L74+M74))</f>
        <v/>
      </c>
      <c r="S74" s="53"/>
      <c r="T74" s="88" t="str">
        <f>IF(A74&lt;calcoli!$C$11,calcoli!$C$58,IF(AND(calcoli!$C$8="maxirata",'sviluppo p. amm.to'!A74=calcoli!$C$11),calcoli!$C$46,IF('sviluppo p. amm.to'!A74=calcoli!$C$11,calcoli!$C$58,"")))</f>
        <v/>
      </c>
      <c r="U74" s="53"/>
      <c r="V74" s="67" t="str">
        <f>IF(calcoli!$C$8="MAXIRATA",IF(SIMULATORE!$E$16&gt;='sviluppo p. amm.to'!A74,calcoli!$C$50,""),"")</f>
        <v/>
      </c>
      <c r="W74" s="60" t="str">
        <f>IF(calcoli!$C$8="MAXIRATA",IF(SIMULATORE!$E$16&gt;='sviluppo p. amm.to'!A74,calcoli!$C$50+$K$3+IF(C74="",0,IF($M$2&lt;$N$2,IF(MOD(A74,12)&gt;0,0,1),0)),""),"")</f>
        <v/>
      </c>
      <c r="X74" s="22" t="str">
        <f>IF(calcoli!$C$8="MAXIRATA",IF(SIMULATORE!$E$16&gt;='sviluppo p. amm.to'!A74,calcoli!$C$50+$K$3+IF(C74="",0,IF($M$2&lt;$N$2,IF(MOD(A74,12)&gt;0,0,3),0)),""),"")</f>
        <v/>
      </c>
      <c r="Y74" s="53"/>
      <c r="AA74" s="61"/>
      <c r="AB74" s="61"/>
    </row>
    <row r="75" spans="1:28" hidden="1">
      <c r="A75" s="7">
        <v>70</v>
      </c>
      <c r="B75" s="7">
        <f t="shared" si="5"/>
        <v>70</v>
      </c>
      <c r="C75" s="54" t="str">
        <f>IF(B75=0,0,IF(calcoli!$C$8="MAXIRATA",IF('sviluppo p. amm.to'!B75=calcoli!$C$11,calcoli!$C$46,IF(B75&gt;calcoli!$C$11,"",calcoli!$C$35)),IF(B75&gt;calcoli!$C$11,"",calcoli!$C$35)))</f>
        <v/>
      </c>
      <c r="D75" s="54" t="str">
        <f>IF(B75=0,0,IF(calcoli!$C$8="MAXIRATA",IF('sviluppo p. amm.to'!B75=calcoli!$C$11,calcoli!$C$46,IF(B75&gt;calcoli!$C$11,"",calcoli!$C$36)),IF(B75&gt;calcoli!$C$11,"",calcoli!$C$36)))</f>
        <v/>
      </c>
      <c r="E75" s="55" t="str">
        <f>IF(C75=0,0,IF(C75="","",D75+MROUND(calcoli!$C$37,0.01)))</f>
        <v/>
      </c>
      <c r="F75" s="54" t="str">
        <f>IF(B75=0,0,IF(B75&gt;calcoli!$C$11,"",C75-G75))</f>
        <v/>
      </c>
      <c r="G75" s="54" t="str">
        <f>IF(B75=0,0,IF(B75&gt;calcoli!$C$11,"",'sviluppo p. amm.to'!J74*calcoli!$C$10/12))</f>
        <v/>
      </c>
      <c r="H75" s="56" t="str">
        <f>IF(B75=0,0,IF(B75&gt;calcoli!$C$11,"",G75+calcoli!$C$36-calcoli!$C$35))</f>
        <v/>
      </c>
      <c r="I75" s="52" t="str">
        <f t="shared" si="10"/>
        <v/>
      </c>
      <c r="J75" s="13" t="str">
        <f t="shared" si="11"/>
        <v/>
      </c>
      <c r="K75" s="55" t="str">
        <f>IF(B75=0,0,IF(B75&gt;calcoli!$C$11,"",$K$3))</f>
        <v/>
      </c>
      <c r="L75" s="29" t="str">
        <f t="shared" si="8"/>
        <v/>
      </c>
      <c r="M75" s="29" t="str">
        <f t="shared" si="9"/>
        <v/>
      </c>
      <c r="N75" s="13"/>
      <c r="O75" s="77"/>
      <c r="P75" s="17" t="str">
        <f>IF(A75&lt;calcoli!$C$11,calcoli!$C$36,IF(AND(calcoli!$C$8="maxirata",'sviluppo p. amm.to'!A75=calcoli!$C$11),calcoli!$C$46,IF('sviluppo p. amm.to'!A75=calcoli!$C$11,calcoli!$C$36,"")))</f>
        <v/>
      </c>
      <c r="Q75" s="59" t="str">
        <f t="shared" si="12"/>
        <v/>
      </c>
      <c r="R75" s="19" t="str">
        <f>IF(E75="","",IF(calcoli!$C$11&gt;18,E75+K75+L75+IF($M$2&lt;$N$2,M75,N75),E75+K75+L75+M75))</f>
        <v/>
      </c>
      <c r="S75" s="53"/>
      <c r="T75" s="88" t="str">
        <f>IF(A75&lt;calcoli!$C$11,calcoli!$C$58,IF(AND(calcoli!$C$8="maxirata",'sviluppo p. amm.to'!A75=calcoli!$C$11),calcoli!$C$46,IF('sviluppo p. amm.to'!A75=calcoli!$C$11,calcoli!$C$58,"")))</f>
        <v/>
      </c>
      <c r="U75" s="53"/>
      <c r="V75" s="67" t="str">
        <f>IF(calcoli!$C$8="MAXIRATA",IF(SIMULATORE!$E$16&gt;='sviluppo p. amm.to'!A75,calcoli!$C$50,""),"")</f>
        <v/>
      </c>
      <c r="W75" s="60" t="str">
        <f>IF(calcoli!$C$8="MAXIRATA",IF(SIMULATORE!$E$16&gt;='sviluppo p. amm.to'!A75,calcoli!$C$50+$K$3+IF(C75="",0,IF($M$2&lt;$N$2,IF(MOD(A75,12)&gt;0,0,1),0)),""),"")</f>
        <v/>
      </c>
      <c r="X75" s="22" t="str">
        <f>IF(calcoli!$C$8="MAXIRATA",IF(SIMULATORE!$E$16&gt;='sviluppo p. amm.to'!A75,calcoli!$C$50+$K$3+IF(C75="",0,IF($M$2&lt;$N$2,IF(MOD(A75,12)&gt;0,0,3),0)),""),"")</f>
        <v/>
      </c>
      <c r="Y75" s="53"/>
      <c r="AA75" s="61"/>
      <c r="AB75" s="61"/>
    </row>
    <row r="76" spans="1:28" hidden="1">
      <c r="A76" s="7">
        <v>71</v>
      </c>
      <c r="B76" s="7">
        <f t="shared" si="5"/>
        <v>71</v>
      </c>
      <c r="C76" s="54" t="str">
        <f>IF(B76=0,0,IF(calcoli!$C$8="MAXIRATA",IF('sviluppo p. amm.to'!B76=calcoli!$C$11,calcoli!$C$46,IF(B76&gt;calcoli!$C$11,"",calcoli!$C$35)),IF(B76&gt;calcoli!$C$11,"",calcoli!$C$35)))</f>
        <v/>
      </c>
      <c r="D76" s="54" t="str">
        <f>IF(B76=0,0,IF(calcoli!$C$8="MAXIRATA",IF('sviluppo p. amm.to'!B76=calcoli!$C$11,calcoli!$C$46,IF(B76&gt;calcoli!$C$11,"",calcoli!$C$36)),IF(B76&gt;calcoli!$C$11,"",calcoli!$C$36)))</f>
        <v/>
      </c>
      <c r="E76" s="55" t="str">
        <f>IF(C76=0,0,IF(C76="","",D76+MROUND(calcoli!$C$37,0.01)))</f>
        <v/>
      </c>
      <c r="F76" s="54" t="str">
        <f>IF(B76=0,0,IF(B76&gt;calcoli!$C$11,"",C76-G76))</f>
        <v/>
      </c>
      <c r="G76" s="54" t="str">
        <f>IF(B76=0,0,IF(B76&gt;calcoli!$C$11,"",'sviluppo p. amm.to'!J75*calcoli!$C$10/12))</f>
        <v/>
      </c>
      <c r="H76" s="56" t="str">
        <f>IF(B76=0,0,IF(B76&gt;calcoli!$C$11,"",G76+calcoli!$C$36-calcoli!$C$35))</f>
        <v/>
      </c>
      <c r="I76" s="52" t="str">
        <f t="shared" si="10"/>
        <v/>
      </c>
      <c r="J76" s="13" t="str">
        <f t="shared" si="11"/>
        <v/>
      </c>
      <c r="K76" s="55" t="str">
        <f>IF(B76=0,0,IF(B76&gt;calcoli!$C$11,"",$K$3))</f>
        <v/>
      </c>
      <c r="L76" s="29" t="str">
        <f t="shared" si="8"/>
        <v/>
      </c>
      <c r="M76" s="29" t="str">
        <f t="shared" si="9"/>
        <v/>
      </c>
      <c r="N76" s="13"/>
      <c r="O76" s="77"/>
      <c r="P76" s="17" t="str">
        <f>IF(A76&lt;calcoli!$C$11,calcoli!$C$36,IF(AND(calcoli!$C$8="maxirata",'sviluppo p. amm.to'!A76=calcoli!$C$11),calcoli!$C$46,IF('sviluppo p. amm.to'!A76=calcoli!$C$11,calcoli!$C$36,"")))</f>
        <v/>
      </c>
      <c r="Q76" s="59" t="str">
        <f t="shared" si="12"/>
        <v/>
      </c>
      <c r="R76" s="19" t="str">
        <f>IF(E76="","",IF(calcoli!$C$11&gt;18,E76+K76+L76+IF($M$2&lt;$N$2,M76,N76),E76+K76+L76+M76))</f>
        <v/>
      </c>
      <c r="S76" s="53"/>
      <c r="T76" s="88" t="str">
        <f>IF(A76&lt;calcoli!$C$11,calcoli!$C$58,IF(AND(calcoli!$C$8="maxirata",'sviluppo p. amm.to'!A76=calcoli!$C$11),calcoli!$C$46,IF('sviluppo p. amm.to'!A76=calcoli!$C$11,calcoli!$C$58,"")))</f>
        <v/>
      </c>
      <c r="U76" s="53"/>
      <c r="V76" s="67" t="str">
        <f>IF(calcoli!$C$8="MAXIRATA",IF(SIMULATORE!$E$16&gt;='sviluppo p. amm.to'!A76,calcoli!$C$50,""),"")</f>
        <v/>
      </c>
      <c r="W76" s="60" t="str">
        <f>IF(calcoli!$C$8="MAXIRATA",IF(SIMULATORE!$E$16&gt;='sviluppo p. amm.to'!A76,calcoli!$C$50+$K$3+IF(C76="",0,IF($M$2&lt;$N$2,IF(MOD(A76,12)&gt;0,0,1),0)),""),"")</f>
        <v/>
      </c>
      <c r="X76" s="22" t="str">
        <f>IF(calcoli!$C$8="MAXIRATA",IF(SIMULATORE!$E$16&gt;='sviluppo p. amm.to'!A76,calcoli!$C$50+$K$3+IF(C76="",0,IF($M$2&lt;$N$2,IF(MOD(A76,12)&gt;0,0,3),0)),""),"")</f>
        <v/>
      </c>
      <c r="Y76" s="53"/>
      <c r="AA76" s="61"/>
      <c r="AB76" s="61"/>
    </row>
    <row r="77" spans="1:28" hidden="1">
      <c r="A77" s="7">
        <v>72</v>
      </c>
      <c r="B77" s="7">
        <f t="shared" ref="B77:B140" si="13">B76+1</f>
        <v>72</v>
      </c>
      <c r="C77" s="54" t="str">
        <f>IF(B77=0,0,IF(calcoli!$C$8="MAXIRATA",IF('sviluppo p. amm.to'!B77=calcoli!$C$11,calcoli!$C$46,IF(B77&gt;calcoli!$C$11,"",calcoli!$C$35)),IF(B77&gt;calcoli!$C$11,"",calcoli!$C$35)))</f>
        <v/>
      </c>
      <c r="D77" s="54" t="str">
        <f>IF(B77=0,0,IF(calcoli!$C$8="MAXIRATA",IF('sviluppo p. amm.to'!B77=calcoli!$C$11,calcoli!$C$46,IF(B77&gt;calcoli!$C$11,"",calcoli!$C$36)),IF(B77&gt;calcoli!$C$11,"",calcoli!$C$36)))</f>
        <v/>
      </c>
      <c r="E77" s="55" t="str">
        <f>IF(C77=0,0,IF(C77="","",D77+MROUND(calcoli!$C$37,0.01)))</f>
        <v/>
      </c>
      <c r="F77" s="54" t="str">
        <f>IF(B77=0,0,IF(B77&gt;calcoli!$C$11,"",C77-G77))</f>
        <v/>
      </c>
      <c r="G77" s="54" t="str">
        <f>IF(B77=0,0,IF(B77&gt;calcoli!$C$11,"",'sviluppo p. amm.to'!J76*calcoli!$C$10/12))</f>
        <v/>
      </c>
      <c r="H77" s="56" t="str">
        <f>IF(B77=0,0,IF(B77&gt;calcoli!$C$11,"",G77+calcoli!$C$36-calcoli!$C$35))</f>
        <v/>
      </c>
      <c r="I77" s="52" t="str">
        <f t="shared" si="10"/>
        <v/>
      </c>
      <c r="J77" s="13" t="str">
        <f t="shared" si="11"/>
        <v/>
      </c>
      <c r="K77" s="55" t="str">
        <f>IF(B77=0,0,IF(B77&gt;calcoli!$C$11,"",$K$3))</f>
        <v/>
      </c>
      <c r="L77" s="29" t="str">
        <f t="shared" si="8"/>
        <v/>
      </c>
      <c r="M77" s="29" t="str">
        <f t="shared" si="9"/>
        <v/>
      </c>
      <c r="N77" s="13"/>
      <c r="O77" s="77"/>
      <c r="P77" s="17" t="str">
        <f>IF(A77&lt;calcoli!$C$11,calcoli!$C$36,IF(AND(calcoli!$C$8="maxirata",'sviluppo p. amm.to'!A77=calcoli!$C$11),calcoli!$C$46,IF('sviluppo p. amm.to'!A77=calcoli!$C$11,calcoli!$C$36,"")))</f>
        <v/>
      </c>
      <c r="Q77" s="59" t="str">
        <f t="shared" si="12"/>
        <v/>
      </c>
      <c r="R77" s="19" t="str">
        <f>IF(E77="","",IF(calcoli!$C$11&gt;18,E77+K77+L77+IF($M$2&lt;$N$2,M77,N77),E77+K77+L77+M77))</f>
        <v/>
      </c>
      <c r="S77" s="53"/>
      <c r="T77" s="88" t="str">
        <f>IF(A77&lt;calcoli!$C$11,calcoli!$C$58,IF(AND(calcoli!$C$8="maxirata",'sviluppo p. amm.to'!A77=calcoli!$C$11),calcoli!$C$46,IF('sviluppo p. amm.to'!A77=calcoli!$C$11,calcoli!$C$58,"")))</f>
        <v/>
      </c>
      <c r="U77" s="53"/>
      <c r="V77" s="67" t="str">
        <f>IF(calcoli!$C$8="MAXIRATA",IF(SIMULATORE!$E$16&gt;='sviluppo p. amm.to'!A77,calcoli!$C$50,""),"")</f>
        <v/>
      </c>
      <c r="W77" s="60" t="str">
        <f>IF(calcoli!$C$8="MAXIRATA",IF(SIMULATORE!$E$16&gt;='sviluppo p. amm.to'!A77,calcoli!$C$50+$K$3+IF(C77="",0,IF($M$2&lt;$N$2,IF(MOD(A77,12)&gt;0,0,1),0)),""),"")</f>
        <v/>
      </c>
      <c r="X77" s="22" t="str">
        <f>IF(calcoli!$C$8="MAXIRATA",IF(SIMULATORE!$E$16&gt;='sviluppo p. amm.to'!A77,calcoli!$C$50+$K$3+IF(C77="",0,IF($M$2&lt;$N$2,IF(MOD(A77,12)&gt;0,0,3),0)),""),"")</f>
        <v/>
      </c>
      <c r="Y77" s="53"/>
      <c r="AA77" s="61"/>
      <c r="AB77" s="61"/>
    </row>
    <row r="78" spans="1:28" hidden="1">
      <c r="A78" s="7">
        <v>73</v>
      </c>
      <c r="B78" s="7">
        <f t="shared" si="13"/>
        <v>73</v>
      </c>
      <c r="C78" s="54" t="str">
        <f>IF(B78=0,0,IF(calcoli!$C$8="MAXIRATA",IF('sviluppo p. amm.to'!B78=calcoli!$C$11,calcoli!$C$46,IF(B78&gt;calcoli!$C$11,"",calcoli!$C$35)),IF(B78&gt;calcoli!$C$11,"",calcoli!$C$35)))</f>
        <v/>
      </c>
      <c r="D78" s="54" t="str">
        <f>IF(B78=0,0,IF(calcoli!$C$8="MAXIRATA",IF('sviluppo p. amm.to'!B78=calcoli!$C$11,calcoli!$C$46,IF(B78&gt;calcoli!$C$11,"",calcoli!$C$36)),IF(B78&gt;calcoli!$C$11,"",calcoli!$C$36)))</f>
        <v/>
      </c>
      <c r="E78" s="55" t="str">
        <f>IF(C78=0,0,IF(C78="","",D78+MROUND(calcoli!$C$37,0.01)))</f>
        <v/>
      </c>
      <c r="F78" s="54" t="str">
        <f>IF(B78=0,0,IF(B78&gt;calcoli!$C$11,"",C78-G78))</f>
        <v/>
      </c>
      <c r="G78" s="54" t="str">
        <f>IF(B78=0,0,IF(B78&gt;calcoli!$C$11,"",'sviluppo p. amm.to'!J77*calcoli!$C$10/12))</f>
        <v/>
      </c>
      <c r="H78" s="56" t="str">
        <f>IF(B78=0,0,IF(B78&gt;calcoli!$C$11,"",G78+calcoli!$C$36-calcoli!$C$35))</f>
        <v/>
      </c>
      <c r="I78" s="52" t="str">
        <f t="shared" si="10"/>
        <v/>
      </c>
      <c r="J78" s="13" t="str">
        <f t="shared" si="11"/>
        <v/>
      </c>
      <c r="K78" s="55" t="str">
        <f>IF(B78=0,0,IF(B78&gt;calcoli!$C$11,"",$K$3))</f>
        <v/>
      </c>
      <c r="L78" s="29" t="str">
        <f t="shared" si="8"/>
        <v/>
      </c>
      <c r="M78" s="29" t="str">
        <f t="shared" si="9"/>
        <v/>
      </c>
      <c r="N78" s="13"/>
      <c r="O78" s="77"/>
      <c r="P78" s="17" t="str">
        <f>IF(A78&lt;calcoli!$C$11,calcoli!$C$36,IF(AND(calcoli!$C$8="maxirata",'sviluppo p. amm.to'!A78=calcoli!$C$11),calcoli!$C$46,IF('sviluppo p. amm.to'!A78=calcoli!$C$11,calcoli!$C$36,"")))</f>
        <v/>
      </c>
      <c r="Q78" s="59" t="str">
        <f t="shared" si="12"/>
        <v/>
      </c>
      <c r="R78" s="19" t="str">
        <f>IF(E78="","",IF(calcoli!$C$11&gt;18,E78+K78+L78+IF($M$2&lt;$N$2,M78,N78),E78+K78+L78+M78))</f>
        <v/>
      </c>
      <c r="S78" s="53"/>
      <c r="T78" s="88" t="str">
        <f>IF(A78&lt;calcoli!$C$11,calcoli!$C$58,IF(AND(calcoli!$C$8="maxirata",'sviluppo p. amm.to'!A78=calcoli!$C$11),calcoli!$C$46,IF('sviluppo p. amm.to'!A78=calcoli!$C$11,calcoli!$C$58,"")))</f>
        <v/>
      </c>
      <c r="U78" s="53"/>
      <c r="V78" s="67" t="str">
        <f>IF(calcoli!$C$8="MAXIRATA",IF(SIMULATORE!$E$16&gt;='sviluppo p. amm.to'!A78,calcoli!$C$50,""),"")</f>
        <v/>
      </c>
      <c r="W78" s="60" t="str">
        <f>IF(calcoli!$C$8="MAXIRATA",IF(SIMULATORE!$E$16&gt;='sviluppo p. amm.to'!A78,calcoli!$C$50+$K$3+IF(C78="",0,IF($M$2&lt;$N$2,IF(MOD(A78,12)&gt;0,0,1),0)),""),"")</f>
        <v/>
      </c>
      <c r="X78" s="22" t="str">
        <f>IF(calcoli!$C$8="MAXIRATA",IF(SIMULATORE!$E$16&gt;='sviluppo p. amm.to'!A78,calcoli!$C$50+$K$3+IF(C78="",0,IF($M$2&lt;$N$2,IF(MOD(A78,12)&gt;0,0,3),0)),""),"")</f>
        <v/>
      </c>
      <c r="Y78" s="53"/>
      <c r="AA78" s="61"/>
      <c r="AB78" s="61"/>
    </row>
    <row r="79" spans="1:28" hidden="1">
      <c r="A79" s="7">
        <v>74</v>
      </c>
      <c r="B79" s="7">
        <f t="shared" si="13"/>
        <v>74</v>
      </c>
      <c r="C79" s="54" t="str">
        <f>IF(B79=0,0,IF(calcoli!$C$8="MAXIRATA",IF('sviluppo p. amm.to'!B79=calcoli!$C$11,calcoli!$C$46,IF(B79&gt;calcoli!$C$11,"",calcoli!$C$35)),IF(B79&gt;calcoli!$C$11,"",calcoli!$C$35)))</f>
        <v/>
      </c>
      <c r="D79" s="54" t="str">
        <f>IF(B79=0,0,IF(calcoli!$C$8="MAXIRATA",IF('sviluppo p. amm.to'!B79=calcoli!$C$11,calcoli!$C$46,IF(B79&gt;calcoli!$C$11,"",calcoli!$C$36)),IF(B79&gt;calcoli!$C$11,"",calcoli!$C$36)))</f>
        <v/>
      </c>
      <c r="E79" s="55" t="str">
        <f>IF(C79=0,0,IF(C79="","",D79+MROUND(calcoli!$C$37,0.01)))</f>
        <v/>
      </c>
      <c r="F79" s="54" t="str">
        <f>IF(B79=0,0,IF(B79&gt;calcoli!$C$11,"",C79-G79))</f>
        <v/>
      </c>
      <c r="G79" s="54" t="str">
        <f>IF(B79=0,0,IF(B79&gt;calcoli!$C$11,"",'sviluppo p. amm.to'!J78*calcoli!$C$10/12))</f>
        <v/>
      </c>
      <c r="H79" s="56" t="str">
        <f>IF(B79=0,0,IF(B79&gt;calcoli!$C$11,"",G79+calcoli!$C$36-calcoli!$C$35))</f>
        <v/>
      </c>
      <c r="I79" s="52" t="str">
        <f t="shared" si="10"/>
        <v/>
      </c>
      <c r="J79" s="13" t="str">
        <f t="shared" si="11"/>
        <v/>
      </c>
      <c r="K79" s="55" t="str">
        <f>IF(B79=0,0,IF(B79&gt;calcoli!$C$11,"",$K$3))</f>
        <v/>
      </c>
      <c r="L79" s="29" t="str">
        <f t="shared" si="8"/>
        <v/>
      </c>
      <c r="M79" s="29" t="str">
        <f t="shared" si="9"/>
        <v/>
      </c>
      <c r="N79" s="13"/>
      <c r="O79" s="77"/>
      <c r="P79" s="17" t="str">
        <f>IF(A79&lt;calcoli!$C$11,calcoli!$C$36,IF(AND(calcoli!$C$8="maxirata",'sviluppo p. amm.to'!A79=calcoli!$C$11),calcoli!$C$46,IF('sviluppo p. amm.to'!A79=calcoli!$C$11,calcoli!$C$36,"")))</f>
        <v/>
      </c>
      <c r="Q79" s="59" t="str">
        <f t="shared" si="12"/>
        <v/>
      </c>
      <c r="R79" s="19" t="str">
        <f>IF(E79="","",IF(calcoli!$C$11&gt;18,E79+K79+L79+IF($M$2&lt;$N$2,M79,N79),E79+K79+L79+M79))</f>
        <v/>
      </c>
      <c r="S79" s="53"/>
      <c r="T79" s="88" t="str">
        <f>IF(A79&lt;calcoli!$C$11,calcoli!$C$58,IF(AND(calcoli!$C$8="maxirata",'sviluppo p. amm.to'!A79=calcoli!$C$11),calcoli!$C$46,IF('sviluppo p. amm.to'!A79=calcoli!$C$11,calcoli!$C$58,"")))</f>
        <v/>
      </c>
      <c r="U79" s="53"/>
      <c r="V79" s="67" t="str">
        <f>IF(calcoli!$C$8="MAXIRATA",IF(SIMULATORE!$E$16&gt;='sviluppo p. amm.to'!A79,calcoli!$C$50,""),"")</f>
        <v/>
      </c>
      <c r="W79" s="60" t="str">
        <f>IF(calcoli!$C$8="MAXIRATA",IF(SIMULATORE!$E$16&gt;='sviluppo p. amm.to'!A79,calcoli!$C$50+$K$3+IF(C79="",0,IF($M$2&lt;$N$2,IF(MOD(A79,12)&gt;0,0,1),0)),""),"")</f>
        <v/>
      </c>
      <c r="X79" s="22" t="str">
        <f>IF(calcoli!$C$8="MAXIRATA",IF(SIMULATORE!$E$16&gt;='sviluppo p. amm.to'!A79,calcoli!$C$50+$K$3+IF(C79="",0,IF($M$2&lt;$N$2,IF(MOD(A79,12)&gt;0,0,3),0)),""),"")</f>
        <v/>
      </c>
      <c r="Y79" s="53"/>
      <c r="AA79" s="61"/>
      <c r="AB79" s="61"/>
    </row>
    <row r="80" spans="1:28" hidden="1">
      <c r="A80" s="7">
        <v>75</v>
      </c>
      <c r="B80" s="7">
        <f t="shared" si="13"/>
        <v>75</v>
      </c>
      <c r="C80" s="54" t="str">
        <f>IF(B80=0,0,IF(calcoli!$C$8="MAXIRATA",IF('sviluppo p. amm.to'!B80=calcoli!$C$11,calcoli!$C$46,IF(B80&gt;calcoli!$C$11,"",calcoli!$C$35)),IF(B80&gt;calcoli!$C$11,"",calcoli!$C$35)))</f>
        <v/>
      </c>
      <c r="D80" s="54" t="str">
        <f>IF(B80=0,0,IF(calcoli!$C$8="MAXIRATA",IF('sviluppo p. amm.to'!B80=calcoli!$C$11,calcoli!$C$46,IF(B80&gt;calcoli!$C$11,"",calcoli!$C$36)),IF(B80&gt;calcoli!$C$11,"",calcoli!$C$36)))</f>
        <v/>
      </c>
      <c r="E80" s="55" t="str">
        <f>IF(C80=0,0,IF(C80="","",D80+MROUND(calcoli!$C$37,0.01)))</f>
        <v/>
      </c>
      <c r="F80" s="54" t="str">
        <f>IF(B80=0,0,IF(B80&gt;calcoli!$C$11,"",C80-G80))</f>
        <v/>
      </c>
      <c r="G80" s="54" t="str">
        <f>IF(B80=0,0,IF(B80&gt;calcoli!$C$11,"",'sviluppo p. amm.to'!J79*calcoli!$C$10/12))</f>
        <v/>
      </c>
      <c r="H80" s="56" t="str">
        <f>IF(B80=0,0,IF(B80&gt;calcoli!$C$11,"",G80+calcoli!$C$36-calcoli!$C$35))</f>
        <v/>
      </c>
      <c r="I80" s="52" t="str">
        <f t="shared" si="10"/>
        <v/>
      </c>
      <c r="J80" s="13" t="str">
        <f t="shared" si="11"/>
        <v/>
      </c>
      <c r="K80" s="55" t="str">
        <f>IF(B80=0,0,IF(B80&gt;calcoli!$C$11,"",$K$3))</f>
        <v/>
      </c>
      <c r="L80" s="29" t="str">
        <f t="shared" si="8"/>
        <v/>
      </c>
      <c r="M80" s="29" t="str">
        <f t="shared" si="9"/>
        <v/>
      </c>
      <c r="N80" s="13"/>
      <c r="O80" s="77"/>
      <c r="P80" s="17" t="str">
        <f>IF(A80&lt;calcoli!$C$11,calcoli!$C$36,IF(AND(calcoli!$C$8="maxirata",'sviluppo p. amm.to'!A80=calcoli!$C$11),calcoli!$C$46,IF('sviluppo p. amm.to'!A80=calcoli!$C$11,calcoli!$C$36,"")))</f>
        <v/>
      </c>
      <c r="Q80" s="59" t="str">
        <f t="shared" si="12"/>
        <v/>
      </c>
      <c r="R80" s="19" t="str">
        <f>IF(E80="","",IF(calcoli!$C$11&gt;18,E80+K80+L80+IF($M$2&lt;$N$2,M80,N80),E80+K80+L80+M80))</f>
        <v/>
      </c>
      <c r="S80" s="53"/>
      <c r="T80" s="88" t="str">
        <f>IF(A80&lt;calcoli!$C$11,calcoli!$C$58,IF(AND(calcoli!$C$8="maxirata",'sviluppo p. amm.to'!A80=calcoli!$C$11),calcoli!$C$46,IF('sviluppo p. amm.to'!A80=calcoli!$C$11,calcoli!$C$58,"")))</f>
        <v/>
      </c>
      <c r="U80" s="53"/>
      <c r="V80" s="67" t="str">
        <f>IF(calcoli!$C$8="MAXIRATA",IF(SIMULATORE!$E$16&gt;='sviluppo p. amm.to'!A80,calcoli!$C$50,""),"")</f>
        <v/>
      </c>
      <c r="W80" s="60" t="str">
        <f>IF(calcoli!$C$8="MAXIRATA",IF(SIMULATORE!$E$16&gt;='sviluppo p. amm.to'!A80,calcoli!$C$50+$K$3+IF(C80="",0,IF($M$2&lt;$N$2,IF(MOD(A80,12)&gt;0,0,1),0)),""),"")</f>
        <v/>
      </c>
      <c r="X80" s="22" t="str">
        <f>IF(calcoli!$C$8="MAXIRATA",IF(SIMULATORE!$E$16&gt;='sviluppo p. amm.to'!A80,calcoli!$C$50+$K$3+IF(C80="",0,IF($M$2&lt;$N$2,IF(MOD(A80,12)&gt;0,0,3),0)),""),"")</f>
        <v/>
      </c>
      <c r="Y80" s="53"/>
      <c r="AA80" s="61"/>
      <c r="AB80" s="61"/>
    </row>
    <row r="81" spans="1:28" hidden="1">
      <c r="A81" s="7">
        <v>76</v>
      </c>
      <c r="B81" s="7">
        <f t="shared" si="13"/>
        <v>76</v>
      </c>
      <c r="C81" s="54" t="str">
        <f>IF(B81=0,0,IF(calcoli!$C$8="MAXIRATA",IF('sviluppo p. amm.to'!B81=calcoli!$C$11,calcoli!$C$46,IF(B81&gt;calcoli!$C$11,"",calcoli!$C$35)),IF(B81&gt;calcoli!$C$11,"",calcoli!$C$35)))</f>
        <v/>
      </c>
      <c r="D81" s="54" t="str">
        <f>IF(B81=0,0,IF(calcoli!$C$8="MAXIRATA",IF('sviluppo p. amm.to'!B81=calcoli!$C$11,calcoli!$C$46,IF(B81&gt;calcoli!$C$11,"",calcoli!$C$36)),IF(B81&gt;calcoli!$C$11,"",calcoli!$C$36)))</f>
        <v/>
      </c>
      <c r="E81" s="55" t="str">
        <f>IF(C81=0,0,IF(C81="","",D81+MROUND(calcoli!$C$37,0.01)))</f>
        <v/>
      </c>
      <c r="F81" s="54" t="str">
        <f>IF(B81=0,0,IF(B81&gt;calcoli!$C$11,"",C81-G81))</f>
        <v/>
      </c>
      <c r="G81" s="54" t="str">
        <f>IF(B81=0,0,IF(B81&gt;calcoli!$C$11,"",'sviluppo p. amm.to'!J80*calcoli!$C$10/12))</f>
        <v/>
      </c>
      <c r="H81" s="56" t="str">
        <f>IF(B81=0,0,IF(B81&gt;calcoli!$C$11,"",G81+calcoli!$C$36-calcoli!$C$35))</f>
        <v/>
      </c>
      <c r="I81" s="52" t="str">
        <f t="shared" si="10"/>
        <v/>
      </c>
      <c r="J81" s="13" t="str">
        <f t="shared" si="11"/>
        <v/>
      </c>
      <c r="K81" s="55" t="str">
        <f>IF(B81=0,0,IF(B81&gt;calcoli!$C$11,"",$K$3))</f>
        <v/>
      </c>
      <c r="L81" s="29" t="str">
        <f t="shared" si="8"/>
        <v/>
      </c>
      <c r="M81" s="29" t="str">
        <f t="shared" si="9"/>
        <v/>
      </c>
      <c r="N81" s="13"/>
      <c r="O81" s="77"/>
      <c r="P81" s="17" t="str">
        <f>IF(A81&lt;calcoli!$C$11,calcoli!$C$36,IF(AND(calcoli!$C$8="maxirata",'sviluppo p. amm.to'!A81=calcoli!$C$11),calcoli!$C$46,IF('sviluppo p. amm.to'!A81=calcoli!$C$11,calcoli!$C$36,"")))</f>
        <v/>
      </c>
      <c r="Q81" s="59" t="str">
        <f t="shared" si="12"/>
        <v/>
      </c>
      <c r="R81" s="19" t="str">
        <f>IF(E81="","",IF(calcoli!$C$11&gt;18,E81+K81+L81+IF($M$2&lt;$N$2,M81,N81),E81+K81+L81+M81))</f>
        <v/>
      </c>
      <c r="S81" s="53"/>
      <c r="T81" s="88" t="str">
        <f>IF(A81&lt;calcoli!$C$11,calcoli!$C$58,IF(AND(calcoli!$C$8="maxirata",'sviluppo p. amm.to'!A81=calcoli!$C$11),calcoli!$C$46,IF('sviluppo p. amm.to'!A81=calcoli!$C$11,calcoli!$C$58,"")))</f>
        <v/>
      </c>
      <c r="U81" s="53"/>
      <c r="V81" s="67" t="str">
        <f>IF(calcoli!$C$8="MAXIRATA",IF(SIMULATORE!$E$16&gt;='sviluppo p. amm.to'!A81,calcoli!$C$50,""),"")</f>
        <v/>
      </c>
      <c r="W81" s="60" t="str">
        <f>IF(calcoli!$C$8="MAXIRATA",IF(SIMULATORE!$E$16&gt;='sviluppo p. amm.to'!A81,calcoli!$C$50+$K$3+IF(C81="",0,IF($M$2&lt;$N$2,IF(MOD(A81,12)&gt;0,0,1),0)),""),"")</f>
        <v/>
      </c>
      <c r="X81" s="22" t="str">
        <f>IF(calcoli!$C$8="MAXIRATA",IF(SIMULATORE!$E$16&gt;='sviluppo p. amm.to'!A81,calcoli!$C$50+$K$3+IF(C81="",0,IF($M$2&lt;$N$2,IF(MOD(A81,12)&gt;0,0,3),0)),""),"")</f>
        <v/>
      </c>
      <c r="Y81" s="53"/>
      <c r="AA81" s="61"/>
      <c r="AB81" s="61"/>
    </row>
    <row r="82" spans="1:28" hidden="1">
      <c r="A82" s="7">
        <v>77</v>
      </c>
      <c r="B82" s="7">
        <f t="shared" si="13"/>
        <v>77</v>
      </c>
      <c r="C82" s="54" t="str">
        <f>IF(B82=0,0,IF(calcoli!$C$8="MAXIRATA",IF('sviluppo p. amm.to'!B82=calcoli!$C$11,calcoli!$C$46,IF(B82&gt;calcoli!$C$11,"",calcoli!$C$35)),IF(B82&gt;calcoli!$C$11,"",calcoli!$C$35)))</f>
        <v/>
      </c>
      <c r="D82" s="54" t="str">
        <f>IF(B82=0,0,IF(calcoli!$C$8="MAXIRATA",IF('sviluppo p. amm.to'!B82=calcoli!$C$11,calcoli!$C$46,IF(B82&gt;calcoli!$C$11,"",calcoli!$C$36)),IF(B82&gt;calcoli!$C$11,"",calcoli!$C$36)))</f>
        <v/>
      </c>
      <c r="E82" s="55" t="str">
        <f>IF(C82=0,0,IF(C82="","",D82+MROUND(calcoli!$C$37,0.01)))</f>
        <v/>
      </c>
      <c r="F82" s="54" t="str">
        <f>IF(B82=0,0,IF(B82&gt;calcoli!$C$11,"",C82-G82))</f>
        <v/>
      </c>
      <c r="G82" s="54" t="str">
        <f>IF(B82=0,0,IF(B82&gt;calcoli!$C$11,"",'sviluppo p. amm.to'!J81*calcoli!$C$10/12))</f>
        <v/>
      </c>
      <c r="H82" s="56" t="str">
        <f>IF(B82=0,0,IF(B82&gt;calcoli!$C$11,"",G82+calcoli!$C$36-calcoli!$C$35))</f>
        <v/>
      </c>
      <c r="I82" s="52" t="str">
        <f t="shared" si="10"/>
        <v/>
      </c>
      <c r="J82" s="13" t="str">
        <f t="shared" si="11"/>
        <v/>
      </c>
      <c r="K82" s="55" t="str">
        <f>IF(B82=0,0,IF(B82&gt;calcoli!$C$11,"",$K$3))</f>
        <v/>
      </c>
      <c r="L82" s="29" t="str">
        <f t="shared" si="8"/>
        <v/>
      </c>
      <c r="M82" s="29" t="str">
        <f t="shared" si="9"/>
        <v/>
      </c>
      <c r="N82" s="13"/>
      <c r="O82" s="77"/>
      <c r="P82" s="17" t="str">
        <f>IF(A82&lt;calcoli!$C$11,calcoli!$C$36,IF(AND(calcoli!$C$8="maxirata",'sviluppo p. amm.to'!A82=calcoli!$C$11),calcoli!$C$46,IF('sviluppo p. amm.to'!A82=calcoli!$C$11,calcoli!$C$36,"")))</f>
        <v/>
      </c>
      <c r="Q82" s="59" t="str">
        <f t="shared" si="12"/>
        <v/>
      </c>
      <c r="R82" s="19" t="str">
        <f>IF(E82="","",IF(calcoli!$C$11&gt;18,E82+K82+L82+IF($M$2&lt;$N$2,M82,N82),E82+K82+L82+M82))</f>
        <v/>
      </c>
      <c r="S82" s="53"/>
      <c r="T82" s="88" t="str">
        <f>IF(A82&lt;calcoli!$C$11,calcoli!$C$58,IF(AND(calcoli!$C$8="maxirata",'sviluppo p. amm.to'!A82=calcoli!$C$11),calcoli!$C$46,IF('sviluppo p. amm.to'!A82=calcoli!$C$11,calcoli!$C$58,"")))</f>
        <v/>
      </c>
      <c r="U82" s="53"/>
      <c r="V82" s="67" t="str">
        <f>IF(calcoli!$C$8="MAXIRATA",IF(SIMULATORE!$E$16&gt;='sviluppo p. amm.to'!A82,calcoli!$C$50,""),"")</f>
        <v/>
      </c>
      <c r="W82" s="60" t="str">
        <f>IF(calcoli!$C$8="MAXIRATA",IF(SIMULATORE!$E$16&gt;='sviluppo p. amm.to'!A82,calcoli!$C$50+$K$3+IF(C82="",0,IF($M$2&lt;$N$2,IF(MOD(A82,12)&gt;0,0,1),0)),""),"")</f>
        <v/>
      </c>
      <c r="X82" s="22" t="str">
        <f>IF(calcoli!$C$8="MAXIRATA",IF(SIMULATORE!$E$16&gt;='sviluppo p. amm.to'!A82,calcoli!$C$50+$K$3+IF(C82="",0,IF($M$2&lt;$N$2,IF(MOD(A82,12)&gt;0,0,3),0)),""),"")</f>
        <v/>
      </c>
      <c r="Y82" s="53"/>
      <c r="AA82" s="61"/>
      <c r="AB82" s="61"/>
    </row>
    <row r="83" spans="1:28" hidden="1">
      <c r="A83" s="7">
        <v>78</v>
      </c>
      <c r="B83" s="7">
        <f t="shared" si="13"/>
        <v>78</v>
      </c>
      <c r="C83" s="54" t="str">
        <f>IF(B83=0,0,IF(calcoli!$C$8="MAXIRATA",IF('sviluppo p. amm.to'!B83=calcoli!$C$11,calcoli!$C$46,IF(B83&gt;calcoli!$C$11,"",calcoli!$C$35)),IF(B83&gt;calcoli!$C$11,"",calcoli!$C$35)))</f>
        <v/>
      </c>
      <c r="D83" s="54" t="str">
        <f>IF(B83=0,0,IF(calcoli!$C$8="MAXIRATA",IF('sviluppo p. amm.to'!B83=calcoli!$C$11,calcoli!$C$46,IF(B83&gt;calcoli!$C$11,"",calcoli!$C$36)),IF(B83&gt;calcoli!$C$11,"",calcoli!$C$36)))</f>
        <v/>
      </c>
      <c r="E83" s="55" t="str">
        <f>IF(C83=0,0,IF(C83="","",D83+MROUND(calcoli!$C$37,0.01)))</f>
        <v/>
      </c>
      <c r="F83" s="54" t="str">
        <f>IF(B83=0,0,IF(B83&gt;calcoli!$C$11,"",C83-G83))</f>
        <v/>
      </c>
      <c r="G83" s="54" t="str">
        <f>IF(B83=0,0,IF(B83&gt;calcoli!$C$11,"",'sviluppo p. amm.to'!J82*calcoli!$C$10/12))</f>
        <v/>
      </c>
      <c r="H83" s="56" t="str">
        <f>IF(B83=0,0,IF(B83&gt;calcoli!$C$11,"",G83+calcoli!$C$36-calcoli!$C$35))</f>
        <v/>
      </c>
      <c r="I83" s="52" t="str">
        <f t="shared" si="10"/>
        <v/>
      </c>
      <c r="J83" s="13" t="str">
        <f t="shared" si="11"/>
        <v/>
      </c>
      <c r="K83" s="55" t="str">
        <f>IF(B83=0,0,IF(B83&gt;calcoli!$C$11,"",$K$3))</f>
        <v/>
      </c>
      <c r="L83" s="29" t="str">
        <f t="shared" si="8"/>
        <v/>
      </c>
      <c r="M83" s="29" t="str">
        <f t="shared" si="9"/>
        <v/>
      </c>
      <c r="N83" s="13"/>
      <c r="O83" s="77"/>
      <c r="P83" s="17" t="str">
        <f>IF(A83&lt;calcoli!$C$11,calcoli!$C$36,IF(AND(calcoli!$C$8="maxirata",'sviluppo p. amm.to'!A83=calcoli!$C$11),calcoli!$C$46,IF('sviluppo p. amm.to'!A83=calcoli!$C$11,calcoli!$C$36,"")))</f>
        <v/>
      </c>
      <c r="Q83" s="59" t="str">
        <f t="shared" si="12"/>
        <v/>
      </c>
      <c r="R83" s="19" t="str">
        <f>IF(E83="","",IF(calcoli!$C$11&gt;18,E83+K83+L83+IF($M$2&lt;$N$2,M83,N83),E83+K83+L83+M83))</f>
        <v/>
      </c>
      <c r="S83" s="53"/>
      <c r="T83" s="88" t="str">
        <f>IF(A83&lt;calcoli!$C$11,calcoli!$C$58,IF(AND(calcoli!$C$8="maxirata",'sviluppo p. amm.to'!A83=calcoli!$C$11),calcoli!$C$46,IF('sviluppo p. amm.to'!A83=calcoli!$C$11,calcoli!$C$58,"")))</f>
        <v/>
      </c>
      <c r="U83" s="53"/>
      <c r="V83" s="67" t="str">
        <f>IF(calcoli!$C$8="MAXIRATA",IF(SIMULATORE!$E$16&gt;='sviluppo p. amm.to'!A83,calcoli!$C$50,""),"")</f>
        <v/>
      </c>
      <c r="W83" s="60" t="str">
        <f>IF(calcoli!$C$8="MAXIRATA",IF(SIMULATORE!$E$16&gt;='sviluppo p. amm.to'!A83,calcoli!$C$50+$K$3+IF(C83="",0,IF($M$2&lt;$N$2,IF(MOD(A83,12)&gt;0,0,1),0)),""),"")</f>
        <v/>
      </c>
      <c r="X83" s="22" t="str">
        <f>IF(calcoli!$C$8="MAXIRATA",IF(SIMULATORE!$E$16&gt;='sviluppo p. amm.to'!A83,calcoli!$C$50+$K$3+IF(C83="",0,IF($M$2&lt;$N$2,IF(MOD(A83,12)&gt;0,0,3),0)),""),"")</f>
        <v/>
      </c>
      <c r="Y83" s="53"/>
      <c r="AA83" s="61"/>
      <c r="AB83" s="61"/>
    </row>
    <row r="84" spans="1:28" hidden="1">
      <c r="A84" s="7">
        <v>79</v>
      </c>
      <c r="B84" s="7">
        <f t="shared" si="13"/>
        <v>79</v>
      </c>
      <c r="C84" s="54" t="str">
        <f>IF(B84=0,0,IF(calcoli!$C$8="MAXIRATA",IF('sviluppo p. amm.to'!B84=calcoli!$C$11,calcoli!$C$46,IF(B84&gt;calcoli!$C$11,"",calcoli!$C$35)),IF(B84&gt;calcoli!$C$11,"",calcoli!$C$35)))</f>
        <v/>
      </c>
      <c r="D84" s="54" t="str">
        <f>IF(B84=0,0,IF(calcoli!$C$8="MAXIRATA",IF('sviluppo p. amm.to'!B84=calcoli!$C$11,calcoli!$C$46,IF(B84&gt;calcoli!$C$11,"",calcoli!$C$36)),IF(B84&gt;calcoli!$C$11,"",calcoli!$C$36)))</f>
        <v/>
      </c>
      <c r="E84" s="55" t="str">
        <f>IF(C84=0,0,IF(C84="","",D84+MROUND(calcoli!$C$37,0.01)))</f>
        <v/>
      </c>
      <c r="F84" s="54" t="str">
        <f>IF(B84=0,0,IF(B84&gt;calcoli!$C$11,"",C84-G84))</f>
        <v/>
      </c>
      <c r="G84" s="54" t="str">
        <f>IF(B84=0,0,IF(B84&gt;calcoli!$C$11,"",'sviluppo p. amm.to'!J83*calcoli!$C$10/12))</f>
        <v/>
      </c>
      <c r="H84" s="56" t="str">
        <f>IF(B84=0,0,IF(B84&gt;calcoli!$C$11,"",G84+calcoli!$C$36-calcoli!$C$35))</f>
        <v/>
      </c>
      <c r="I84" s="52" t="str">
        <f t="shared" si="10"/>
        <v/>
      </c>
      <c r="J84" s="13" t="str">
        <f t="shared" si="11"/>
        <v/>
      </c>
      <c r="K84" s="55" t="str">
        <f>IF(B84=0,0,IF(B84&gt;calcoli!$C$11,"",$K$3))</f>
        <v/>
      </c>
      <c r="L84" s="29" t="str">
        <f t="shared" si="8"/>
        <v/>
      </c>
      <c r="M84" s="29" t="str">
        <f t="shared" si="9"/>
        <v/>
      </c>
      <c r="N84" s="13"/>
      <c r="O84" s="77"/>
      <c r="P84" s="17" t="str">
        <f>IF(A84&lt;calcoli!$C$11,calcoli!$C$36,IF(AND(calcoli!$C$8="maxirata",'sviluppo p. amm.to'!A84=calcoli!$C$11),calcoli!$C$46,IF('sviluppo p. amm.to'!A84=calcoli!$C$11,calcoli!$C$36,"")))</f>
        <v/>
      </c>
      <c r="Q84" s="59" t="str">
        <f t="shared" si="12"/>
        <v/>
      </c>
      <c r="R84" s="19" t="str">
        <f>IF(E84="","",IF(calcoli!$C$11&gt;18,E84+K84+L84+IF($M$2&lt;$N$2,M84,N84),E84+K84+L84+M84))</f>
        <v/>
      </c>
      <c r="S84" s="53"/>
      <c r="T84" s="88" t="str">
        <f>IF(A84&lt;calcoli!$C$11,calcoli!$C$58,IF(AND(calcoli!$C$8="maxirata",'sviluppo p. amm.to'!A84=calcoli!$C$11),calcoli!$C$46,IF('sviluppo p. amm.to'!A84=calcoli!$C$11,calcoli!$C$58,"")))</f>
        <v/>
      </c>
      <c r="U84" s="53"/>
      <c r="V84" s="67" t="str">
        <f>IF(calcoli!$C$8="MAXIRATA",IF(SIMULATORE!$E$16&gt;='sviluppo p. amm.to'!A84,calcoli!$C$50,""),"")</f>
        <v/>
      </c>
      <c r="W84" s="60" t="str">
        <f>IF(calcoli!$C$8="MAXIRATA",IF(SIMULATORE!$E$16&gt;='sviluppo p. amm.to'!A84,calcoli!$C$50+$K$3+IF(C84="",0,IF($M$2&lt;$N$2,IF(MOD(A84,12)&gt;0,0,1),0)),""),"")</f>
        <v/>
      </c>
      <c r="X84" s="22" t="str">
        <f>IF(calcoli!$C$8="MAXIRATA",IF(SIMULATORE!$E$16&gt;='sviluppo p. amm.to'!A84,calcoli!$C$50+$K$3+IF(C84="",0,IF($M$2&lt;$N$2,IF(MOD(A84,12)&gt;0,0,3),0)),""),"")</f>
        <v/>
      </c>
      <c r="Y84" s="53"/>
      <c r="AA84" s="61"/>
      <c r="AB84" s="61"/>
    </row>
    <row r="85" spans="1:28" hidden="1">
      <c r="A85" s="7">
        <v>80</v>
      </c>
      <c r="B85" s="7">
        <f t="shared" si="13"/>
        <v>80</v>
      </c>
      <c r="C85" s="54" t="str">
        <f>IF(B85=0,0,IF(calcoli!$C$8="MAXIRATA",IF('sviluppo p. amm.to'!B85=calcoli!$C$11,calcoli!$C$46,IF(B85&gt;calcoli!$C$11,"",calcoli!$C$35)),IF(B85&gt;calcoli!$C$11,"",calcoli!$C$35)))</f>
        <v/>
      </c>
      <c r="D85" s="54" t="str">
        <f>IF(B85=0,0,IF(calcoli!$C$8="MAXIRATA",IF('sviluppo p. amm.to'!B85=calcoli!$C$11,calcoli!$C$46,IF(B85&gt;calcoli!$C$11,"",calcoli!$C$36)),IF(B85&gt;calcoli!$C$11,"",calcoli!$C$36)))</f>
        <v/>
      </c>
      <c r="E85" s="55" t="str">
        <f>IF(C85=0,0,IF(C85="","",D85+MROUND(calcoli!$C$37,0.01)))</f>
        <v/>
      </c>
      <c r="F85" s="54" t="str">
        <f>IF(B85=0,0,IF(B85&gt;calcoli!$C$11,"",C85-G85))</f>
        <v/>
      </c>
      <c r="G85" s="54" t="str">
        <f>IF(B85=0,0,IF(B85&gt;calcoli!$C$11,"",'sviluppo p. amm.to'!J84*calcoli!$C$10/12))</f>
        <v/>
      </c>
      <c r="H85" s="56" t="str">
        <f>IF(B85=0,0,IF(B85&gt;calcoli!$C$11,"",G85+calcoli!$C$36-calcoli!$C$35))</f>
        <v/>
      </c>
      <c r="I85" s="52" t="str">
        <f t="shared" si="10"/>
        <v/>
      </c>
      <c r="J85" s="13" t="str">
        <f t="shared" si="11"/>
        <v/>
      </c>
      <c r="K85" s="55" t="str">
        <f>IF(B85=0,0,IF(B85&gt;calcoli!$C$11,"",$K$3))</f>
        <v/>
      </c>
      <c r="L85" s="29" t="str">
        <f t="shared" si="8"/>
        <v/>
      </c>
      <c r="M85" s="29" t="str">
        <f t="shared" si="9"/>
        <v/>
      </c>
      <c r="N85" s="13"/>
      <c r="O85" s="77"/>
      <c r="P85" s="17" t="str">
        <f>IF(A85&lt;calcoli!$C$11,calcoli!$C$36,IF(AND(calcoli!$C$8="maxirata",'sviluppo p. amm.to'!A85=calcoli!$C$11),calcoli!$C$46,IF('sviluppo p. amm.to'!A85=calcoli!$C$11,calcoli!$C$36,"")))</f>
        <v/>
      </c>
      <c r="Q85" s="59" t="str">
        <f t="shared" si="12"/>
        <v/>
      </c>
      <c r="R85" s="19" t="str">
        <f>IF(E85="","",IF(calcoli!$C$11&gt;18,E85+K85+L85+IF($M$2&lt;$N$2,M85,N85),E85+K85+L85+M85))</f>
        <v/>
      </c>
      <c r="S85" s="53"/>
      <c r="T85" s="88" t="str">
        <f>IF(A85&lt;calcoli!$C$11,calcoli!$C$58,IF(AND(calcoli!$C$8="maxirata",'sviluppo p. amm.to'!A85=calcoli!$C$11),calcoli!$C$46,IF('sviluppo p. amm.to'!A85=calcoli!$C$11,calcoli!$C$58,"")))</f>
        <v/>
      </c>
      <c r="U85" s="53"/>
      <c r="V85" s="67" t="str">
        <f>IF(calcoli!$C$8="MAXIRATA",IF(SIMULATORE!$E$16&gt;='sviluppo p. amm.to'!A85,calcoli!$C$50,""),"")</f>
        <v/>
      </c>
      <c r="W85" s="60" t="str">
        <f>IF(calcoli!$C$8="MAXIRATA",IF(SIMULATORE!$E$16&gt;='sviluppo p. amm.to'!A85,calcoli!$C$50+$K$3+IF(C85="",0,IF($M$2&lt;$N$2,IF(MOD(A85,12)&gt;0,0,1),0)),""),"")</f>
        <v/>
      </c>
      <c r="X85" s="22" t="str">
        <f>IF(calcoli!$C$8="MAXIRATA",IF(SIMULATORE!$E$16&gt;='sviluppo p. amm.to'!A85,calcoli!$C$50+$K$3+IF(C85="",0,IF($M$2&lt;$N$2,IF(MOD(A85,12)&gt;0,0,3),0)),""),"")</f>
        <v/>
      </c>
      <c r="Y85" s="53"/>
      <c r="AA85" s="61"/>
      <c r="AB85" s="61"/>
    </row>
    <row r="86" spans="1:28" hidden="1">
      <c r="A86" s="7">
        <v>81</v>
      </c>
      <c r="B86" s="7">
        <f t="shared" si="13"/>
        <v>81</v>
      </c>
      <c r="C86" s="54" t="str">
        <f>IF(B86=0,0,IF(calcoli!$C$8="MAXIRATA",IF('sviluppo p. amm.to'!B86=calcoli!$C$11,calcoli!$C$46,IF(B86&gt;calcoli!$C$11,"",calcoli!$C$35)),IF(B86&gt;calcoli!$C$11,"",calcoli!$C$35)))</f>
        <v/>
      </c>
      <c r="D86" s="54" t="str">
        <f>IF(B86=0,0,IF(calcoli!$C$8="MAXIRATA",IF('sviluppo p. amm.to'!B86=calcoli!$C$11,calcoli!$C$46,IF(B86&gt;calcoli!$C$11,"",calcoli!$C$36)),IF(B86&gt;calcoli!$C$11,"",calcoli!$C$36)))</f>
        <v/>
      </c>
      <c r="E86" s="55" t="str">
        <f>IF(C86=0,0,IF(C86="","",D86+MROUND(calcoli!$C$37,0.01)))</f>
        <v/>
      </c>
      <c r="F86" s="54" t="str">
        <f>IF(B86=0,0,IF(B86&gt;calcoli!$C$11,"",C86-G86))</f>
        <v/>
      </c>
      <c r="G86" s="54" t="str">
        <f>IF(B86=0,0,IF(B86&gt;calcoli!$C$11,"",'sviluppo p. amm.to'!J85*calcoli!$C$10/12))</f>
        <v/>
      </c>
      <c r="H86" s="56" t="str">
        <f>IF(B86=0,0,IF(B86&gt;calcoli!$C$11,"",G86+calcoli!$C$36-calcoli!$C$35))</f>
        <v/>
      </c>
      <c r="I86" s="52" t="str">
        <f t="shared" si="10"/>
        <v/>
      </c>
      <c r="J86" s="13" t="str">
        <f t="shared" si="11"/>
        <v/>
      </c>
      <c r="K86" s="55" t="str">
        <f>IF(B86=0,0,IF(B86&gt;calcoli!$C$11,"",$K$3))</f>
        <v/>
      </c>
      <c r="L86" s="29" t="str">
        <f t="shared" si="8"/>
        <v/>
      </c>
      <c r="M86" s="29" t="str">
        <f t="shared" si="9"/>
        <v/>
      </c>
      <c r="N86" s="13"/>
      <c r="O86" s="77"/>
      <c r="P86" s="17" t="str">
        <f>IF(A86&lt;calcoli!$C$11,calcoli!$C$36,IF(AND(calcoli!$C$8="maxirata",'sviluppo p. amm.to'!A86=calcoli!$C$11),calcoli!$C$46,IF('sviluppo p. amm.to'!A86=calcoli!$C$11,calcoli!$C$36,"")))</f>
        <v/>
      </c>
      <c r="Q86" s="59" t="str">
        <f t="shared" si="12"/>
        <v/>
      </c>
      <c r="R86" s="19" t="str">
        <f>IF(E86="","",IF(calcoli!$C$11&gt;18,E86+K86+L86+IF($M$2&lt;$N$2,M86,N86),E86+K86+L86+M86))</f>
        <v/>
      </c>
      <c r="S86" s="53"/>
      <c r="T86" s="88" t="str">
        <f>IF(A86&lt;calcoli!$C$11,calcoli!$C$58,IF(AND(calcoli!$C$8="maxirata",'sviluppo p. amm.to'!A86=calcoli!$C$11),calcoli!$C$46,IF('sviluppo p. amm.to'!A86=calcoli!$C$11,calcoli!$C$58,"")))</f>
        <v/>
      </c>
      <c r="U86" s="53"/>
      <c r="V86" s="67" t="str">
        <f>IF(calcoli!$C$8="MAXIRATA",IF(SIMULATORE!$E$16&gt;='sviluppo p. amm.to'!A86,calcoli!$C$50,""),"")</f>
        <v/>
      </c>
      <c r="W86" s="60" t="str">
        <f>IF(calcoli!$C$8="MAXIRATA",IF(SIMULATORE!$E$16&gt;='sviluppo p. amm.to'!A86,calcoli!$C$50+$K$3+IF(C86="",0,IF($M$2&lt;$N$2,IF(MOD(A86,12)&gt;0,0,1),0)),""),"")</f>
        <v/>
      </c>
      <c r="X86" s="22" t="str">
        <f>IF(calcoli!$C$8="MAXIRATA",IF(SIMULATORE!$E$16&gt;='sviluppo p. amm.to'!A86,calcoli!$C$50+$K$3+IF(C86="",0,IF($M$2&lt;$N$2,IF(MOD(A86,12)&gt;0,0,3),0)),""),"")</f>
        <v/>
      </c>
      <c r="Y86" s="53"/>
      <c r="AA86" s="61"/>
      <c r="AB86" s="61"/>
    </row>
    <row r="87" spans="1:28" hidden="1">
      <c r="A87" s="7">
        <v>82</v>
      </c>
      <c r="B87" s="7">
        <f t="shared" si="13"/>
        <v>82</v>
      </c>
      <c r="C87" s="54" t="str">
        <f>IF(B87=0,0,IF(calcoli!$C$8="MAXIRATA",IF('sviluppo p. amm.to'!B87=calcoli!$C$11,calcoli!$C$46,IF(B87&gt;calcoli!$C$11,"",calcoli!$C$35)),IF(B87&gt;calcoli!$C$11,"",calcoli!$C$35)))</f>
        <v/>
      </c>
      <c r="D87" s="54" t="str">
        <f>IF(B87=0,0,IF(calcoli!$C$8="MAXIRATA",IF('sviluppo p. amm.to'!B87=calcoli!$C$11,calcoli!$C$46,IF(B87&gt;calcoli!$C$11,"",calcoli!$C$36)),IF(B87&gt;calcoli!$C$11,"",calcoli!$C$36)))</f>
        <v/>
      </c>
      <c r="E87" s="55" t="str">
        <f>IF(C87=0,0,IF(C87="","",D87+MROUND(calcoli!$C$37,0.01)))</f>
        <v/>
      </c>
      <c r="F87" s="54" t="str">
        <f>IF(B87=0,0,IF(B87&gt;calcoli!$C$11,"",C87-G87))</f>
        <v/>
      </c>
      <c r="G87" s="54" t="str">
        <f>IF(B87=0,0,IF(B87&gt;calcoli!$C$11,"",'sviluppo p. amm.to'!J86*calcoli!$C$10/12))</f>
        <v/>
      </c>
      <c r="H87" s="56" t="str">
        <f>IF(B87=0,0,IF(B87&gt;calcoli!$C$11,"",G87+calcoli!$C$36-calcoli!$C$35))</f>
        <v/>
      </c>
      <c r="I87" s="52" t="str">
        <f t="shared" si="10"/>
        <v/>
      </c>
      <c r="J87" s="13" t="str">
        <f t="shared" si="11"/>
        <v/>
      </c>
      <c r="K87" s="55" t="str">
        <f>IF(B87=0,0,IF(B87&gt;calcoli!$C$11,"",$K$3))</f>
        <v/>
      </c>
      <c r="L87" s="29" t="str">
        <f t="shared" si="8"/>
        <v/>
      </c>
      <c r="M87" s="29" t="str">
        <f t="shared" si="9"/>
        <v/>
      </c>
      <c r="N87" s="13"/>
      <c r="O87" s="77"/>
      <c r="P87" s="17" t="str">
        <f>IF(A87&lt;calcoli!$C$11,calcoli!$C$36,IF(AND(calcoli!$C$8="maxirata",'sviluppo p. amm.to'!A87=calcoli!$C$11),calcoli!$C$46,IF('sviluppo p. amm.to'!A87=calcoli!$C$11,calcoli!$C$36,"")))</f>
        <v/>
      </c>
      <c r="Q87" s="59" t="str">
        <f t="shared" si="12"/>
        <v/>
      </c>
      <c r="R87" s="19" t="str">
        <f>IF(E87="","",IF(calcoli!$C$11&gt;18,E87+K87+L87+IF($M$2&lt;$N$2,M87,N87),E87+K87+L87+M87))</f>
        <v/>
      </c>
      <c r="S87" s="53"/>
      <c r="T87" s="88" t="str">
        <f>IF(A87&lt;calcoli!$C$11,calcoli!$C$58,IF(AND(calcoli!$C$8="maxirata",'sviluppo p. amm.to'!A87=calcoli!$C$11),calcoli!$C$46,IF('sviluppo p. amm.to'!A87=calcoli!$C$11,calcoli!$C$58,"")))</f>
        <v/>
      </c>
      <c r="U87" s="53"/>
      <c r="V87" s="67" t="str">
        <f>IF(calcoli!$C$8="MAXIRATA",IF(SIMULATORE!$E$16&gt;='sviluppo p. amm.to'!A87,calcoli!$C$50,""),"")</f>
        <v/>
      </c>
      <c r="W87" s="60" t="str">
        <f>IF(calcoli!$C$8="MAXIRATA",IF(SIMULATORE!$E$16&gt;='sviluppo p. amm.to'!A87,calcoli!$C$50+$K$3+IF(C87="",0,IF($M$2&lt;$N$2,IF(MOD(A87,12)&gt;0,0,1),0)),""),"")</f>
        <v/>
      </c>
      <c r="X87" s="22" t="str">
        <f>IF(calcoli!$C$8="MAXIRATA",IF(SIMULATORE!$E$16&gt;='sviluppo p. amm.to'!A87,calcoli!$C$50+$K$3+IF(C87="",0,IF($M$2&lt;$N$2,IF(MOD(A87,12)&gt;0,0,3),0)),""),"")</f>
        <v/>
      </c>
      <c r="Y87" s="53"/>
      <c r="AA87" s="61"/>
      <c r="AB87" s="61"/>
    </row>
    <row r="88" spans="1:28" hidden="1">
      <c r="A88" s="7">
        <v>83</v>
      </c>
      <c r="B88" s="7">
        <f t="shared" si="13"/>
        <v>83</v>
      </c>
      <c r="C88" s="54" t="str">
        <f>IF(B88=0,0,IF(calcoli!$C$8="MAXIRATA",IF('sviluppo p. amm.to'!B88=calcoli!$C$11,calcoli!$C$46,IF(B88&gt;calcoli!$C$11,"",calcoli!$C$35)),IF(B88&gt;calcoli!$C$11,"",calcoli!$C$35)))</f>
        <v/>
      </c>
      <c r="D88" s="54" t="str">
        <f>IF(B88=0,0,IF(calcoli!$C$8="MAXIRATA",IF('sviluppo p. amm.to'!B88=calcoli!$C$11,calcoli!$C$46,IF(B88&gt;calcoli!$C$11,"",calcoli!$C$36)),IF(B88&gt;calcoli!$C$11,"",calcoli!$C$36)))</f>
        <v/>
      </c>
      <c r="E88" s="55" t="str">
        <f>IF(C88=0,0,IF(C88="","",D88+MROUND(calcoli!$C$37,0.01)))</f>
        <v/>
      </c>
      <c r="F88" s="54" t="str">
        <f>IF(B88=0,0,IF(B88&gt;calcoli!$C$11,"",C88-G88))</f>
        <v/>
      </c>
      <c r="G88" s="54" t="str">
        <f>IF(B88=0,0,IF(B88&gt;calcoli!$C$11,"",'sviluppo p. amm.to'!J87*calcoli!$C$10/12))</f>
        <v/>
      </c>
      <c r="H88" s="56" t="str">
        <f>IF(B88=0,0,IF(B88&gt;calcoli!$C$11,"",G88+calcoli!$C$36-calcoli!$C$35))</f>
        <v/>
      </c>
      <c r="I88" s="52" t="str">
        <f t="shared" si="10"/>
        <v/>
      </c>
      <c r="J88" s="13" t="str">
        <f t="shared" si="11"/>
        <v/>
      </c>
      <c r="K88" s="55" t="str">
        <f>IF(B88=0,0,IF(B88&gt;calcoli!$C$11,"",$K$3))</f>
        <v/>
      </c>
      <c r="L88" s="29" t="str">
        <f t="shared" si="8"/>
        <v/>
      </c>
      <c r="M88" s="29" t="str">
        <f t="shared" si="9"/>
        <v/>
      </c>
      <c r="N88" s="13"/>
      <c r="O88" s="77"/>
      <c r="P88" s="17" t="str">
        <f>IF(A88&lt;calcoli!$C$11,calcoli!$C$36,IF(AND(calcoli!$C$8="maxirata",'sviluppo p. amm.to'!A88=calcoli!$C$11),calcoli!$C$46,IF('sviluppo p. amm.to'!A88=calcoli!$C$11,calcoli!$C$36,"")))</f>
        <v/>
      </c>
      <c r="Q88" s="59" t="str">
        <f t="shared" si="12"/>
        <v/>
      </c>
      <c r="R88" s="19" t="str">
        <f>IF(E88="","",IF(calcoli!$C$11&gt;18,E88+K88+L88+IF($M$2&lt;$N$2,M88,N88),E88+K88+L88+M88))</f>
        <v/>
      </c>
      <c r="S88" s="53"/>
      <c r="T88" s="88" t="str">
        <f>IF(A88&lt;calcoli!$C$11,calcoli!$C$58,IF(AND(calcoli!$C$8="maxirata",'sviluppo p. amm.to'!A88=calcoli!$C$11),calcoli!$C$46,IF('sviluppo p. amm.to'!A88=calcoli!$C$11,calcoli!$C$58,"")))</f>
        <v/>
      </c>
      <c r="U88" s="53"/>
      <c r="V88" s="67" t="str">
        <f>IF(calcoli!$C$8="MAXIRATA",IF(SIMULATORE!$E$16&gt;='sviluppo p. amm.to'!A88,calcoli!$C$50,""),"")</f>
        <v/>
      </c>
      <c r="W88" s="60" t="str">
        <f>IF(calcoli!$C$8="MAXIRATA",IF(SIMULATORE!$E$16&gt;='sviluppo p. amm.to'!A88,calcoli!$C$50+$K$3+IF(C88="",0,IF($M$2&lt;$N$2,IF(MOD(A88,12)&gt;0,0,1),0)),""),"")</f>
        <v/>
      </c>
      <c r="X88" s="22" t="str">
        <f>IF(calcoli!$C$8="MAXIRATA",IF(SIMULATORE!$E$16&gt;='sviluppo p. amm.to'!A88,calcoli!$C$50+$K$3+IF(C88="",0,IF($M$2&lt;$N$2,IF(MOD(A88,12)&gt;0,0,3),0)),""),"")</f>
        <v/>
      </c>
      <c r="Y88" s="53"/>
      <c r="AA88" s="61"/>
      <c r="AB88" s="61"/>
    </row>
    <row r="89" spans="1:28" hidden="1">
      <c r="A89" s="7">
        <v>84</v>
      </c>
      <c r="B89" s="7">
        <f t="shared" si="13"/>
        <v>84</v>
      </c>
      <c r="C89" s="54" t="str">
        <f>IF(B89=0,0,IF(calcoli!$C$8="MAXIRATA",IF('sviluppo p. amm.to'!B89=calcoli!$C$11,calcoli!$C$46,IF(B89&gt;calcoli!$C$11,"",calcoli!$C$35)),IF(B89&gt;calcoli!$C$11,"",calcoli!$C$35)))</f>
        <v/>
      </c>
      <c r="D89" s="54" t="str">
        <f>IF(B89=0,0,IF(calcoli!$C$8="MAXIRATA",IF('sviluppo p. amm.to'!B89=calcoli!$C$11,calcoli!$C$46,IF(B89&gt;calcoli!$C$11,"",calcoli!$C$36)),IF(B89&gt;calcoli!$C$11,"",calcoli!$C$36)))</f>
        <v/>
      </c>
      <c r="E89" s="55" t="str">
        <f>IF(C89=0,0,IF(C89="","",D89+MROUND(calcoli!$C$37,0.01)))</f>
        <v/>
      </c>
      <c r="F89" s="54" t="str">
        <f>IF(B89=0,0,IF(B89&gt;calcoli!$C$11,"",C89-G89))</f>
        <v/>
      </c>
      <c r="G89" s="54" t="str">
        <f>IF(B89=0,0,IF(B89&gt;calcoli!$C$11,"",'sviluppo p. amm.to'!J88*calcoli!$C$10/12))</f>
        <v/>
      </c>
      <c r="H89" s="56" t="str">
        <f>IF(B89=0,0,IF(B89&gt;calcoli!$C$11,"",G89+calcoli!$C$36-calcoli!$C$35))</f>
        <v/>
      </c>
      <c r="I89" s="52" t="str">
        <f t="shared" si="10"/>
        <v/>
      </c>
      <c r="J89" s="13" t="str">
        <f t="shared" si="11"/>
        <v/>
      </c>
      <c r="K89" s="55" t="str">
        <f>IF(B89=0,0,IF(B89&gt;calcoli!$C$11,"",$K$3))</f>
        <v/>
      </c>
      <c r="L89" s="29" t="str">
        <f t="shared" si="8"/>
        <v/>
      </c>
      <c r="M89" s="29" t="str">
        <f t="shared" si="9"/>
        <v/>
      </c>
      <c r="N89" s="13"/>
      <c r="O89" s="77"/>
      <c r="P89" s="17" t="str">
        <f>IF(A89&lt;calcoli!$C$11,calcoli!$C$36,IF(AND(calcoli!$C$8="maxirata",'sviluppo p. amm.to'!A89=calcoli!$C$11),calcoli!$C$46,IF('sviluppo p. amm.to'!A89=calcoli!$C$11,calcoli!$C$36,"")))</f>
        <v/>
      </c>
      <c r="Q89" s="59" t="str">
        <f t="shared" si="12"/>
        <v/>
      </c>
      <c r="R89" s="19" t="str">
        <f>IF(E89="","",IF(calcoli!$C$11&gt;18,E89+K89+L89+IF($M$2&lt;$N$2,M89,N89),E89+K89+L89+M89))</f>
        <v/>
      </c>
      <c r="S89" s="53"/>
      <c r="T89" s="88" t="str">
        <f>IF(A89&lt;calcoli!$C$11,calcoli!$C$58,IF(AND(calcoli!$C$8="maxirata",'sviluppo p. amm.to'!A89=calcoli!$C$11),calcoli!$C$46,IF('sviluppo p. amm.to'!A89=calcoli!$C$11,calcoli!$C$58,"")))</f>
        <v/>
      </c>
      <c r="U89" s="53"/>
      <c r="V89" s="67" t="str">
        <f>IF(calcoli!$C$8="MAXIRATA",IF(SIMULATORE!$E$16&gt;='sviluppo p. amm.to'!A89,calcoli!$C$50,""),"")</f>
        <v/>
      </c>
      <c r="W89" s="60" t="str">
        <f>IF(calcoli!$C$8="MAXIRATA",IF(SIMULATORE!$E$16&gt;='sviluppo p. amm.to'!A89,calcoli!$C$50+$K$3+IF(C89="",0,IF($M$2&lt;$N$2,IF(MOD(A89,12)&gt;0,0,1),0)),""),"")</f>
        <v/>
      </c>
      <c r="X89" s="22" t="str">
        <f>IF(calcoli!$C$8="MAXIRATA",IF(SIMULATORE!$E$16&gt;='sviluppo p. amm.to'!A89,calcoli!$C$50+$K$3+IF(C89="",0,IF($M$2&lt;$N$2,IF(MOD(A89,12)&gt;0,0,3),0)),""),"")</f>
        <v/>
      </c>
      <c r="Y89" s="53"/>
      <c r="AA89" s="61"/>
      <c r="AB89" s="61"/>
    </row>
    <row r="90" spans="1:28" hidden="1">
      <c r="A90" s="7">
        <v>85</v>
      </c>
      <c r="B90" s="7">
        <f t="shared" si="13"/>
        <v>85</v>
      </c>
      <c r="C90" s="54" t="str">
        <f>IF(B90=0,0,IF(calcoli!$C$8="MAXIRATA",IF('sviluppo p. amm.to'!B90=calcoli!$C$11,calcoli!$C$46,IF(B90&gt;calcoli!$C$11,"",calcoli!$C$35)),IF(B90&gt;calcoli!$C$11,"",calcoli!$C$35)))</f>
        <v/>
      </c>
      <c r="D90" s="54" t="str">
        <f>IF(B90=0,0,IF(calcoli!$C$8="MAXIRATA",IF('sviluppo p. amm.to'!B90=calcoli!$C$11,calcoli!$C$46,IF(B90&gt;calcoli!$C$11,"",calcoli!$C$36)),IF(B90&gt;calcoli!$C$11,"",calcoli!$C$36)))</f>
        <v/>
      </c>
      <c r="E90" s="55" t="str">
        <f>IF(C90=0,0,IF(C90="","",D90+MROUND(calcoli!$C$37,0.01)))</f>
        <v/>
      </c>
      <c r="F90" s="54" t="str">
        <f>IF(B90=0,0,IF(B90&gt;calcoli!$C$11,"",C90-G90))</f>
        <v/>
      </c>
      <c r="G90" s="54" t="str">
        <f>IF(B90=0,0,IF(B90&gt;calcoli!$C$11,"",'sviluppo p. amm.to'!J89*calcoli!$C$10/12))</f>
        <v/>
      </c>
      <c r="H90" s="56" t="str">
        <f>IF(B90=0,0,IF(B90&gt;calcoli!$C$11,"",G90+calcoli!$C$36-calcoli!$C$35))</f>
        <v/>
      </c>
      <c r="I90" s="52" t="str">
        <f t="shared" si="10"/>
        <v/>
      </c>
      <c r="J90" s="13" t="str">
        <f t="shared" si="11"/>
        <v/>
      </c>
      <c r="K90" s="55" t="str">
        <f>IF(B90=0,0,IF(B90&gt;calcoli!$C$11,"",$K$3))</f>
        <v/>
      </c>
      <c r="L90" s="29" t="str">
        <f t="shared" si="8"/>
        <v/>
      </c>
      <c r="M90" s="29" t="str">
        <f t="shared" si="9"/>
        <v/>
      </c>
      <c r="N90" s="13"/>
      <c r="O90" s="77"/>
      <c r="P90" s="17" t="str">
        <f>IF(A90&lt;calcoli!$C$11,calcoli!$C$36,IF(AND(calcoli!$C$8="maxirata",'sviluppo p. amm.to'!A90=calcoli!$C$11),calcoli!$C$46,IF('sviluppo p. amm.to'!A90=calcoli!$C$11,calcoli!$C$36,"")))</f>
        <v/>
      </c>
      <c r="Q90" s="59" t="str">
        <f t="shared" si="12"/>
        <v/>
      </c>
      <c r="R90" s="19" t="str">
        <f>IF(E90="","",IF(calcoli!$C$11&gt;18,E90+K90+L90+IF($M$2&lt;$N$2,M90,N90),E90+K90+L90+M90))</f>
        <v/>
      </c>
      <c r="S90" s="53"/>
      <c r="T90" s="88" t="str">
        <f>IF(A90&lt;calcoli!$C$11,calcoli!$C$58,IF(AND(calcoli!$C$8="maxirata",'sviluppo p. amm.to'!A90=calcoli!$C$11),calcoli!$C$46,IF('sviluppo p. amm.to'!A90=calcoli!$C$11,calcoli!$C$58,"")))</f>
        <v/>
      </c>
      <c r="U90" s="53"/>
      <c r="V90" s="67" t="str">
        <f>IF(calcoli!$C$8="MAXIRATA",IF(SIMULATORE!$E$16&gt;='sviluppo p. amm.to'!A90,calcoli!$C$50,""),"")</f>
        <v/>
      </c>
      <c r="W90" s="60" t="str">
        <f>IF(calcoli!$C$8="MAXIRATA",IF(SIMULATORE!$E$16&gt;='sviluppo p. amm.to'!A90,calcoli!$C$50+$K$3+IF(C90="",0,IF($M$2&lt;$N$2,IF(MOD(A90,12)&gt;0,0,1),0)),""),"")</f>
        <v/>
      </c>
      <c r="X90" s="22" t="str">
        <f>IF(calcoli!$C$8="MAXIRATA",IF(SIMULATORE!$E$16&gt;='sviluppo p. amm.to'!A90,calcoli!$C$50+$K$3+IF(C90="",0,IF($M$2&lt;$N$2,IF(MOD(A90,12)&gt;0,0,3),0)),""),"")</f>
        <v/>
      </c>
      <c r="Y90" s="53"/>
      <c r="AA90" s="61"/>
      <c r="AB90" s="61"/>
    </row>
    <row r="91" spans="1:28" hidden="1">
      <c r="A91" s="7">
        <v>86</v>
      </c>
      <c r="B91" s="7">
        <f t="shared" si="13"/>
        <v>86</v>
      </c>
      <c r="C91" s="54" t="str">
        <f>IF(B91=0,0,IF(calcoli!$C$8="MAXIRATA",IF('sviluppo p. amm.to'!B91=calcoli!$C$11,calcoli!$C$46,IF(B91&gt;calcoli!$C$11,"",calcoli!$C$35)),IF(B91&gt;calcoli!$C$11,"",calcoli!$C$35)))</f>
        <v/>
      </c>
      <c r="D91" s="54" t="str">
        <f>IF(B91=0,0,IF(calcoli!$C$8="MAXIRATA",IF('sviluppo p. amm.to'!B91=calcoli!$C$11,calcoli!$C$46,IF(B91&gt;calcoli!$C$11,"",calcoli!$C$36)),IF(B91&gt;calcoli!$C$11,"",calcoli!$C$36)))</f>
        <v/>
      </c>
      <c r="E91" s="55" t="str">
        <f>IF(C91=0,0,IF(C91="","",D91+MROUND(calcoli!$C$37,0.01)))</f>
        <v/>
      </c>
      <c r="F91" s="54" t="str">
        <f>IF(B91=0,0,IF(B91&gt;calcoli!$C$11,"",C91-G91))</f>
        <v/>
      </c>
      <c r="G91" s="54" t="str">
        <f>IF(B91=0,0,IF(B91&gt;calcoli!$C$11,"",'sviluppo p. amm.to'!J90*calcoli!$C$10/12))</f>
        <v/>
      </c>
      <c r="H91" s="56" t="str">
        <f>IF(B91=0,0,IF(B91&gt;calcoli!$C$11,"",G91+calcoli!$C$36-calcoli!$C$35))</f>
        <v/>
      </c>
      <c r="I91" s="52" t="str">
        <f t="shared" si="10"/>
        <v/>
      </c>
      <c r="J91" s="13" t="str">
        <f t="shared" si="11"/>
        <v/>
      </c>
      <c r="K91" s="55" t="str">
        <f>IF(B91=0,0,IF(B91&gt;calcoli!$C$11,"",$K$3))</f>
        <v/>
      </c>
      <c r="L91" s="29" t="str">
        <f t="shared" si="8"/>
        <v/>
      </c>
      <c r="M91" s="29" t="str">
        <f t="shared" si="9"/>
        <v/>
      </c>
      <c r="N91" s="13"/>
      <c r="O91" s="77"/>
      <c r="P91" s="17" t="str">
        <f>IF(A91&lt;calcoli!$C$11,calcoli!$C$36,IF(AND(calcoli!$C$8="maxirata",'sviluppo p. amm.to'!A91=calcoli!$C$11),calcoli!$C$46,IF('sviluppo p. amm.to'!A91=calcoli!$C$11,calcoli!$C$36,"")))</f>
        <v/>
      </c>
      <c r="Q91" s="59" t="str">
        <f t="shared" si="12"/>
        <v/>
      </c>
      <c r="R91" s="19" t="str">
        <f>IF(E91="","",IF(calcoli!$C$11&gt;18,E91+K91+L91+IF($M$2&lt;$N$2,M91,N91),E91+K91+L91+M91))</f>
        <v/>
      </c>
      <c r="S91" s="53"/>
      <c r="T91" s="88" t="str">
        <f>IF(A91&lt;calcoli!$C$11,calcoli!$C$58,IF(AND(calcoli!$C$8="maxirata",'sviluppo p. amm.to'!A91=calcoli!$C$11),calcoli!$C$46,IF('sviluppo p. amm.to'!A91=calcoli!$C$11,calcoli!$C$58,"")))</f>
        <v/>
      </c>
      <c r="U91" s="53"/>
      <c r="V91" s="67" t="str">
        <f>IF(calcoli!$C$8="MAXIRATA",IF(SIMULATORE!$E$16&gt;='sviluppo p. amm.to'!A91,calcoli!$C$50,""),"")</f>
        <v/>
      </c>
      <c r="W91" s="60" t="str">
        <f>IF(calcoli!$C$8="MAXIRATA",IF(SIMULATORE!$E$16&gt;='sviluppo p. amm.to'!A91,calcoli!$C$50+$K$3+IF(C91="",0,IF($M$2&lt;$N$2,IF(MOD(A91,12)&gt;0,0,1),0)),""),"")</f>
        <v/>
      </c>
      <c r="X91" s="22" t="str">
        <f>IF(calcoli!$C$8="MAXIRATA",IF(SIMULATORE!$E$16&gt;='sviluppo p. amm.to'!A91,calcoli!$C$50+$K$3+IF(C91="",0,IF($M$2&lt;$N$2,IF(MOD(A91,12)&gt;0,0,3),0)),""),"")</f>
        <v/>
      </c>
      <c r="Y91" s="53"/>
      <c r="AA91" s="61"/>
      <c r="AB91" s="61"/>
    </row>
    <row r="92" spans="1:28" hidden="1">
      <c r="A92" s="7">
        <v>87</v>
      </c>
      <c r="B92" s="7">
        <f t="shared" si="13"/>
        <v>87</v>
      </c>
      <c r="C92" s="54" t="str">
        <f>IF(B92=0,0,IF(calcoli!$C$8="MAXIRATA",IF('sviluppo p. amm.to'!B92=calcoli!$C$11,calcoli!$C$46,IF(B92&gt;calcoli!$C$11,"",calcoli!$C$35)),IF(B92&gt;calcoli!$C$11,"",calcoli!$C$35)))</f>
        <v/>
      </c>
      <c r="D92" s="54" t="str">
        <f>IF(B92=0,0,IF(calcoli!$C$8="MAXIRATA",IF('sviluppo p. amm.to'!B92=calcoli!$C$11,calcoli!$C$46,IF(B92&gt;calcoli!$C$11,"",calcoli!$C$36)),IF(B92&gt;calcoli!$C$11,"",calcoli!$C$36)))</f>
        <v/>
      </c>
      <c r="E92" s="55" t="str">
        <f>IF(C92=0,0,IF(C92="","",D92+MROUND(calcoli!$C$37,0.01)))</f>
        <v/>
      </c>
      <c r="F92" s="54" t="str">
        <f>IF(B92=0,0,IF(B92&gt;calcoli!$C$11,"",C92-G92))</f>
        <v/>
      </c>
      <c r="G92" s="54" t="str">
        <f>IF(B92=0,0,IF(B92&gt;calcoli!$C$11,"",'sviluppo p. amm.to'!J91*calcoli!$C$10/12))</f>
        <v/>
      </c>
      <c r="H92" s="56" t="str">
        <f>IF(B92=0,0,IF(B92&gt;calcoli!$C$11,"",G92+calcoli!$C$36-calcoli!$C$35))</f>
        <v/>
      </c>
      <c r="I92" s="52" t="str">
        <f t="shared" si="10"/>
        <v/>
      </c>
      <c r="J92" s="13" t="str">
        <f t="shared" si="11"/>
        <v/>
      </c>
      <c r="K92" s="55" t="str">
        <f>IF(B92=0,0,IF(B92&gt;calcoli!$C$11,"",$K$3))</f>
        <v/>
      </c>
      <c r="L92" s="29" t="str">
        <f t="shared" si="8"/>
        <v/>
      </c>
      <c r="M92" s="29" t="str">
        <f t="shared" si="9"/>
        <v/>
      </c>
      <c r="N92" s="13"/>
      <c r="O92" s="77"/>
      <c r="P92" s="17" t="str">
        <f>IF(A92&lt;calcoli!$C$11,calcoli!$C$36,IF(AND(calcoli!$C$8="maxirata",'sviluppo p. amm.to'!A92=calcoli!$C$11),calcoli!$C$46,IF('sviluppo p. amm.to'!A92=calcoli!$C$11,calcoli!$C$36,"")))</f>
        <v/>
      </c>
      <c r="Q92" s="59" t="str">
        <f t="shared" si="12"/>
        <v/>
      </c>
      <c r="R92" s="19" t="str">
        <f>IF(E92="","",IF(calcoli!$C$11&gt;18,E92+K92+L92+IF($M$2&lt;$N$2,M92,N92),E92+K92+L92+M92))</f>
        <v/>
      </c>
      <c r="S92" s="53"/>
      <c r="T92" s="88" t="str">
        <f>IF(A92&lt;calcoli!$C$11,calcoli!$C$58,IF(AND(calcoli!$C$8="maxirata",'sviluppo p. amm.to'!A92=calcoli!$C$11),calcoli!$C$46,IF('sviluppo p. amm.to'!A92=calcoli!$C$11,calcoli!$C$58,"")))</f>
        <v/>
      </c>
      <c r="U92" s="53"/>
      <c r="V92" s="67" t="str">
        <f>IF(calcoli!$C$8="MAXIRATA",IF(SIMULATORE!$E$16&gt;='sviluppo p. amm.to'!A92,calcoli!$C$50,""),"")</f>
        <v/>
      </c>
      <c r="W92" s="60" t="str">
        <f>IF(calcoli!$C$8="MAXIRATA",IF(SIMULATORE!$E$16&gt;='sviluppo p. amm.to'!A92,calcoli!$C$50+$K$3+IF(C92="",0,IF($M$2&lt;$N$2,IF(MOD(A92,12)&gt;0,0,1),0)),""),"")</f>
        <v/>
      </c>
      <c r="X92" s="22" t="str">
        <f>IF(calcoli!$C$8="MAXIRATA",IF(SIMULATORE!$E$16&gt;='sviluppo p. amm.to'!A92,calcoli!$C$50+$K$3+IF(C92="",0,IF($M$2&lt;$N$2,IF(MOD(A92,12)&gt;0,0,3),0)),""),"")</f>
        <v/>
      </c>
      <c r="Y92" s="53"/>
      <c r="AA92" s="61"/>
      <c r="AB92" s="61"/>
    </row>
    <row r="93" spans="1:28" hidden="1">
      <c r="A93" s="7">
        <v>88</v>
      </c>
      <c r="B93" s="7">
        <f t="shared" si="13"/>
        <v>88</v>
      </c>
      <c r="C93" s="54" t="str">
        <f>IF(B93=0,0,IF(calcoli!$C$8="MAXIRATA",IF('sviluppo p. amm.to'!B93=calcoli!$C$11,calcoli!$C$46,IF(B93&gt;calcoli!$C$11,"",calcoli!$C$35)),IF(B93&gt;calcoli!$C$11,"",calcoli!$C$35)))</f>
        <v/>
      </c>
      <c r="D93" s="54" t="str">
        <f>IF(B93=0,0,IF(calcoli!$C$8="MAXIRATA",IF('sviluppo p. amm.to'!B93=calcoli!$C$11,calcoli!$C$46,IF(B93&gt;calcoli!$C$11,"",calcoli!$C$36)),IF(B93&gt;calcoli!$C$11,"",calcoli!$C$36)))</f>
        <v/>
      </c>
      <c r="E93" s="55" t="str">
        <f>IF(C93=0,0,IF(C93="","",D93+MROUND(calcoli!$C$37,0.01)))</f>
        <v/>
      </c>
      <c r="F93" s="54" t="str">
        <f>IF(B93=0,0,IF(B93&gt;calcoli!$C$11,"",C93-G93))</f>
        <v/>
      </c>
      <c r="G93" s="54" t="str">
        <f>IF(B93=0,0,IF(B93&gt;calcoli!$C$11,"",'sviluppo p. amm.to'!J92*calcoli!$C$10/12))</f>
        <v/>
      </c>
      <c r="H93" s="56" t="str">
        <f>IF(B93=0,0,IF(B93&gt;calcoli!$C$11,"",G93+calcoli!$C$36-calcoli!$C$35))</f>
        <v/>
      </c>
      <c r="I93" s="52" t="str">
        <f t="shared" si="10"/>
        <v/>
      </c>
      <c r="J93" s="13" t="str">
        <f t="shared" si="11"/>
        <v/>
      </c>
      <c r="K93" s="55" t="str">
        <f>IF(B93=0,0,IF(B93&gt;calcoli!$C$11,"",$K$3))</f>
        <v/>
      </c>
      <c r="L93" s="29" t="str">
        <f t="shared" si="8"/>
        <v/>
      </c>
      <c r="M93" s="29" t="str">
        <f t="shared" si="9"/>
        <v/>
      </c>
      <c r="N93" s="13"/>
      <c r="O93" s="77"/>
      <c r="P93" s="17" t="str">
        <f>IF(A93&lt;calcoli!$C$11,calcoli!$C$36,IF(AND(calcoli!$C$8="maxirata",'sviluppo p. amm.to'!A93=calcoli!$C$11),calcoli!$C$46,IF('sviluppo p. amm.to'!A93=calcoli!$C$11,calcoli!$C$36,"")))</f>
        <v/>
      </c>
      <c r="Q93" s="59" t="str">
        <f t="shared" si="12"/>
        <v/>
      </c>
      <c r="R93" s="19" t="str">
        <f>IF(E93="","",IF(calcoli!$C$11&gt;18,E93+K93+L93+IF($M$2&lt;$N$2,M93,N93),E93+K93+L93+M93))</f>
        <v/>
      </c>
      <c r="S93" s="53"/>
      <c r="T93" s="88" t="str">
        <f>IF(A93&lt;calcoli!$C$11,calcoli!$C$58,IF(AND(calcoli!$C$8="maxirata",'sviluppo p. amm.to'!A93=calcoli!$C$11),calcoli!$C$46,IF('sviluppo p. amm.to'!A93=calcoli!$C$11,calcoli!$C$58,"")))</f>
        <v/>
      </c>
      <c r="U93" s="53"/>
      <c r="V93" s="67" t="str">
        <f>IF(calcoli!$C$8="MAXIRATA",IF(SIMULATORE!$E$16&gt;='sviluppo p. amm.to'!A93,calcoli!$C$50,""),"")</f>
        <v/>
      </c>
      <c r="W93" s="60" t="str">
        <f>IF(calcoli!$C$8="MAXIRATA",IF(SIMULATORE!$E$16&gt;='sviluppo p. amm.to'!A93,calcoli!$C$50+$K$3+IF(C93="",0,IF($M$2&lt;$N$2,IF(MOD(A93,12)&gt;0,0,1),0)),""),"")</f>
        <v/>
      </c>
      <c r="X93" s="22" t="str">
        <f>IF(calcoli!$C$8="MAXIRATA",IF(SIMULATORE!$E$16&gt;='sviluppo p. amm.to'!A93,calcoli!$C$50+$K$3+IF(C93="",0,IF($M$2&lt;$N$2,IF(MOD(A93,12)&gt;0,0,3),0)),""),"")</f>
        <v/>
      </c>
      <c r="Y93" s="53"/>
      <c r="AA93" s="61"/>
      <c r="AB93" s="61"/>
    </row>
    <row r="94" spans="1:28" hidden="1">
      <c r="A94" s="7">
        <v>89</v>
      </c>
      <c r="B94" s="7">
        <f t="shared" si="13"/>
        <v>89</v>
      </c>
      <c r="C94" s="54" t="str">
        <f>IF(B94=0,0,IF(calcoli!$C$8="MAXIRATA",IF('sviluppo p. amm.to'!B94=calcoli!$C$11,calcoli!$C$46,IF(B94&gt;calcoli!$C$11,"",calcoli!$C$35)),IF(B94&gt;calcoli!$C$11,"",calcoli!$C$35)))</f>
        <v/>
      </c>
      <c r="D94" s="54" t="str">
        <f>IF(B94=0,0,IF(calcoli!$C$8="MAXIRATA",IF('sviluppo p. amm.to'!B94=calcoli!$C$11,calcoli!$C$46,IF(B94&gt;calcoli!$C$11,"",calcoli!$C$36)),IF(B94&gt;calcoli!$C$11,"",calcoli!$C$36)))</f>
        <v/>
      </c>
      <c r="E94" s="55" t="str">
        <f>IF(C94=0,0,IF(C94="","",D94+MROUND(calcoli!$C$37,0.01)))</f>
        <v/>
      </c>
      <c r="F94" s="54" t="str">
        <f>IF(B94=0,0,IF(B94&gt;calcoli!$C$11,"",C94-G94))</f>
        <v/>
      </c>
      <c r="G94" s="54" t="str">
        <f>IF(B94=0,0,IF(B94&gt;calcoli!$C$11,"",'sviluppo p. amm.to'!J93*calcoli!$C$10/12))</f>
        <v/>
      </c>
      <c r="H94" s="56" t="str">
        <f>IF(B94=0,0,IF(B94&gt;calcoli!$C$11,"",G94+calcoli!$C$36-calcoli!$C$35))</f>
        <v/>
      </c>
      <c r="I94" s="52" t="str">
        <f t="shared" si="10"/>
        <v/>
      </c>
      <c r="J94" s="13" t="str">
        <f t="shared" si="11"/>
        <v/>
      </c>
      <c r="K94" s="55" t="str">
        <f>IF(B94=0,0,IF(B94&gt;calcoli!$C$11,"",$K$3))</f>
        <v/>
      </c>
      <c r="L94" s="29" t="str">
        <f t="shared" si="8"/>
        <v/>
      </c>
      <c r="M94" s="29" t="str">
        <f t="shared" si="9"/>
        <v/>
      </c>
      <c r="N94" s="13"/>
      <c r="O94" s="77"/>
      <c r="P94" s="17" t="str">
        <f>IF(A94&lt;calcoli!$C$11,calcoli!$C$36,IF(AND(calcoli!$C$8="maxirata",'sviluppo p. amm.to'!A94=calcoli!$C$11),calcoli!$C$46,IF('sviluppo p. amm.to'!A94=calcoli!$C$11,calcoli!$C$36,"")))</f>
        <v/>
      </c>
      <c r="Q94" s="59" t="str">
        <f t="shared" si="12"/>
        <v/>
      </c>
      <c r="R94" s="19" t="str">
        <f>IF(E94="","",IF(calcoli!$C$11&gt;18,E94+K94+L94+IF($M$2&lt;$N$2,M94,N94),E94+K94+L94+M94))</f>
        <v/>
      </c>
      <c r="S94" s="53"/>
      <c r="T94" s="88" t="str">
        <f>IF(A94&lt;calcoli!$C$11,calcoli!$C$58,IF(AND(calcoli!$C$8="maxirata",'sviluppo p. amm.to'!A94=calcoli!$C$11),calcoli!$C$46,IF('sviluppo p. amm.to'!A94=calcoli!$C$11,calcoli!$C$58,"")))</f>
        <v/>
      </c>
      <c r="U94" s="53"/>
      <c r="V94" s="67" t="str">
        <f>IF(calcoli!$C$8="MAXIRATA",IF(SIMULATORE!$E$16&gt;='sviluppo p. amm.to'!A94,calcoli!$C$50,""),"")</f>
        <v/>
      </c>
      <c r="W94" s="60" t="str">
        <f>IF(calcoli!$C$8="MAXIRATA",IF(SIMULATORE!$E$16&gt;='sviluppo p. amm.to'!A94,calcoli!$C$50+$K$3+IF(C94="",0,IF($M$2&lt;$N$2,IF(MOD(A94,12)&gt;0,0,1),0)),""),"")</f>
        <v/>
      </c>
      <c r="X94" s="22" t="str">
        <f>IF(calcoli!$C$8="MAXIRATA",IF(SIMULATORE!$E$16&gt;='sviluppo p. amm.to'!A94,calcoli!$C$50+$K$3+IF(C94="",0,IF($M$2&lt;$N$2,IF(MOD(A94,12)&gt;0,0,3),0)),""),"")</f>
        <v/>
      </c>
      <c r="Y94" s="53"/>
      <c r="AA94" s="61"/>
      <c r="AB94" s="61"/>
    </row>
    <row r="95" spans="1:28" hidden="1">
      <c r="A95" s="7">
        <v>90</v>
      </c>
      <c r="B95" s="7">
        <f t="shared" si="13"/>
        <v>90</v>
      </c>
      <c r="C95" s="54" t="str">
        <f>IF(B95=0,0,IF(calcoli!$C$8="MAXIRATA",IF('sviluppo p. amm.to'!B95=calcoli!$C$11,calcoli!$C$46,IF(B95&gt;calcoli!$C$11,"",calcoli!$C$35)),IF(B95&gt;calcoli!$C$11,"",calcoli!$C$35)))</f>
        <v/>
      </c>
      <c r="D95" s="54" t="str">
        <f>IF(B95=0,0,IF(calcoli!$C$8="MAXIRATA",IF('sviluppo p. amm.to'!B95=calcoli!$C$11,calcoli!$C$46,IF(B95&gt;calcoli!$C$11,"",calcoli!$C$36)),IF(B95&gt;calcoli!$C$11,"",calcoli!$C$36)))</f>
        <v/>
      </c>
      <c r="E95" s="55" t="str">
        <f>IF(C95=0,0,IF(C95="","",D95+MROUND(calcoli!$C$37,0.01)))</f>
        <v/>
      </c>
      <c r="F95" s="54" t="str">
        <f>IF(B95=0,0,IF(B95&gt;calcoli!$C$11,"",C95-G95))</f>
        <v/>
      </c>
      <c r="G95" s="54" t="str">
        <f>IF(B95=0,0,IF(B95&gt;calcoli!$C$11,"",'sviluppo p. amm.to'!J94*calcoli!$C$10/12))</f>
        <v/>
      </c>
      <c r="H95" s="56" t="str">
        <f>IF(B95=0,0,IF(B95&gt;calcoli!$C$11,"",G95+calcoli!$C$36-calcoli!$C$35))</f>
        <v/>
      </c>
      <c r="I95" s="52" t="str">
        <f t="shared" si="10"/>
        <v/>
      </c>
      <c r="J95" s="13" t="str">
        <f t="shared" si="11"/>
        <v/>
      </c>
      <c r="K95" s="55" t="str">
        <f>IF(B95=0,0,IF(B95&gt;calcoli!$C$11,"",$K$3))</f>
        <v/>
      </c>
      <c r="L95" s="29" t="str">
        <f t="shared" si="8"/>
        <v/>
      </c>
      <c r="M95" s="29" t="str">
        <f t="shared" si="9"/>
        <v/>
      </c>
      <c r="N95" s="13"/>
      <c r="O95" s="77"/>
      <c r="P95" s="17" t="str">
        <f>IF(A95&lt;calcoli!$C$11,calcoli!$C$36,IF(AND(calcoli!$C$8="maxirata",'sviluppo p. amm.to'!A95=calcoli!$C$11),calcoli!$C$46,IF('sviluppo p. amm.to'!A95=calcoli!$C$11,calcoli!$C$36,"")))</f>
        <v/>
      </c>
      <c r="Q95" s="59" t="str">
        <f t="shared" si="12"/>
        <v/>
      </c>
      <c r="R95" s="19" t="str">
        <f>IF(E95="","",IF(calcoli!$C$11&gt;18,E95+K95+L95+IF($M$2&lt;$N$2,M95,N95),E95+K95+L95+M95))</f>
        <v/>
      </c>
      <c r="S95" s="53"/>
      <c r="T95" s="88" t="str">
        <f>IF(A95&lt;calcoli!$C$11,calcoli!$C$58,IF(AND(calcoli!$C$8="maxirata",'sviluppo p. amm.to'!A95=calcoli!$C$11),calcoli!$C$46,IF('sviluppo p. amm.to'!A95=calcoli!$C$11,calcoli!$C$58,"")))</f>
        <v/>
      </c>
      <c r="U95" s="53"/>
      <c r="V95" s="67" t="str">
        <f>IF(calcoli!$C$8="MAXIRATA",IF(SIMULATORE!$E$16&gt;='sviluppo p. amm.to'!A95,calcoli!$C$50,""),"")</f>
        <v/>
      </c>
      <c r="W95" s="60" t="str">
        <f>IF(calcoli!$C$8="MAXIRATA",IF(SIMULATORE!$E$16&gt;='sviluppo p. amm.to'!A95,calcoli!$C$50+$K$3+IF(C95="",0,IF($M$2&lt;$N$2,IF(MOD(A95,12)&gt;0,0,1),0)),""),"")</f>
        <v/>
      </c>
      <c r="X95" s="22" t="str">
        <f>IF(calcoli!$C$8="MAXIRATA",IF(SIMULATORE!$E$16&gt;='sviluppo p. amm.to'!A95,calcoli!$C$50+$K$3+IF(C95="",0,IF($M$2&lt;$N$2,IF(MOD(A95,12)&gt;0,0,3),0)),""),"")</f>
        <v/>
      </c>
      <c r="Y95" s="53"/>
      <c r="AA95" s="61"/>
      <c r="AB95" s="61"/>
    </row>
    <row r="96" spans="1:28" hidden="1">
      <c r="A96" s="7">
        <v>91</v>
      </c>
      <c r="B96" s="7">
        <f t="shared" si="13"/>
        <v>91</v>
      </c>
      <c r="C96" s="54" t="str">
        <f>IF(B96=0,0,IF(calcoli!$C$8="MAXIRATA",IF('sviluppo p. amm.to'!B96=calcoli!$C$11,calcoli!$C$46,IF(B96&gt;calcoli!$C$11,"",calcoli!$C$35)),IF(B96&gt;calcoli!$C$11,"",calcoli!$C$35)))</f>
        <v/>
      </c>
      <c r="D96" s="54" t="str">
        <f>IF(B96=0,0,IF(calcoli!$C$8="MAXIRATA",IF('sviluppo p. amm.to'!B96=calcoli!$C$11,calcoli!$C$46,IF(B96&gt;calcoli!$C$11,"",calcoli!$C$36)),IF(B96&gt;calcoli!$C$11,"",calcoli!$C$36)))</f>
        <v/>
      </c>
      <c r="E96" s="55" t="str">
        <f>IF(C96=0,0,IF(C96="","",D96+MROUND(calcoli!$C$37,0.01)))</f>
        <v/>
      </c>
      <c r="F96" s="54" t="str">
        <f>IF(B96=0,0,IF(B96&gt;calcoli!$C$11,"",C96-G96))</f>
        <v/>
      </c>
      <c r="G96" s="54" t="str">
        <f>IF(B96=0,0,IF(B96&gt;calcoli!$C$11,"",'sviluppo p. amm.to'!J95*calcoli!$C$10/12))</f>
        <v/>
      </c>
      <c r="H96" s="56" t="str">
        <f>IF(B96=0,0,IF(B96&gt;calcoli!$C$11,"",G96+calcoli!$C$36-calcoli!$C$35))</f>
        <v/>
      </c>
      <c r="I96" s="52" t="str">
        <f t="shared" si="10"/>
        <v/>
      </c>
      <c r="J96" s="13" t="str">
        <f t="shared" si="11"/>
        <v/>
      </c>
      <c r="K96" s="55" t="str">
        <f>IF(B96=0,0,IF(B96&gt;calcoli!$C$11,"",$K$3))</f>
        <v/>
      </c>
      <c r="L96" s="29" t="str">
        <f t="shared" si="8"/>
        <v/>
      </c>
      <c r="M96" s="29" t="str">
        <f t="shared" si="9"/>
        <v/>
      </c>
      <c r="N96" s="13"/>
      <c r="O96" s="77"/>
      <c r="P96" s="17" t="str">
        <f>IF(A96&lt;calcoli!$C$11,calcoli!$C$36,IF(AND(calcoli!$C$8="maxirata",'sviluppo p. amm.to'!A96=calcoli!$C$11),calcoli!$C$46,IF('sviluppo p. amm.to'!A96=calcoli!$C$11,calcoli!$C$36,"")))</f>
        <v/>
      </c>
      <c r="Q96" s="59" t="str">
        <f t="shared" si="12"/>
        <v/>
      </c>
      <c r="R96" s="19" t="str">
        <f>IF(E96="","",IF(calcoli!$C$11&gt;18,E96+K96+L96+IF($M$2&lt;$N$2,M96,N96),E96+K96+L96+M96))</f>
        <v/>
      </c>
      <c r="S96" s="53"/>
      <c r="T96" s="88" t="str">
        <f>IF(A96&lt;calcoli!$C$11,calcoli!$C$58,IF(AND(calcoli!$C$8="maxirata",'sviluppo p. amm.to'!A96=calcoli!$C$11),calcoli!$C$46,IF('sviluppo p. amm.to'!A96=calcoli!$C$11,calcoli!$C$58,"")))</f>
        <v/>
      </c>
      <c r="U96" s="53"/>
      <c r="V96" s="67" t="str">
        <f>IF(calcoli!$C$8="MAXIRATA",IF(SIMULATORE!$E$16&gt;='sviluppo p. amm.to'!A96,calcoli!$C$50,""),"")</f>
        <v/>
      </c>
      <c r="W96" s="60" t="str">
        <f>IF(calcoli!$C$8="MAXIRATA",IF(SIMULATORE!$E$16&gt;='sviluppo p. amm.to'!A96,calcoli!$C$50+$K$3+IF(C96="",0,IF($M$2&lt;$N$2,IF(MOD(A96,12)&gt;0,0,1),0)),""),"")</f>
        <v/>
      </c>
      <c r="X96" s="22" t="str">
        <f>IF(calcoli!$C$8="MAXIRATA",IF(SIMULATORE!$E$16&gt;='sviluppo p. amm.to'!A96,calcoli!$C$50+$K$3+IF(C96="",0,IF($M$2&lt;$N$2,IF(MOD(A96,12)&gt;0,0,3),0)),""),"")</f>
        <v/>
      </c>
      <c r="Y96" s="53"/>
      <c r="AA96" s="61"/>
      <c r="AB96" s="61"/>
    </row>
    <row r="97" spans="1:28" hidden="1">
      <c r="A97" s="7">
        <v>92</v>
      </c>
      <c r="B97" s="7">
        <f t="shared" si="13"/>
        <v>92</v>
      </c>
      <c r="C97" s="54" t="str">
        <f>IF(B97=0,0,IF(calcoli!$C$8="MAXIRATA",IF('sviluppo p. amm.to'!B97=calcoli!$C$11,calcoli!$C$46,IF(B97&gt;calcoli!$C$11,"",calcoli!$C$35)),IF(B97&gt;calcoli!$C$11,"",calcoli!$C$35)))</f>
        <v/>
      </c>
      <c r="D97" s="54" t="str">
        <f>IF(B97=0,0,IF(calcoli!$C$8="MAXIRATA",IF('sviluppo p. amm.to'!B97=calcoli!$C$11,calcoli!$C$46,IF(B97&gt;calcoli!$C$11,"",calcoli!$C$36)),IF(B97&gt;calcoli!$C$11,"",calcoli!$C$36)))</f>
        <v/>
      </c>
      <c r="E97" s="55" t="str">
        <f>IF(C97=0,0,IF(C97="","",D97+MROUND(calcoli!$C$37,0.01)))</f>
        <v/>
      </c>
      <c r="F97" s="54" t="str">
        <f>IF(B97=0,0,IF(B97&gt;calcoli!$C$11,"",C97-G97))</f>
        <v/>
      </c>
      <c r="G97" s="54" t="str">
        <f>IF(B97=0,0,IF(B97&gt;calcoli!$C$11,"",'sviluppo p. amm.to'!J96*calcoli!$C$10/12))</f>
        <v/>
      </c>
      <c r="H97" s="56" t="str">
        <f>IF(B97=0,0,IF(B97&gt;calcoli!$C$11,"",G97+calcoli!$C$36-calcoli!$C$35))</f>
        <v/>
      </c>
      <c r="I97" s="52" t="str">
        <f t="shared" si="10"/>
        <v/>
      </c>
      <c r="J97" s="13" t="str">
        <f t="shared" si="11"/>
        <v/>
      </c>
      <c r="K97" s="55" t="str">
        <f>IF(B97=0,0,IF(B97&gt;calcoli!$C$11,"",$K$3))</f>
        <v/>
      </c>
      <c r="L97" s="29" t="str">
        <f t="shared" si="8"/>
        <v/>
      </c>
      <c r="M97" s="29" t="str">
        <f t="shared" si="9"/>
        <v/>
      </c>
      <c r="N97" s="13"/>
      <c r="O97" s="77"/>
      <c r="P97" s="17" t="str">
        <f>IF(A97&lt;calcoli!$C$11,calcoli!$C$36,IF(AND(calcoli!$C$8="maxirata",'sviluppo p. amm.to'!A97=calcoli!$C$11),calcoli!$C$46,IF('sviluppo p. amm.to'!A97=calcoli!$C$11,calcoli!$C$36,"")))</f>
        <v/>
      </c>
      <c r="Q97" s="59" t="str">
        <f t="shared" si="12"/>
        <v/>
      </c>
      <c r="R97" s="19" t="str">
        <f>IF(E97="","",IF(calcoli!$C$11&gt;18,E97+K97+L97+IF($M$2&lt;$N$2,M97,N97),E97+K97+L97+M97))</f>
        <v/>
      </c>
      <c r="S97" s="53"/>
      <c r="T97" s="88" t="str">
        <f>IF(A97&lt;calcoli!$C$11,calcoli!$C$58,IF(AND(calcoli!$C$8="maxirata",'sviluppo p. amm.to'!A97=calcoli!$C$11),calcoli!$C$46,IF('sviluppo p. amm.to'!A97=calcoli!$C$11,calcoli!$C$58,"")))</f>
        <v/>
      </c>
      <c r="U97" s="53"/>
      <c r="V97" s="67" t="str">
        <f>IF(calcoli!$C$8="MAXIRATA",IF(SIMULATORE!$E$16&gt;='sviluppo p. amm.to'!A97,calcoli!$C$50,""),"")</f>
        <v/>
      </c>
      <c r="W97" s="60" t="str">
        <f>IF(calcoli!$C$8="MAXIRATA",IF(SIMULATORE!$E$16&gt;='sviluppo p. amm.to'!A97,calcoli!$C$50+$K$3+IF(C97="",0,IF($M$2&lt;$N$2,IF(MOD(A97,12)&gt;0,0,1),0)),""),"")</f>
        <v/>
      </c>
      <c r="X97" s="22" t="str">
        <f>IF(calcoli!$C$8="MAXIRATA",IF(SIMULATORE!$E$16&gt;='sviluppo p. amm.to'!A97,calcoli!$C$50+$K$3+IF(C97="",0,IF($M$2&lt;$N$2,IF(MOD(A97,12)&gt;0,0,3),0)),""),"")</f>
        <v/>
      </c>
      <c r="Y97" s="53"/>
      <c r="AA97" s="61"/>
      <c r="AB97" s="61"/>
    </row>
    <row r="98" spans="1:28" hidden="1">
      <c r="A98" s="7">
        <v>93</v>
      </c>
      <c r="B98" s="7">
        <f t="shared" si="13"/>
        <v>93</v>
      </c>
      <c r="C98" s="54" t="str">
        <f>IF(B98=0,0,IF(calcoli!$C$8="MAXIRATA",IF('sviluppo p. amm.to'!B98=calcoli!$C$11,calcoli!$C$46,IF(B98&gt;calcoli!$C$11,"",calcoli!$C$35)),IF(B98&gt;calcoli!$C$11,"",calcoli!$C$35)))</f>
        <v/>
      </c>
      <c r="D98" s="54" t="str">
        <f>IF(B98=0,0,IF(calcoli!$C$8="MAXIRATA",IF('sviluppo p. amm.to'!B98=calcoli!$C$11,calcoli!$C$46,IF(B98&gt;calcoli!$C$11,"",calcoli!$C$36)),IF(B98&gt;calcoli!$C$11,"",calcoli!$C$36)))</f>
        <v/>
      </c>
      <c r="E98" s="55" t="str">
        <f>IF(C98=0,0,IF(C98="","",D98+MROUND(calcoli!$C$37,0.01)))</f>
        <v/>
      </c>
      <c r="F98" s="54" t="str">
        <f>IF(B98=0,0,IF(B98&gt;calcoli!$C$11,"",C98-G98))</f>
        <v/>
      </c>
      <c r="G98" s="54" t="str">
        <f>IF(B98=0,0,IF(B98&gt;calcoli!$C$11,"",'sviluppo p. amm.to'!J97*calcoli!$C$10/12))</f>
        <v/>
      </c>
      <c r="H98" s="56" t="str">
        <f>IF(B98=0,0,IF(B98&gt;calcoli!$C$11,"",G98+calcoli!$C$36-calcoli!$C$35))</f>
        <v/>
      </c>
      <c r="I98" s="52" t="str">
        <f t="shared" si="10"/>
        <v/>
      </c>
      <c r="J98" s="13" t="str">
        <f t="shared" si="11"/>
        <v/>
      </c>
      <c r="K98" s="55" t="str">
        <f>IF(B98=0,0,IF(B98&gt;calcoli!$C$11,"",$K$3))</f>
        <v/>
      </c>
      <c r="L98" s="29" t="str">
        <f t="shared" si="8"/>
        <v/>
      </c>
      <c r="M98" s="29" t="str">
        <f t="shared" si="9"/>
        <v/>
      </c>
      <c r="N98" s="13"/>
      <c r="O98" s="77"/>
      <c r="P98" s="17" t="str">
        <f>IF(A98&lt;calcoli!$C$11,calcoli!$C$36,IF(AND(calcoli!$C$8="maxirata",'sviluppo p. amm.to'!A98=calcoli!$C$11),calcoli!$C$46,IF('sviluppo p. amm.to'!A98=calcoli!$C$11,calcoli!$C$36,"")))</f>
        <v/>
      </c>
      <c r="Q98" s="59" t="str">
        <f t="shared" si="12"/>
        <v/>
      </c>
      <c r="R98" s="19" t="str">
        <f>IF(E98="","",IF(calcoli!$C$11&gt;18,E98+K98+L98+IF($M$2&lt;$N$2,M98,N98),E98+K98+L98+M98))</f>
        <v/>
      </c>
      <c r="S98" s="53"/>
      <c r="T98" s="88" t="str">
        <f>IF(A98&lt;calcoli!$C$11,calcoli!$C$58,IF(AND(calcoli!$C$8="maxirata",'sviluppo p. amm.to'!A98=calcoli!$C$11),calcoli!$C$46,IF('sviluppo p. amm.to'!A98=calcoli!$C$11,calcoli!$C$58,"")))</f>
        <v/>
      </c>
      <c r="U98" s="53"/>
      <c r="V98" s="67" t="str">
        <f>IF(calcoli!$C$8="MAXIRATA",IF(SIMULATORE!$E$16&gt;='sviluppo p. amm.to'!A98,calcoli!$C$50,""),"")</f>
        <v/>
      </c>
      <c r="W98" s="60" t="str">
        <f>IF(calcoli!$C$8="MAXIRATA",IF(SIMULATORE!$E$16&gt;='sviluppo p. amm.to'!A98,calcoli!$C$50+$K$3+IF(C98="",0,IF($M$2&lt;$N$2,IF(MOD(A98,12)&gt;0,0,1),0)),""),"")</f>
        <v/>
      </c>
      <c r="X98" s="22" t="str">
        <f>IF(calcoli!$C$8="MAXIRATA",IF(SIMULATORE!$E$16&gt;='sviluppo p. amm.to'!A98,calcoli!$C$50+$K$3+IF(C98="",0,IF($M$2&lt;$N$2,IF(MOD(A98,12)&gt;0,0,3),0)),""),"")</f>
        <v/>
      </c>
      <c r="Y98" s="53"/>
      <c r="AA98" s="61"/>
      <c r="AB98" s="61"/>
    </row>
    <row r="99" spans="1:28" hidden="1">
      <c r="A99" s="7">
        <v>94</v>
      </c>
      <c r="B99" s="7">
        <f t="shared" si="13"/>
        <v>94</v>
      </c>
      <c r="C99" s="54" t="str">
        <f>IF(B99=0,0,IF(calcoli!$C$8="MAXIRATA",IF('sviluppo p. amm.to'!B99=calcoli!$C$11,calcoli!$C$46,IF(B99&gt;calcoli!$C$11,"",calcoli!$C$35)),IF(B99&gt;calcoli!$C$11,"",calcoli!$C$35)))</f>
        <v/>
      </c>
      <c r="D99" s="54" t="str">
        <f>IF(B99=0,0,IF(calcoli!$C$8="MAXIRATA",IF('sviluppo p. amm.to'!B99=calcoli!$C$11,calcoli!$C$46,IF(B99&gt;calcoli!$C$11,"",calcoli!$C$36)),IF(B99&gt;calcoli!$C$11,"",calcoli!$C$36)))</f>
        <v/>
      </c>
      <c r="E99" s="55" t="str">
        <f>IF(C99=0,0,IF(C99="","",D99+MROUND(calcoli!$C$37,0.01)))</f>
        <v/>
      </c>
      <c r="F99" s="54" t="str">
        <f>IF(B99=0,0,IF(B99&gt;calcoli!$C$11,"",C99-G99))</f>
        <v/>
      </c>
      <c r="G99" s="54" t="str">
        <f>IF(B99=0,0,IF(B99&gt;calcoli!$C$11,"",'sviluppo p. amm.to'!J98*calcoli!$C$10/12))</f>
        <v/>
      </c>
      <c r="H99" s="56" t="str">
        <f>IF(B99=0,0,IF(B99&gt;calcoli!$C$11,"",G99+calcoli!$C$36-calcoli!$C$35))</f>
        <v/>
      </c>
      <c r="I99" s="52" t="str">
        <f t="shared" si="10"/>
        <v/>
      </c>
      <c r="J99" s="13" t="str">
        <f t="shared" si="11"/>
        <v/>
      </c>
      <c r="K99" s="55" t="str">
        <f>IF(B99=0,0,IF(B99&gt;calcoli!$C$11,"",$K$3))</f>
        <v/>
      </c>
      <c r="L99" s="29" t="str">
        <f t="shared" si="8"/>
        <v/>
      </c>
      <c r="M99" s="29" t="str">
        <f t="shared" si="9"/>
        <v/>
      </c>
      <c r="N99" s="13"/>
      <c r="O99" s="77"/>
      <c r="P99" s="17" t="str">
        <f>IF(A99&lt;calcoli!$C$11,calcoli!$C$36,IF(AND(calcoli!$C$8="maxirata",'sviluppo p. amm.to'!A99=calcoli!$C$11),calcoli!$C$46,IF('sviluppo p. amm.to'!A99=calcoli!$C$11,calcoli!$C$36,"")))</f>
        <v/>
      </c>
      <c r="Q99" s="59" t="str">
        <f t="shared" si="12"/>
        <v/>
      </c>
      <c r="R99" s="19" t="str">
        <f>IF(E99="","",IF(calcoli!$C$11&gt;18,E99+K99+L99+IF($M$2&lt;$N$2,M99,N99),E99+K99+L99+M99))</f>
        <v/>
      </c>
      <c r="S99" s="53"/>
      <c r="T99" s="88" t="str">
        <f>IF(A99&lt;calcoli!$C$11,calcoli!$C$58,IF(AND(calcoli!$C$8="maxirata",'sviluppo p. amm.to'!A99=calcoli!$C$11),calcoli!$C$46,IF('sviluppo p. amm.to'!A99=calcoli!$C$11,calcoli!$C$58,"")))</f>
        <v/>
      </c>
      <c r="U99" s="53"/>
      <c r="V99" s="67" t="str">
        <f>IF(calcoli!$C$8="MAXIRATA",IF(SIMULATORE!$E$16&gt;='sviluppo p. amm.to'!A99,calcoli!$C$50,""),"")</f>
        <v/>
      </c>
      <c r="W99" s="60" t="str">
        <f>IF(calcoli!$C$8="MAXIRATA",IF(SIMULATORE!$E$16&gt;='sviluppo p. amm.to'!A99,calcoli!$C$50+$K$3+IF(C99="",0,IF($M$2&lt;$N$2,IF(MOD(A99,12)&gt;0,0,1),0)),""),"")</f>
        <v/>
      </c>
      <c r="X99" s="22" t="str">
        <f>IF(calcoli!$C$8="MAXIRATA",IF(SIMULATORE!$E$16&gt;='sviluppo p. amm.to'!A99,calcoli!$C$50+$K$3+IF(C99="",0,IF($M$2&lt;$N$2,IF(MOD(A99,12)&gt;0,0,3),0)),""),"")</f>
        <v/>
      </c>
      <c r="Y99" s="53"/>
      <c r="AA99" s="61"/>
      <c r="AB99" s="61"/>
    </row>
    <row r="100" spans="1:28" hidden="1">
      <c r="A100" s="7">
        <v>95</v>
      </c>
      <c r="B100" s="7">
        <f t="shared" si="13"/>
        <v>95</v>
      </c>
      <c r="C100" s="54" t="str">
        <f>IF(B100=0,0,IF(calcoli!$C$8="MAXIRATA",IF('sviluppo p. amm.to'!B100=calcoli!$C$11,calcoli!$C$46,IF(B100&gt;calcoli!$C$11,"",calcoli!$C$35)),IF(B100&gt;calcoli!$C$11,"",calcoli!$C$35)))</f>
        <v/>
      </c>
      <c r="D100" s="54" t="str">
        <f>IF(B100=0,0,IF(calcoli!$C$8="MAXIRATA",IF('sviluppo p. amm.to'!B100=calcoli!$C$11,calcoli!$C$46,IF(B100&gt;calcoli!$C$11,"",calcoli!$C$36)),IF(B100&gt;calcoli!$C$11,"",calcoli!$C$36)))</f>
        <v/>
      </c>
      <c r="E100" s="55" t="str">
        <f>IF(C100=0,0,IF(C100="","",D100+MROUND(calcoli!$C$37,0.01)))</f>
        <v/>
      </c>
      <c r="F100" s="54" t="str">
        <f>IF(B100=0,0,IF(B100&gt;calcoli!$C$11,"",C100-G100))</f>
        <v/>
      </c>
      <c r="G100" s="54" t="str">
        <f>IF(B100=0,0,IF(B100&gt;calcoli!$C$11,"",'sviluppo p. amm.to'!J99*calcoli!$C$10/12))</f>
        <v/>
      </c>
      <c r="H100" s="56" t="str">
        <f>IF(B100=0,0,IF(B100&gt;calcoli!$C$11,"",G100+calcoli!$C$36-calcoli!$C$35))</f>
        <v/>
      </c>
      <c r="I100" s="52" t="str">
        <f t="shared" si="10"/>
        <v/>
      </c>
      <c r="J100" s="13" t="str">
        <f t="shared" si="11"/>
        <v/>
      </c>
      <c r="K100" s="55" t="str">
        <f>IF(B100=0,0,IF(B100&gt;calcoli!$C$11,"",$K$3))</f>
        <v/>
      </c>
      <c r="L100" s="29" t="str">
        <f t="shared" si="8"/>
        <v/>
      </c>
      <c r="M100" s="29" t="str">
        <f t="shared" si="9"/>
        <v/>
      </c>
      <c r="N100" s="13"/>
      <c r="O100" s="77"/>
      <c r="P100" s="17" t="str">
        <f>IF(A100&lt;calcoli!$C$11,calcoli!$C$36,IF(AND(calcoli!$C$8="maxirata",'sviluppo p. amm.to'!A100=calcoli!$C$11),calcoli!$C$46,IF('sviluppo p. amm.to'!A100=calcoli!$C$11,calcoli!$C$36,"")))</f>
        <v/>
      </c>
      <c r="Q100" s="59" t="str">
        <f t="shared" si="12"/>
        <v/>
      </c>
      <c r="R100" s="19" t="str">
        <f>IF(E100="","",IF(calcoli!$C$11&gt;18,E100+K100+L100+IF($M$2&lt;$N$2,M100,N100),E100+K100+L100+M100))</f>
        <v/>
      </c>
      <c r="S100" s="53"/>
      <c r="T100" s="88" t="str">
        <f>IF(A100&lt;calcoli!$C$11,calcoli!$C$58,IF(AND(calcoli!$C$8="maxirata",'sviluppo p. amm.to'!A100=calcoli!$C$11),calcoli!$C$46,IF('sviluppo p. amm.to'!A100=calcoli!$C$11,calcoli!$C$58,"")))</f>
        <v/>
      </c>
      <c r="U100" s="53"/>
      <c r="V100" s="67" t="str">
        <f>IF(calcoli!$C$8="MAXIRATA",IF(SIMULATORE!$E$16&gt;='sviluppo p. amm.to'!A100,calcoli!$C$50,""),"")</f>
        <v/>
      </c>
      <c r="W100" s="60" t="str">
        <f>IF(calcoli!$C$8="MAXIRATA",IF(SIMULATORE!$E$16&gt;='sviluppo p. amm.to'!A100,calcoli!$C$50+$K$3+IF(C100="",0,IF($M$2&lt;$N$2,IF(MOD(A100,12)&gt;0,0,1),0)),""),"")</f>
        <v/>
      </c>
      <c r="X100" s="22" t="str">
        <f>IF(calcoli!$C$8="MAXIRATA",IF(SIMULATORE!$E$16&gt;='sviluppo p. amm.to'!A100,calcoli!$C$50+$K$3+IF(C100="",0,IF($M$2&lt;$N$2,IF(MOD(A100,12)&gt;0,0,3),0)),""),"")</f>
        <v/>
      </c>
      <c r="Y100" s="53"/>
      <c r="AA100" s="61"/>
      <c r="AB100" s="61"/>
    </row>
    <row r="101" spans="1:28" hidden="1">
      <c r="A101" s="7">
        <v>96</v>
      </c>
      <c r="B101" s="7">
        <f t="shared" si="13"/>
        <v>96</v>
      </c>
      <c r="C101" s="54" t="str">
        <f>IF(B101=0,0,IF(calcoli!$C$8="MAXIRATA",IF('sviluppo p. amm.to'!B101=calcoli!$C$11,calcoli!$C$46,IF(B101&gt;calcoli!$C$11,"",calcoli!$C$35)),IF(B101&gt;calcoli!$C$11,"",calcoli!$C$35)))</f>
        <v/>
      </c>
      <c r="D101" s="54" t="str">
        <f>IF(B101=0,0,IF(calcoli!$C$8="MAXIRATA",IF('sviluppo p. amm.to'!B101=calcoli!$C$11,calcoli!$C$46,IF(B101&gt;calcoli!$C$11,"",calcoli!$C$36)),IF(B101&gt;calcoli!$C$11,"",calcoli!$C$36)))</f>
        <v/>
      </c>
      <c r="E101" s="55" t="str">
        <f>IF(C101=0,0,IF(C101="","",D101+MROUND(calcoli!$C$37,0.01)))</f>
        <v/>
      </c>
      <c r="F101" s="54" t="str">
        <f>IF(B101=0,0,IF(B101&gt;calcoli!$C$11,"",C101-G101))</f>
        <v/>
      </c>
      <c r="G101" s="54" t="str">
        <f>IF(B101=0,0,IF(B101&gt;calcoli!$C$11,"",'sviluppo p. amm.to'!J100*calcoli!$C$10/12))</f>
        <v/>
      </c>
      <c r="H101" s="56" t="str">
        <f>IF(B101=0,0,IF(B101&gt;calcoli!$C$11,"",G101+calcoli!$C$36-calcoli!$C$35))</f>
        <v/>
      </c>
      <c r="I101" s="52" t="str">
        <f t="shared" si="10"/>
        <v/>
      </c>
      <c r="J101" s="13" t="str">
        <f t="shared" si="11"/>
        <v/>
      </c>
      <c r="K101" s="55" t="str">
        <f>IF(B101=0,0,IF(B101&gt;calcoli!$C$11,"",$K$3))</f>
        <v/>
      </c>
      <c r="L101" s="29" t="str">
        <f t="shared" si="8"/>
        <v/>
      </c>
      <c r="M101" s="29" t="str">
        <f t="shared" si="9"/>
        <v/>
      </c>
      <c r="N101" s="13"/>
      <c r="O101" s="77"/>
      <c r="P101" s="17" t="str">
        <f>IF(A101&lt;calcoli!$C$11,calcoli!$C$36,IF(AND(calcoli!$C$8="maxirata",'sviluppo p. amm.to'!A101=calcoli!$C$11),calcoli!$C$46,IF('sviluppo p. amm.to'!A101=calcoli!$C$11,calcoli!$C$36,"")))</f>
        <v/>
      </c>
      <c r="Q101" s="59" t="str">
        <f t="shared" si="12"/>
        <v/>
      </c>
      <c r="R101" s="19" t="str">
        <f>IF(E101="","",IF(calcoli!$C$11&gt;18,E101+K101+L101+IF($M$2&lt;$N$2,M101,N101),E101+K101+L101+M101))</f>
        <v/>
      </c>
      <c r="S101" s="53"/>
      <c r="T101" s="88" t="str">
        <f>IF(A101&lt;calcoli!$C$11,calcoli!$C$58,IF(AND(calcoli!$C$8="maxirata",'sviluppo p. amm.to'!A101=calcoli!$C$11),calcoli!$C$46,IF('sviluppo p. amm.to'!A101=calcoli!$C$11,calcoli!$C$58,"")))</f>
        <v/>
      </c>
      <c r="U101" s="53"/>
      <c r="V101" s="67" t="str">
        <f>IF(calcoli!$C$8="MAXIRATA",IF(SIMULATORE!$E$16&gt;='sviluppo p. amm.to'!A101,calcoli!$C$50,""),"")</f>
        <v/>
      </c>
      <c r="W101" s="60" t="str">
        <f>IF(calcoli!$C$8="MAXIRATA",IF(SIMULATORE!$E$16&gt;='sviluppo p. amm.to'!A101,calcoli!$C$50+$K$3+IF(C101="",0,IF($M$2&lt;$N$2,IF(MOD(A101,12)&gt;0,0,1),0)),""),"")</f>
        <v/>
      </c>
      <c r="X101" s="22" t="str">
        <f>IF(calcoli!$C$8="MAXIRATA",IF(SIMULATORE!$E$16&gt;='sviluppo p. amm.to'!A101,calcoli!$C$50+$K$3+IF(C101="",0,IF($M$2&lt;$N$2,IF(MOD(A101,12)&gt;0,0,3),0)),""),"")</f>
        <v/>
      </c>
      <c r="Y101" s="53"/>
      <c r="AA101" s="61"/>
      <c r="AB101" s="61"/>
    </row>
    <row r="102" spans="1:28" hidden="1">
      <c r="A102" s="7">
        <v>97</v>
      </c>
      <c r="B102" s="7">
        <f t="shared" si="13"/>
        <v>97</v>
      </c>
      <c r="C102" s="54" t="str">
        <f>IF(B102=0,0,IF(calcoli!$C$8="MAXIRATA",IF('sviluppo p. amm.to'!B102=calcoli!$C$11,calcoli!$C$46,IF(B102&gt;calcoli!$C$11,"",calcoli!$C$35)),IF(B102&gt;calcoli!$C$11,"",calcoli!$C$35)))</f>
        <v/>
      </c>
      <c r="D102" s="54" t="str">
        <f>IF(B102=0,0,IF(calcoli!$C$8="MAXIRATA",IF('sviluppo p. amm.to'!B102=calcoli!$C$11,calcoli!$C$46,IF(B102&gt;calcoli!$C$11,"",calcoli!$C$36)),IF(B102&gt;calcoli!$C$11,"",calcoli!$C$36)))</f>
        <v/>
      </c>
      <c r="E102" s="55" t="str">
        <f>IF(C102=0,0,IF(C102="","",D102+MROUND(calcoli!$C$37,0.01)))</f>
        <v/>
      </c>
      <c r="F102" s="54" t="str">
        <f>IF(B102=0,0,IF(B102&gt;calcoli!$C$11,"",C102-G102))</f>
        <v/>
      </c>
      <c r="G102" s="54" t="str">
        <f>IF(B102=0,0,IF(B102&gt;calcoli!$C$11,"",'sviluppo p. amm.to'!J101*calcoli!$C$10/12))</f>
        <v/>
      </c>
      <c r="H102" s="56" t="str">
        <f>IF(B102=0,0,IF(B102&gt;calcoli!$C$11,"",G102+calcoli!$C$36-calcoli!$C$35))</f>
        <v/>
      </c>
      <c r="I102" s="52" t="str">
        <f t="shared" si="10"/>
        <v/>
      </c>
      <c r="J102" s="13" t="str">
        <f t="shared" si="11"/>
        <v/>
      </c>
      <c r="K102" s="55" t="str">
        <f>IF(B102=0,0,IF(B102&gt;calcoli!$C$11,"",$K$3))</f>
        <v/>
      </c>
      <c r="L102" s="29" t="str">
        <f t="shared" ref="L102:L133" si="14">IF(C102="","",IF(MOD(A102,12)&gt;0,0,$L$3))</f>
        <v/>
      </c>
      <c r="M102" s="29" t="str">
        <f t="shared" ref="M102:M133" si="15">IF(C102&lt;&gt;"",IF(B102=1,16,0)+IF(C102=0,0,IF(MOD(A102,12)&gt;0,0,$M$3)),"")</f>
        <v/>
      </c>
      <c r="N102" s="13"/>
      <c r="O102" s="77"/>
      <c r="P102" s="17" t="str">
        <f>IF(A102&lt;calcoli!$C$11,calcoli!$C$36,IF(AND(calcoli!$C$8="maxirata",'sviluppo p. amm.to'!A102=calcoli!$C$11),calcoli!$C$46,IF('sviluppo p. amm.to'!A102=calcoli!$C$11,calcoli!$C$36,"")))</f>
        <v/>
      </c>
      <c r="Q102" s="59" t="str">
        <f t="shared" si="12"/>
        <v/>
      </c>
      <c r="R102" s="19" t="str">
        <f>IF(E102="","",IF(calcoli!$C$11&gt;18,E102+K102+L102+IF($M$2&lt;$N$2,M102,N102),E102+K102+L102+M102))</f>
        <v/>
      </c>
      <c r="S102" s="53"/>
      <c r="T102" s="88" t="str">
        <f>IF(A102&lt;calcoli!$C$11,calcoli!$C$58,IF(AND(calcoli!$C$8="maxirata",'sviluppo p. amm.to'!A102=calcoli!$C$11),calcoli!$C$46,IF('sviluppo p. amm.to'!A102=calcoli!$C$11,calcoli!$C$58,"")))</f>
        <v/>
      </c>
      <c r="U102" s="53"/>
      <c r="V102" s="67" t="str">
        <f>IF(calcoli!$C$8="MAXIRATA",IF(SIMULATORE!$E$16&gt;='sviluppo p. amm.to'!A102,calcoli!$C$50,""),"")</f>
        <v/>
      </c>
      <c r="W102" s="60" t="str">
        <f>IF(calcoli!$C$8="MAXIRATA",IF(SIMULATORE!$E$16&gt;='sviluppo p. amm.to'!B102,calcoli!$C$50+$K$3+IF(C102="",0,IF($M$2&lt;$N$2,IF(MOD(B102,12)&gt;0,0,1),0)),""),"")</f>
        <v/>
      </c>
      <c r="X102" s="22" t="str">
        <f>IF(calcoli!$C$8="MAXIRATA",IF(SIMULATORE!$E$16&gt;='sviluppo p. amm.to'!A102,calcoli!$C$50+$K$3+IF(C102="",0,IF($M$2&lt;$N$2,IF(MOD(A102,12)&gt;0,0,3),0)),""),"")</f>
        <v/>
      </c>
      <c r="Y102" s="53"/>
      <c r="AA102" s="61"/>
      <c r="AB102" s="61"/>
    </row>
    <row r="103" spans="1:28" hidden="1">
      <c r="A103" s="7">
        <v>98</v>
      </c>
      <c r="B103" s="7">
        <f t="shared" si="13"/>
        <v>98</v>
      </c>
      <c r="C103" s="54" t="str">
        <f>IF(B103=0,0,IF(calcoli!$C$8="MAXIRATA",IF('sviluppo p. amm.to'!B103=calcoli!$C$11,calcoli!$C$46,IF(B103&gt;calcoli!$C$11,"",calcoli!$C$35)),IF(B103&gt;calcoli!$C$11,"",calcoli!$C$35)))</f>
        <v/>
      </c>
      <c r="D103" s="54" t="str">
        <f>IF(B103=0,0,IF(calcoli!$C$8="MAXIRATA",IF('sviluppo p. amm.to'!B103=calcoli!$C$11,calcoli!$C$46,IF(B103&gt;calcoli!$C$11,"",calcoli!$C$36)),IF(B103&gt;calcoli!$C$11,"",calcoli!$C$36)))</f>
        <v/>
      </c>
      <c r="E103" s="55" t="str">
        <f>IF(C103=0,0,IF(C103="","",D103+MROUND(calcoli!$C$37,0.01)))</f>
        <v/>
      </c>
      <c r="F103" s="54" t="str">
        <f>IF(B103=0,0,IF(B103&gt;calcoli!$C$11,"",C103-G103))</f>
        <v/>
      </c>
      <c r="G103" s="54" t="str">
        <f>IF(B103=0,0,IF(B103&gt;calcoli!$C$11,"",'sviluppo p. amm.to'!J102*calcoli!$C$10/12))</f>
        <v/>
      </c>
      <c r="H103" s="56" t="str">
        <f>IF(B103=0,0,IF(B103&gt;calcoli!$C$11,"",G103+calcoli!$C$36-calcoli!$C$35))</f>
        <v/>
      </c>
      <c r="I103" s="52" t="str">
        <f t="shared" si="10"/>
        <v/>
      </c>
      <c r="J103" s="13" t="str">
        <f t="shared" si="11"/>
        <v/>
      </c>
      <c r="K103" s="55" t="str">
        <f>IF(B103=0,0,IF(B103&gt;calcoli!$C$11,"",$K$3))</f>
        <v/>
      </c>
      <c r="L103" s="29" t="str">
        <f t="shared" si="14"/>
        <v/>
      </c>
      <c r="M103" s="29" t="str">
        <f t="shared" si="15"/>
        <v/>
      </c>
      <c r="N103" s="13"/>
      <c r="O103" s="77"/>
      <c r="P103" s="17" t="str">
        <f>IF(A103&lt;calcoli!$C$11,calcoli!$C$36,IF(AND(calcoli!$C$8="maxirata",'sviluppo p. amm.to'!A103=calcoli!$C$11),calcoli!$C$46,IF('sviluppo p. amm.to'!A103=calcoli!$C$11,calcoli!$C$36,"")))</f>
        <v/>
      </c>
      <c r="Q103" s="59" t="str">
        <f t="shared" si="12"/>
        <v/>
      </c>
      <c r="R103" s="19" t="str">
        <f>IF(E103="","",IF(calcoli!$C$11&gt;18,E103+K103+L103+IF($M$2&lt;$N$2,M103,N103),E103+K103+L103+M103))</f>
        <v/>
      </c>
      <c r="S103" s="53"/>
      <c r="T103" s="88" t="str">
        <f>IF(A103&lt;calcoli!$C$11,calcoli!$C$58,IF(AND(calcoli!$C$8="maxirata",'sviluppo p. amm.to'!A103=calcoli!$C$11),calcoli!$C$46,IF('sviluppo p. amm.to'!A103=calcoli!$C$11,calcoli!$C$58,"")))</f>
        <v/>
      </c>
      <c r="U103" s="53"/>
      <c r="V103" s="67" t="str">
        <f>IF(calcoli!$C$8="MAXIRATA",IF(SIMULATORE!$E$16&gt;='sviluppo p. amm.to'!A103,calcoli!$C$50,""),"")</f>
        <v/>
      </c>
      <c r="W103" s="60" t="str">
        <f>IF(calcoli!$C$8="MAXIRATA",IF(SIMULATORE!$E$16&gt;='sviluppo p. amm.to'!B103,calcoli!$C$50+$K$3+IF(C103="",0,IF($M$2&lt;$N$2,IF(MOD(B103,12)&gt;0,0,1),0)),""),"")</f>
        <v/>
      </c>
      <c r="X103" s="22" t="str">
        <f>IF(calcoli!$C$8="MAXIRATA",IF(SIMULATORE!$E$16&gt;='sviluppo p. amm.to'!A103,calcoli!$C$50+$K$3+IF(C103="",0,IF($M$2&lt;$N$2,IF(MOD(A103,12)&gt;0,0,3),0)),""),"")</f>
        <v/>
      </c>
      <c r="Y103" s="53"/>
      <c r="AA103" s="61"/>
      <c r="AB103" s="61"/>
    </row>
    <row r="104" spans="1:28" hidden="1">
      <c r="A104" s="7">
        <v>99</v>
      </c>
      <c r="B104" s="7">
        <f t="shared" si="13"/>
        <v>99</v>
      </c>
      <c r="C104" s="54" t="str">
        <f>IF(B104=0,0,IF(calcoli!$C$8="MAXIRATA",IF('sviluppo p. amm.to'!B104=calcoli!$C$11,calcoli!$C$46,IF(B104&gt;calcoli!$C$11,"",calcoli!$C$35)),IF(B104&gt;calcoli!$C$11,"",calcoli!$C$35)))</f>
        <v/>
      </c>
      <c r="D104" s="54" t="str">
        <f>IF(B104=0,0,IF(calcoli!$C$8="MAXIRATA",IF('sviluppo p. amm.to'!B104=calcoli!$C$11,calcoli!$C$46,IF(B104&gt;calcoli!$C$11,"",calcoli!$C$36)),IF(B104&gt;calcoli!$C$11,"",calcoli!$C$36)))</f>
        <v/>
      </c>
      <c r="E104" s="55" t="str">
        <f>IF(C104=0,0,IF(C104="","",D104+MROUND(calcoli!$C$37,0.01)))</f>
        <v/>
      </c>
      <c r="F104" s="54" t="str">
        <f>IF(B104=0,0,IF(B104&gt;calcoli!$C$11,"",C104-G104))</f>
        <v/>
      </c>
      <c r="G104" s="54" t="str">
        <f>IF(B104=0,0,IF(B104&gt;calcoli!$C$11,"",'sviluppo p. amm.to'!J103*calcoli!$C$10/12))</f>
        <v/>
      </c>
      <c r="H104" s="56" t="str">
        <f>IF(B104=0,0,IF(B104&gt;calcoli!$C$11,"",G104+calcoli!$C$36-calcoli!$C$35))</f>
        <v/>
      </c>
      <c r="I104" s="52" t="str">
        <f t="shared" si="10"/>
        <v/>
      </c>
      <c r="J104" s="13" t="str">
        <f t="shared" si="11"/>
        <v/>
      </c>
      <c r="K104" s="55" t="str">
        <f>IF(B104=0,0,IF(B104&gt;calcoli!$C$11,"",$K$3))</f>
        <v/>
      </c>
      <c r="L104" s="29" t="str">
        <f t="shared" si="14"/>
        <v/>
      </c>
      <c r="M104" s="29" t="str">
        <f t="shared" si="15"/>
        <v/>
      </c>
      <c r="N104" s="13"/>
      <c r="O104" s="77"/>
      <c r="P104" s="17" t="str">
        <f>IF(A104&lt;calcoli!$C$11,calcoli!$C$36,IF(AND(calcoli!$C$8="maxirata",'sviluppo p. amm.to'!A104=calcoli!$C$11),calcoli!$C$46,IF('sviluppo p. amm.to'!A104=calcoli!$C$11,calcoli!$C$36,"")))</f>
        <v/>
      </c>
      <c r="Q104" s="59" t="str">
        <f t="shared" si="12"/>
        <v/>
      </c>
      <c r="R104" s="19" t="str">
        <f>IF(E104="","",IF(calcoli!$C$11&gt;18,E104+K104+L104+IF($M$2&lt;$N$2,M104,N104),E104+K104+L104+M104))</f>
        <v/>
      </c>
      <c r="S104" s="53"/>
      <c r="T104" s="88" t="str">
        <f>IF(A104&lt;calcoli!$C$11,calcoli!$C$58,IF(AND(calcoli!$C$8="maxirata",'sviluppo p. amm.to'!A104=calcoli!$C$11),calcoli!$C$46,IF('sviluppo p. amm.to'!A104=calcoli!$C$11,calcoli!$C$58,"")))</f>
        <v/>
      </c>
      <c r="U104" s="53"/>
      <c r="V104" s="67" t="str">
        <f>IF(calcoli!$C$8="MAXIRATA",IF(SIMULATORE!$E$16&gt;='sviluppo p. amm.to'!A104,calcoli!$C$50,""),"")</f>
        <v/>
      </c>
      <c r="W104" s="60" t="str">
        <f>IF(calcoli!$C$8="MAXIRATA",IF(SIMULATORE!$E$16&gt;='sviluppo p. amm.to'!B104,calcoli!$C$50+$K$3+IF(C104="",0,IF($M$2&lt;$N$2,IF(MOD(B104,12)&gt;0,0,1),0)),""),"")</f>
        <v/>
      </c>
      <c r="X104" s="22" t="str">
        <f>IF(calcoli!$C$8="MAXIRATA",IF(SIMULATORE!$E$16&gt;='sviluppo p. amm.to'!A104,calcoli!$C$50+$K$3+IF(C104="",0,IF($M$2&lt;$N$2,IF(MOD(A104,12)&gt;0,0,3),0)),""),"")</f>
        <v/>
      </c>
      <c r="Y104" s="53"/>
      <c r="AA104" s="61"/>
      <c r="AB104" s="61"/>
    </row>
    <row r="105" spans="1:28" hidden="1">
      <c r="A105" s="7">
        <v>100</v>
      </c>
      <c r="B105" s="7">
        <f t="shared" si="13"/>
        <v>100</v>
      </c>
      <c r="C105" s="54" t="str">
        <f>IF(B105=0,0,IF(calcoli!$C$8="MAXIRATA",IF('sviluppo p. amm.to'!B105=calcoli!$C$11,calcoli!$C$46,IF(B105&gt;calcoli!$C$11,"",calcoli!$C$35)),IF(B105&gt;calcoli!$C$11,"",calcoli!$C$35)))</f>
        <v/>
      </c>
      <c r="D105" s="54" t="str">
        <f>IF(B105=0,0,IF(calcoli!$C$8="MAXIRATA",IF('sviluppo p. amm.to'!B105=calcoli!$C$11,calcoli!$C$46,IF(B105&gt;calcoli!$C$11,"",calcoli!$C$36)),IF(B105&gt;calcoli!$C$11,"",calcoli!$C$36)))</f>
        <v/>
      </c>
      <c r="E105" s="55" t="str">
        <f>IF(C105=0,0,IF(C105="","",D105+MROUND(calcoli!$C$37,0.01)))</f>
        <v/>
      </c>
      <c r="F105" s="54" t="str">
        <f>IF(B105=0,0,IF(B105&gt;calcoli!$C$11,"",C105-G105))</f>
        <v/>
      </c>
      <c r="G105" s="54" t="str">
        <f>IF(B105=0,0,IF(B105&gt;calcoli!$C$11,"",'sviluppo p. amm.to'!J104*calcoli!$C$10/12))</f>
        <v/>
      </c>
      <c r="H105" s="56" t="str">
        <f>IF(B105=0,0,IF(B105&gt;calcoli!$C$11,"",G105+calcoli!$C$36-calcoli!$C$35))</f>
        <v/>
      </c>
      <c r="I105" s="52" t="str">
        <f t="shared" si="10"/>
        <v/>
      </c>
      <c r="J105" s="13" t="str">
        <f t="shared" si="11"/>
        <v/>
      </c>
      <c r="K105" s="55" t="str">
        <f>IF(B105=0,0,IF(B105&gt;calcoli!$C$11,"",$K$3))</f>
        <v/>
      </c>
      <c r="L105" s="29" t="str">
        <f t="shared" si="14"/>
        <v/>
      </c>
      <c r="M105" s="29" t="str">
        <f t="shared" si="15"/>
        <v/>
      </c>
      <c r="N105" s="13"/>
      <c r="O105" s="77"/>
      <c r="P105" s="17" t="str">
        <f>IF(A105&lt;calcoli!$C$11,calcoli!$C$36,IF(AND(calcoli!$C$8="maxirata",'sviluppo p. amm.to'!A105=calcoli!$C$11),calcoli!$C$46,IF('sviluppo p. amm.to'!A105=calcoli!$C$11,calcoli!$C$36,"")))</f>
        <v/>
      </c>
      <c r="Q105" s="59" t="str">
        <f t="shared" si="12"/>
        <v/>
      </c>
      <c r="R105" s="19" t="str">
        <f>IF(E105="","",IF(calcoli!$C$11&gt;18,E105+K105+L105+IF($M$2&lt;$N$2,M105,N105),E105+K105+L105+M105))</f>
        <v/>
      </c>
      <c r="S105" s="53"/>
      <c r="T105" s="88" t="str">
        <f>IF(A105&lt;calcoli!$C$11,calcoli!$C$58,IF(AND(calcoli!$C$8="maxirata",'sviluppo p. amm.to'!A105=calcoli!$C$11),calcoli!$C$46,IF('sviluppo p. amm.to'!A105=calcoli!$C$11,calcoli!$C$58,"")))</f>
        <v/>
      </c>
      <c r="U105" s="53"/>
      <c r="V105" s="67" t="str">
        <f>IF(calcoli!$C$8="MAXIRATA",IF(SIMULATORE!$E$16&gt;='sviluppo p. amm.to'!A105,calcoli!$C$50,""),"")</f>
        <v/>
      </c>
      <c r="W105" s="60" t="str">
        <f>IF(calcoli!$C$8="MAXIRATA",IF(SIMULATORE!$E$16&gt;='sviluppo p. amm.to'!B105,calcoli!$C$50+$K$3+IF(C105="",0,IF($M$2&lt;$N$2,IF(MOD(B105,12)&gt;0,0,1),0)),""),"")</f>
        <v/>
      </c>
      <c r="X105" s="22" t="str">
        <f>IF(calcoli!$C$8="MAXIRATA",IF(SIMULATORE!$E$16&gt;='sviluppo p. amm.to'!A105,calcoli!$C$50+$K$3+IF(C105="",0,IF($M$2&lt;$N$2,IF(MOD(A105,12)&gt;0,0,3),0)),""),"")</f>
        <v/>
      </c>
      <c r="Y105" s="53"/>
      <c r="AA105" s="61"/>
      <c r="AB105" s="61"/>
    </row>
    <row r="106" spans="1:28" hidden="1">
      <c r="A106" s="7">
        <v>101</v>
      </c>
      <c r="B106" s="7">
        <f t="shared" si="13"/>
        <v>101</v>
      </c>
      <c r="C106" s="54" t="str">
        <f>IF(B106=0,0,IF(calcoli!$C$8="MAXIRATA",IF('sviluppo p. amm.to'!B106=calcoli!$C$11,calcoli!$C$46,IF(B106&gt;calcoli!$C$11,"",calcoli!$C$35)),IF(B106&gt;calcoli!$C$11,"",calcoli!$C$35)))</f>
        <v/>
      </c>
      <c r="D106" s="54" t="str">
        <f>IF(B106=0,0,IF(calcoli!$C$8="MAXIRATA",IF('sviluppo p. amm.to'!B106=calcoli!$C$11,calcoli!$C$46,IF(B106&gt;calcoli!$C$11,"",calcoli!$C$36)),IF(B106&gt;calcoli!$C$11,"",calcoli!$C$36)))</f>
        <v/>
      </c>
      <c r="E106" s="55" t="str">
        <f>IF(C106=0,0,IF(C106="","",D106+MROUND(calcoli!$C$37,0.01)))</f>
        <v/>
      </c>
      <c r="F106" s="54" t="str">
        <f>IF(B106=0,0,IF(B106&gt;calcoli!$C$11,"",C106-G106))</f>
        <v/>
      </c>
      <c r="G106" s="54" t="str">
        <f>IF(B106=0,0,IF(B106&gt;calcoli!$C$11,"",'sviluppo p. amm.to'!J105*calcoli!$C$10/12))</f>
        <v/>
      </c>
      <c r="H106" s="56" t="str">
        <f>IF(B106=0,0,IF(B106&gt;calcoli!$C$11,"",G106+calcoli!$C$36-calcoli!$C$35))</f>
        <v/>
      </c>
      <c r="I106" s="52" t="str">
        <f t="shared" si="10"/>
        <v/>
      </c>
      <c r="J106" s="13" t="str">
        <f t="shared" si="11"/>
        <v/>
      </c>
      <c r="K106" s="55" t="str">
        <f>IF(B106=0,0,IF(B106&gt;calcoli!$C$11,"",$K$3))</f>
        <v/>
      </c>
      <c r="L106" s="29" t="str">
        <f t="shared" si="14"/>
        <v/>
      </c>
      <c r="M106" s="29" t="str">
        <f t="shared" si="15"/>
        <v/>
      </c>
      <c r="N106" s="13"/>
      <c r="O106" s="77"/>
      <c r="P106" s="17" t="str">
        <f>IF(A106&lt;calcoli!$C$11,calcoli!$C$36,IF(AND(calcoli!$C$8="maxirata",'sviluppo p. amm.to'!A106=calcoli!$C$11),calcoli!$C$46,IF('sviluppo p. amm.to'!A106=calcoli!$C$11,calcoli!$C$36,"")))</f>
        <v/>
      </c>
      <c r="Q106" s="59" t="str">
        <f t="shared" si="12"/>
        <v/>
      </c>
      <c r="R106" s="19" t="str">
        <f>IF(E106="","",IF(calcoli!$C$11&gt;18,E106+K106+L106+IF($M$2&lt;$N$2,M106,N106),E106+K106+L106+M106))</f>
        <v/>
      </c>
      <c r="S106" s="53"/>
      <c r="T106" s="88" t="str">
        <f>IF(A106&lt;calcoli!$C$11,calcoli!$C$58,IF(AND(calcoli!$C$8="maxirata",'sviluppo p. amm.to'!A106=calcoli!$C$11),calcoli!$C$46,IF('sviluppo p. amm.to'!A106=calcoli!$C$11,calcoli!$C$58,"")))</f>
        <v/>
      </c>
      <c r="U106" s="53"/>
      <c r="V106" s="67" t="str">
        <f>IF(calcoli!$C$8="MAXIRATA",IF(SIMULATORE!$E$16&gt;='sviluppo p. amm.to'!A106,calcoli!$C$50,""),"")</f>
        <v/>
      </c>
      <c r="W106" s="60" t="str">
        <f>IF(calcoli!$C$8="MAXIRATA",IF(SIMULATORE!$E$16&gt;='sviluppo p. amm.to'!B106,calcoli!$C$50+$K$3+IF(C106="",0,IF($M$2&lt;$N$2,IF(MOD(B106,12)&gt;0,0,1),0)),""),"")</f>
        <v/>
      </c>
      <c r="X106" s="22" t="str">
        <f>IF(calcoli!$C$8="MAXIRATA",IF(SIMULATORE!$E$16&gt;='sviluppo p. amm.to'!A106,calcoli!$C$50+$K$3+IF(C106="",0,IF($M$2&lt;$N$2,IF(MOD(A106,12)&gt;0,0,3),0)),""),"")</f>
        <v/>
      </c>
      <c r="Y106" s="53"/>
      <c r="AA106" s="61"/>
      <c r="AB106" s="61"/>
    </row>
    <row r="107" spans="1:28" hidden="1">
      <c r="A107" s="7">
        <v>102</v>
      </c>
      <c r="B107" s="7">
        <f t="shared" si="13"/>
        <v>102</v>
      </c>
      <c r="C107" s="54" t="str">
        <f>IF(B107=0,0,IF(calcoli!$C$8="MAXIRATA",IF('sviluppo p. amm.to'!B107=calcoli!$C$11,calcoli!$C$46,IF(B107&gt;calcoli!$C$11,"",calcoli!$C$35)),IF(B107&gt;calcoli!$C$11,"",calcoli!$C$35)))</f>
        <v/>
      </c>
      <c r="D107" s="54" t="str">
        <f>IF(B107=0,0,IF(calcoli!$C$8="MAXIRATA",IF('sviluppo p. amm.to'!B107=calcoli!$C$11,calcoli!$C$46,IF(B107&gt;calcoli!$C$11,"",calcoli!$C$36)),IF(B107&gt;calcoli!$C$11,"",calcoli!$C$36)))</f>
        <v/>
      </c>
      <c r="E107" s="55" t="str">
        <f>IF(C107=0,0,IF(C107="","",D107+MROUND(calcoli!$C$37,0.01)))</f>
        <v/>
      </c>
      <c r="F107" s="54" t="str">
        <f>IF(B107=0,0,IF(B107&gt;calcoli!$C$11,"",C107-G107))</f>
        <v/>
      </c>
      <c r="G107" s="54" t="str">
        <f>IF(B107=0,0,IF(B107&gt;calcoli!$C$11,"",'sviluppo p. amm.to'!J106*calcoli!$C$10/12))</f>
        <v/>
      </c>
      <c r="H107" s="56" t="str">
        <f>IF(B107=0,0,IF(B107&gt;calcoli!$C$11,"",G107+calcoli!$C$36-calcoli!$C$35))</f>
        <v/>
      </c>
      <c r="I107" s="52" t="str">
        <f t="shared" si="10"/>
        <v/>
      </c>
      <c r="J107" s="13" t="str">
        <f t="shared" si="11"/>
        <v/>
      </c>
      <c r="K107" s="55" t="str">
        <f>IF(B107=0,0,IF(B107&gt;calcoli!$C$11,"",$K$3))</f>
        <v/>
      </c>
      <c r="L107" s="29" t="str">
        <f t="shared" si="14"/>
        <v/>
      </c>
      <c r="M107" s="29" t="str">
        <f t="shared" si="15"/>
        <v/>
      </c>
      <c r="N107" s="13"/>
      <c r="O107" s="77"/>
      <c r="P107" s="17" t="str">
        <f>IF(A107&lt;calcoli!$C$11,calcoli!$C$36,IF(AND(calcoli!$C$8="maxirata",'sviluppo p. amm.to'!A107=calcoli!$C$11),calcoli!$C$46,IF('sviluppo p. amm.to'!A107=calcoli!$C$11,calcoli!$C$36,"")))</f>
        <v/>
      </c>
      <c r="Q107" s="59" t="str">
        <f t="shared" si="12"/>
        <v/>
      </c>
      <c r="R107" s="19" t="str">
        <f>IF(E107="","",IF(calcoli!$C$11&gt;18,E107+K107+L107+IF($M$2&lt;$N$2,M107,N107),E107+K107+L107+M107))</f>
        <v/>
      </c>
      <c r="S107" s="53"/>
      <c r="T107" s="88" t="str">
        <f>IF(A107&lt;calcoli!$C$11,calcoli!$C$58,IF(AND(calcoli!$C$8="maxirata",'sviluppo p. amm.to'!A107=calcoli!$C$11),calcoli!$C$46,IF('sviluppo p. amm.to'!A107=calcoli!$C$11,calcoli!$C$58,"")))</f>
        <v/>
      </c>
      <c r="U107" s="53"/>
      <c r="V107" s="67" t="str">
        <f>IF(calcoli!$C$8="MAXIRATA",IF(SIMULATORE!$E$16&gt;='sviluppo p. amm.to'!A107,calcoli!$C$50,""),"")</f>
        <v/>
      </c>
      <c r="W107" s="60" t="str">
        <f>IF(calcoli!$C$8="MAXIRATA",IF(SIMULATORE!$E$16&gt;='sviluppo p. amm.to'!B107,calcoli!$C$50+$K$3+IF(C107="",0,IF($M$2&lt;$N$2,IF(MOD(B107,12)&gt;0,0,1),0)),""),"")</f>
        <v/>
      </c>
      <c r="X107" s="22" t="str">
        <f>IF(calcoli!$C$8="MAXIRATA",IF(SIMULATORE!$E$16&gt;='sviluppo p. amm.to'!A107,calcoli!$C$50+$K$3+IF(C107="",0,IF($M$2&lt;$N$2,IF(MOD(A107,12)&gt;0,0,3),0)),""),"")</f>
        <v/>
      </c>
      <c r="Y107" s="53"/>
      <c r="AA107" s="61"/>
      <c r="AB107" s="61"/>
    </row>
    <row r="108" spans="1:28" hidden="1">
      <c r="A108" s="7">
        <v>103</v>
      </c>
      <c r="B108" s="7">
        <f t="shared" si="13"/>
        <v>103</v>
      </c>
      <c r="C108" s="54" t="str">
        <f>IF(B108=0,0,IF(calcoli!$C$8="MAXIRATA",IF('sviluppo p. amm.to'!B108=calcoli!$C$11,calcoli!$C$46,IF(B108&gt;calcoli!$C$11,"",calcoli!$C$35)),IF(B108&gt;calcoli!$C$11,"",calcoli!$C$35)))</f>
        <v/>
      </c>
      <c r="D108" s="54" t="str">
        <f>IF(B108=0,0,IF(calcoli!$C$8="MAXIRATA",IF('sviluppo p. amm.to'!B108=calcoli!$C$11,calcoli!$C$46,IF(B108&gt;calcoli!$C$11,"",calcoli!$C$36)),IF(B108&gt;calcoli!$C$11,"",calcoli!$C$36)))</f>
        <v/>
      </c>
      <c r="E108" s="55" t="str">
        <f>IF(C108=0,0,IF(C108="","",D108+MROUND(calcoli!$C$37,0.01)))</f>
        <v/>
      </c>
      <c r="F108" s="54" t="str">
        <f>IF(B108=0,0,IF(B108&gt;calcoli!$C$11,"",C108-G108))</f>
        <v/>
      </c>
      <c r="G108" s="54" t="str">
        <f>IF(B108=0,0,IF(B108&gt;calcoli!$C$11,"",'sviluppo p. amm.to'!J107*calcoli!$C$10/12))</f>
        <v/>
      </c>
      <c r="H108" s="56" t="str">
        <f>IF(B108=0,0,IF(B108&gt;calcoli!$C$11,"",G108+calcoli!$C$36-calcoli!$C$35))</f>
        <v/>
      </c>
      <c r="I108" s="52" t="str">
        <f t="shared" si="10"/>
        <v/>
      </c>
      <c r="J108" s="13" t="str">
        <f t="shared" si="11"/>
        <v/>
      </c>
      <c r="K108" s="55" t="str">
        <f>IF(B108=0,0,IF(B108&gt;calcoli!$C$11,"",$K$3))</f>
        <v/>
      </c>
      <c r="L108" s="29" t="str">
        <f t="shared" si="14"/>
        <v/>
      </c>
      <c r="M108" s="29" t="str">
        <f t="shared" si="15"/>
        <v/>
      </c>
      <c r="N108" s="13"/>
      <c r="O108" s="77"/>
      <c r="P108" s="17" t="str">
        <f>IF(A108&lt;calcoli!$C$11,calcoli!$C$36,IF(AND(calcoli!$C$8="maxirata",'sviluppo p. amm.to'!A108=calcoli!$C$11),calcoli!$C$46,IF('sviluppo p. amm.to'!A108=calcoli!$C$11,calcoli!$C$36,"")))</f>
        <v/>
      </c>
      <c r="Q108" s="59" t="str">
        <f t="shared" si="12"/>
        <v/>
      </c>
      <c r="R108" s="19" t="str">
        <f>IF(E108="","",IF(calcoli!$C$11&gt;18,E108+K108+L108+IF($M$2&lt;$N$2,M108,N108),E108+K108+L108+M108))</f>
        <v/>
      </c>
      <c r="S108" s="53"/>
      <c r="T108" s="88" t="str">
        <f>IF(A108&lt;calcoli!$C$11,calcoli!$C$58,IF(AND(calcoli!$C$8="maxirata",'sviluppo p. amm.to'!A108=calcoli!$C$11),calcoli!$C$46,IF('sviluppo p. amm.to'!A108=calcoli!$C$11,calcoli!$C$58,"")))</f>
        <v/>
      </c>
      <c r="U108" s="53"/>
      <c r="V108" s="67" t="str">
        <f>IF(calcoli!$C$8="MAXIRATA",IF(SIMULATORE!$E$16&gt;='sviluppo p. amm.to'!A108,calcoli!$C$50,""),"")</f>
        <v/>
      </c>
      <c r="W108" s="60" t="str">
        <f>IF(calcoli!$C$8="MAXIRATA",IF(SIMULATORE!$E$16&gt;='sviluppo p. amm.to'!B108,calcoli!$C$50+$K$3+IF(C108="",0,IF($M$2&lt;$N$2,IF(MOD(B108,12)&gt;0,0,1),0)),""),"")</f>
        <v/>
      </c>
      <c r="X108" s="22" t="str">
        <f>IF(calcoli!$C$8="MAXIRATA",IF(SIMULATORE!$E$16&gt;='sviluppo p. amm.to'!A108,calcoli!$C$50+$K$3+IF(C108="",0,IF($M$2&lt;$N$2,IF(MOD(A108,12)&gt;0,0,3),0)),""),"")</f>
        <v/>
      </c>
      <c r="Y108" s="53"/>
      <c r="AA108" s="61"/>
      <c r="AB108" s="61"/>
    </row>
    <row r="109" spans="1:28" hidden="1">
      <c r="A109" s="7">
        <v>104</v>
      </c>
      <c r="B109" s="7">
        <f t="shared" si="13"/>
        <v>104</v>
      </c>
      <c r="C109" s="54" t="str">
        <f>IF(B109=0,0,IF(calcoli!$C$8="MAXIRATA",IF('sviluppo p. amm.to'!B109=calcoli!$C$11,calcoli!$C$46,IF(B109&gt;calcoli!$C$11,"",calcoli!$C$35)),IF(B109&gt;calcoli!$C$11,"",calcoli!$C$35)))</f>
        <v/>
      </c>
      <c r="D109" s="54" t="str">
        <f>IF(B109=0,0,IF(calcoli!$C$8="MAXIRATA",IF('sviluppo p. amm.to'!B109=calcoli!$C$11,calcoli!$C$46,IF(B109&gt;calcoli!$C$11,"",calcoli!$C$36)),IF(B109&gt;calcoli!$C$11,"",calcoli!$C$36)))</f>
        <v/>
      </c>
      <c r="E109" s="55" t="str">
        <f>IF(C109=0,0,IF(C109="","",D109+MROUND(calcoli!$C$37,0.01)))</f>
        <v/>
      </c>
      <c r="F109" s="54" t="str">
        <f>IF(B109=0,0,IF(B109&gt;calcoli!$C$11,"",C109-G109))</f>
        <v/>
      </c>
      <c r="G109" s="54" t="str">
        <f>IF(B109=0,0,IF(B109&gt;calcoli!$C$11,"",'sviluppo p. amm.to'!J108*calcoli!$C$10/12))</f>
        <v/>
      </c>
      <c r="H109" s="56" t="str">
        <f>IF(B109=0,0,IF(B109&gt;calcoli!$C$11,"",G109+calcoli!$C$36-calcoli!$C$35))</f>
        <v/>
      </c>
      <c r="I109" s="52" t="str">
        <f t="shared" si="10"/>
        <v/>
      </c>
      <c r="J109" s="13" t="str">
        <f t="shared" si="11"/>
        <v/>
      </c>
      <c r="K109" s="55" t="str">
        <f>IF(B109=0,0,IF(B109&gt;calcoli!$C$11,"",$K$3))</f>
        <v/>
      </c>
      <c r="L109" s="29" t="str">
        <f t="shared" si="14"/>
        <v/>
      </c>
      <c r="M109" s="29" t="str">
        <f t="shared" si="15"/>
        <v/>
      </c>
      <c r="N109" s="13"/>
      <c r="O109" s="77"/>
      <c r="P109" s="17" t="str">
        <f>IF(A109&lt;calcoli!$C$11,calcoli!$C$36,IF(AND(calcoli!$C$8="maxirata",'sviluppo p. amm.to'!A109=calcoli!$C$11),calcoli!$C$46,IF('sviluppo p. amm.to'!A109=calcoli!$C$11,calcoli!$C$36,"")))</f>
        <v/>
      </c>
      <c r="Q109" s="59" t="str">
        <f t="shared" si="12"/>
        <v/>
      </c>
      <c r="R109" s="19" t="str">
        <f>IF(E109="","",IF(calcoli!$C$11&gt;18,E109+K109+L109+IF($M$2&lt;$N$2,M109,N109),E109+K109+L109+M109))</f>
        <v/>
      </c>
      <c r="S109" s="53"/>
      <c r="T109" s="88" t="str">
        <f>IF(A109&lt;calcoli!$C$11,calcoli!$C$58,IF(AND(calcoli!$C$8="maxirata",'sviluppo p. amm.to'!A109=calcoli!$C$11),calcoli!$C$46,IF('sviluppo p. amm.to'!A109=calcoli!$C$11,calcoli!$C$58,"")))</f>
        <v/>
      </c>
      <c r="U109" s="53"/>
      <c r="V109" s="67" t="str">
        <f>IF(calcoli!$C$8="MAXIRATA",IF(SIMULATORE!$E$16&gt;='sviluppo p. amm.to'!A109,calcoli!$C$50,""),"")</f>
        <v/>
      </c>
      <c r="W109" s="60" t="str">
        <f>IF(calcoli!$C$8="MAXIRATA",IF(SIMULATORE!$E$16&gt;='sviluppo p. amm.to'!B109,calcoli!$C$50+$K$3+IF(C109="",0,IF($M$2&lt;$N$2,IF(MOD(B109,12)&gt;0,0,1),0)),""),"")</f>
        <v/>
      </c>
      <c r="X109" s="22" t="str">
        <f>IF(calcoli!$C$8="MAXIRATA",IF(SIMULATORE!$E$16&gt;='sviluppo p. amm.to'!A109,calcoli!$C$50+$K$3+IF(C109="",0,IF($M$2&lt;$N$2,IF(MOD(A109,12)&gt;0,0,3),0)),""),"")</f>
        <v/>
      </c>
      <c r="Y109" s="53"/>
      <c r="AA109" s="61"/>
      <c r="AB109" s="61"/>
    </row>
    <row r="110" spans="1:28" hidden="1">
      <c r="A110" s="7">
        <v>105</v>
      </c>
      <c r="B110" s="7">
        <f t="shared" si="13"/>
        <v>105</v>
      </c>
      <c r="C110" s="54" t="str">
        <f>IF(B110=0,0,IF(calcoli!$C$8="MAXIRATA",IF('sviluppo p. amm.to'!B110=calcoli!$C$11,calcoli!$C$46,IF(B110&gt;calcoli!$C$11,"",calcoli!$C$35)),IF(B110&gt;calcoli!$C$11,"",calcoli!$C$35)))</f>
        <v/>
      </c>
      <c r="D110" s="54" t="str">
        <f>IF(B110=0,0,IF(calcoli!$C$8="MAXIRATA",IF('sviluppo p. amm.to'!B110=calcoli!$C$11,calcoli!$C$46,IF(B110&gt;calcoli!$C$11,"",calcoli!$C$36)),IF(B110&gt;calcoli!$C$11,"",calcoli!$C$36)))</f>
        <v/>
      </c>
      <c r="E110" s="55" t="str">
        <f>IF(C110=0,0,IF(C110="","",D110+MROUND(calcoli!$C$37,0.01)))</f>
        <v/>
      </c>
      <c r="F110" s="54" t="str">
        <f>IF(B110=0,0,IF(B110&gt;calcoli!$C$11,"",C110-G110))</f>
        <v/>
      </c>
      <c r="G110" s="54" t="str">
        <f>IF(B110=0,0,IF(B110&gt;calcoli!$C$11,"",'sviluppo p. amm.to'!J109*calcoli!$C$10/12))</f>
        <v/>
      </c>
      <c r="H110" s="56" t="str">
        <f>IF(B110=0,0,IF(B110&gt;calcoli!$C$11,"",G110+calcoli!$C$36-calcoli!$C$35))</f>
        <v/>
      </c>
      <c r="I110" s="52" t="str">
        <f t="shared" si="10"/>
        <v/>
      </c>
      <c r="J110" s="13" t="str">
        <f t="shared" si="11"/>
        <v/>
      </c>
      <c r="K110" s="55" t="str">
        <f>IF(B110=0,0,IF(B110&gt;calcoli!$C$11,"",$K$3))</f>
        <v/>
      </c>
      <c r="L110" s="29" t="str">
        <f t="shared" si="14"/>
        <v/>
      </c>
      <c r="M110" s="29" t="str">
        <f t="shared" si="15"/>
        <v/>
      </c>
      <c r="N110" s="13"/>
      <c r="O110" s="77"/>
      <c r="P110" s="17" t="str">
        <f>IF(A110&lt;calcoli!$C$11,calcoli!$C$36,IF(AND(calcoli!$C$8="maxirata",'sviluppo p. amm.to'!A110=calcoli!$C$11),calcoli!$C$46,IF('sviluppo p. amm.to'!A110=calcoli!$C$11,calcoli!$C$36,"")))</f>
        <v/>
      </c>
      <c r="Q110" s="59" t="str">
        <f t="shared" si="12"/>
        <v/>
      </c>
      <c r="R110" s="19" t="str">
        <f>IF(E110="","",IF(calcoli!$C$11&gt;18,E110+K110+L110+IF($M$2&lt;$N$2,M110,N110),E110+K110+L110+M110))</f>
        <v/>
      </c>
      <c r="S110" s="53"/>
      <c r="T110" s="88" t="str">
        <f>IF(A110&lt;calcoli!$C$11,calcoli!$C$58,IF(AND(calcoli!$C$8="maxirata",'sviluppo p. amm.to'!A110=calcoli!$C$11),calcoli!$C$46,IF('sviluppo p. amm.to'!A110=calcoli!$C$11,calcoli!$C$58,"")))</f>
        <v/>
      </c>
      <c r="U110" s="53"/>
      <c r="V110" s="67" t="str">
        <f>IF(calcoli!$C$8="MAXIRATA",IF(SIMULATORE!$E$16&gt;='sviluppo p. amm.to'!A110,calcoli!$C$50,""),"")</f>
        <v/>
      </c>
      <c r="W110" s="60" t="str">
        <f>IF(calcoli!$C$8="MAXIRATA",IF(SIMULATORE!$E$16&gt;='sviluppo p. amm.to'!B110,calcoli!$C$50+$K$3+IF(C110="",0,IF($M$2&lt;$N$2,IF(MOD(B110,12)&gt;0,0,1),0)),""),"")</f>
        <v/>
      </c>
      <c r="X110" s="22" t="str">
        <f>IF(calcoli!$C$8="MAXIRATA",IF(SIMULATORE!$E$16&gt;='sviluppo p. amm.to'!A110,calcoli!$C$50+$K$3+IF(C110="",0,IF($M$2&lt;$N$2,IF(MOD(A110,12)&gt;0,0,3),0)),""),"")</f>
        <v/>
      </c>
      <c r="Y110" s="53"/>
      <c r="AA110" s="61"/>
      <c r="AB110" s="61"/>
    </row>
    <row r="111" spans="1:28" hidden="1">
      <c r="A111" s="7">
        <v>106</v>
      </c>
      <c r="B111" s="7">
        <f t="shared" si="13"/>
        <v>106</v>
      </c>
      <c r="C111" s="54" t="str">
        <f>IF(B111=0,0,IF(calcoli!$C$8="MAXIRATA",IF('sviluppo p. amm.to'!B111=calcoli!$C$11,calcoli!$C$46,IF(B111&gt;calcoli!$C$11,"",calcoli!$C$35)),IF(B111&gt;calcoli!$C$11,"",calcoli!$C$35)))</f>
        <v/>
      </c>
      <c r="D111" s="54" t="str">
        <f>IF(B111=0,0,IF(calcoli!$C$8="MAXIRATA",IF('sviluppo p. amm.to'!B111=calcoli!$C$11,calcoli!$C$46,IF(B111&gt;calcoli!$C$11,"",calcoli!$C$36)),IF(B111&gt;calcoli!$C$11,"",calcoli!$C$36)))</f>
        <v/>
      </c>
      <c r="E111" s="55" t="str">
        <f>IF(C111=0,0,IF(C111="","",D111+MROUND(calcoli!$C$37,0.01)))</f>
        <v/>
      </c>
      <c r="F111" s="54" t="str">
        <f>IF(B111=0,0,IF(B111&gt;calcoli!$C$11,"",C111-G111))</f>
        <v/>
      </c>
      <c r="G111" s="54" t="str">
        <f>IF(B111=0,0,IF(B111&gt;calcoli!$C$11,"",'sviluppo p. amm.to'!J110*calcoli!$C$10/12))</f>
        <v/>
      </c>
      <c r="H111" s="56" t="str">
        <f>IF(B111=0,0,IF(B111&gt;calcoli!$C$11,"",G111+calcoli!$C$36-calcoli!$C$35))</f>
        <v/>
      </c>
      <c r="I111" s="52" t="str">
        <f t="shared" si="10"/>
        <v/>
      </c>
      <c r="J111" s="13" t="str">
        <f t="shared" si="11"/>
        <v/>
      </c>
      <c r="K111" s="55" t="str">
        <f>IF(B111=0,0,IF(B111&gt;calcoli!$C$11,"",$K$3))</f>
        <v/>
      </c>
      <c r="L111" s="29" t="str">
        <f t="shared" si="14"/>
        <v/>
      </c>
      <c r="M111" s="29" t="str">
        <f t="shared" si="15"/>
        <v/>
      </c>
      <c r="N111" s="13"/>
      <c r="O111" s="77"/>
      <c r="P111" s="17" t="str">
        <f>IF(A111&lt;calcoli!$C$11,calcoli!$C$36,IF(AND(calcoli!$C$8="maxirata",'sviluppo p. amm.to'!A111=calcoli!$C$11),calcoli!$C$46,IF('sviluppo p. amm.to'!A111=calcoli!$C$11,calcoli!$C$36,"")))</f>
        <v/>
      </c>
      <c r="Q111" s="59" t="str">
        <f t="shared" si="12"/>
        <v/>
      </c>
      <c r="R111" s="19" t="str">
        <f>IF(E111="","",IF(calcoli!$C$11&gt;18,E111+K111+L111+IF($M$2&lt;$N$2,M111,N111),E111+K111+L111+M111))</f>
        <v/>
      </c>
      <c r="S111" s="53"/>
      <c r="T111" s="88" t="str">
        <f>IF(A111&lt;calcoli!$C$11,calcoli!$C$58,IF(AND(calcoli!$C$8="maxirata",'sviluppo p. amm.to'!A111=calcoli!$C$11),calcoli!$C$46,IF('sviluppo p. amm.to'!A111=calcoli!$C$11,calcoli!$C$58,"")))</f>
        <v/>
      </c>
      <c r="U111" s="53"/>
      <c r="V111" s="67" t="str">
        <f>IF(calcoli!$C$8="MAXIRATA",IF(SIMULATORE!$E$16&gt;='sviluppo p. amm.to'!A111,calcoli!$C$50,""),"")</f>
        <v/>
      </c>
      <c r="W111" s="60" t="str">
        <f>IF(calcoli!$C$8="MAXIRATA",IF(SIMULATORE!$E$16&gt;='sviluppo p. amm.to'!B111,calcoli!$C$50+$K$3+IF(C111="",0,IF($M$2&lt;$N$2,IF(MOD(B111,12)&gt;0,0,1),0)),""),"")</f>
        <v/>
      </c>
      <c r="X111" s="22" t="str">
        <f>IF(calcoli!$C$8="MAXIRATA",IF(SIMULATORE!$E$16&gt;='sviluppo p. amm.to'!A111,calcoli!$C$50+$K$3+IF(C111="",0,IF($M$2&lt;$N$2,IF(MOD(A111,12)&gt;0,0,3),0)),""),"")</f>
        <v/>
      </c>
      <c r="Y111" s="53"/>
      <c r="AA111" s="61"/>
      <c r="AB111" s="61"/>
    </row>
    <row r="112" spans="1:28" hidden="1">
      <c r="A112" s="7">
        <v>107</v>
      </c>
      <c r="B112" s="7">
        <f t="shared" si="13"/>
        <v>107</v>
      </c>
      <c r="C112" s="54" t="str">
        <f>IF(B112=0,0,IF(calcoli!$C$8="MAXIRATA",IF('sviluppo p. amm.to'!B112=calcoli!$C$11,calcoli!$C$46,IF(B112&gt;calcoli!$C$11,"",calcoli!$C$35)),IF(B112&gt;calcoli!$C$11,"",calcoli!$C$35)))</f>
        <v/>
      </c>
      <c r="D112" s="54" t="str">
        <f>IF(B112=0,0,IF(calcoli!$C$8="MAXIRATA",IF('sviluppo p. amm.to'!B112=calcoli!$C$11,calcoli!$C$46,IF(B112&gt;calcoli!$C$11,"",calcoli!$C$36)),IF(B112&gt;calcoli!$C$11,"",calcoli!$C$36)))</f>
        <v/>
      </c>
      <c r="E112" s="55" t="str">
        <f>IF(C112=0,0,IF(C112="","",D112+MROUND(calcoli!$C$37,0.01)))</f>
        <v/>
      </c>
      <c r="F112" s="54" t="str">
        <f>IF(B112=0,0,IF(B112&gt;calcoli!$C$11,"",C112-G112))</f>
        <v/>
      </c>
      <c r="G112" s="54" t="str">
        <f>IF(B112=0,0,IF(B112&gt;calcoli!$C$11,"",'sviluppo p. amm.to'!J111*calcoli!$C$10/12))</f>
        <v/>
      </c>
      <c r="H112" s="56" t="str">
        <f>IF(B112=0,0,IF(B112&gt;calcoli!$C$11,"",G112+calcoli!$C$36-calcoli!$C$35))</f>
        <v/>
      </c>
      <c r="I112" s="52" t="str">
        <f t="shared" si="10"/>
        <v/>
      </c>
      <c r="J112" s="13" t="str">
        <f t="shared" si="11"/>
        <v/>
      </c>
      <c r="K112" s="55" t="str">
        <f>IF(B112=0,0,IF(B112&gt;calcoli!$C$11,"",$K$3))</f>
        <v/>
      </c>
      <c r="L112" s="29" t="str">
        <f t="shared" si="14"/>
        <v/>
      </c>
      <c r="M112" s="29" t="str">
        <f t="shared" si="15"/>
        <v/>
      </c>
      <c r="N112" s="13"/>
      <c r="O112" s="77"/>
      <c r="P112" s="17" t="str">
        <f>IF(A112&lt;calcoli!$C$11,calcoli!$C$36,IF(AND(calcoli!$C$8="maxirata",'sviluppo p. amm.to'!A112=calcoli!$C$11),calcoli!$C$46,IF('sviluppo p. amm.to'!A112=calcoli!$C$11,calcoli!$C$36,"")))</f>
        <v/>
      </c>
      <c r="Q112" s="59" t="str">
        <f t="shared" si="12"/>
        <v/>
      </c>
      <c r="R112" s="19" t="str">
        <f>IF(E112="","",IF(calcoli!$C$11&gt;18,E112+K112+L112+IF($M$2&lt;$N$2,M112,N112),E112+K112+L112+M112))</f>
        <v/>
      </c>
      <c r="S112" s="53"/>
      <c r="T112" s="88" t="str">
        <f>IF(A112&lt;calcoli!$C$11,calcoli!$C$58,IF(AND(calcoli!$C$8="maxirata",'sviluppo p. amm.to'!A112=calcoli!$C$11),calcoli!$C$46,IF('sviluppo p. amm.to'!A112=calcoli!$C$11,calcoli!$C$58,"")))</f>
        <v/>
      </c>
      <c r="U112" s="53"/>
      <c r="V112" s="67" t="str">
        <f>IF(calcoli!$C$8="MAXIRATA",IF(SIMULATORE!$E$16&gt;='sviluppo p. amm.to'!A112,calcoli!$C$50,""),"")</f>
        <v/>
      </c>
      <c r="W112" s="60" t="str">
        <f>IF(calcoli!$C$8="MAXIRATA",IF(SIMULATORE!$E$16&gt;='sviluppo p. amm.to'!B112,calcoli!$C$50+$K$3+IF(C112="",0,IF($M$2&lt;$N$2,IF(MOD(B112,12)&gt;0,0,1),0)),""),"")</f>
        <v/>
      </c>
      <c r="X112" s="22" t="str">
        <f>IF(calcoli!$C$8="MAXIRATA",IF(SIMULATORE!$E$16&gt;='sviluppo p. amm.to'!A112,calcoli!$C$50+$K$3+IF(C112="",0,IF($M$2&lt;$N$2,IF(MOD(A112,12)&gt;0,0,3),0)),""),"")</f>
        <v/>
      </c>
      <c r="Y112" s="53"/>
      <c r="AA112" s="61"/>
      <c r="AB112" s="61"/>
    </row>
    <row r="113" spans="1:28" hidden="1">
      <c r="A113" s="7">
        <v>108</v>
      </c>
      <c r="B113" s="7">
        <f t="shared" si="13"/>
        <v>108</v>
      </c>
      <c r="C113" s="54" t="str">
        <f>IF(B113=0,0,IF(calcoli!$C$8="MAXIRATA",IF('sviluppo p. amm.to'!B113=calcoli!$C$11,calcoli!$C$46,IF(B113&gt;calcoli!$C$11,"",calcoli!$C$35)),IF(B113&gt;calcoli!$C$11,"",calcoli!$C$35)))</f>
        <v/>
      </c>
      <c r="D113" s="54" t="str">
        <f>IF(B113=0,0,IF(calcoli!$C$8="MAXIRATA",IF('sviluppo p. amm.to'!B113=calcoli!$C$11,calcoli!$C$46,IF(B113&gt;calcoli!$C$11,"",calcoli!$C$36)),IF(B113&gt;calcoli!$C$11,"",calcoli!$C$36)))</f>
        <v/>
      </c>
      <c r="E113" s="55" t="str">
        <f>IF(C113=0,0,IF(C113="","",D113+MROUND(calcoli!$C$37,0.01)))</f>
        <v/>
      </c>
      <c r="F113" s="54" t="str">
        <f>IF(B113=0,0,IF(B113&gt;calcoli!$C$11,"",C113-G113))</f>
        <v/>
      </c>
      <c r="G113" s="54" t="str">
        <f>IF(B113=0,0,IF(B113&gt;calcoli!$C$11,"",'sviluppo p. amm.to'!J112*calcoli!$C$10/12))</f>
        <v/>
      </c>
      <c r="H113" s="56" t="str">
        <f>IF(B113=0,0,IF(B113&gt;calcoli!$C$11,"",G113+calcoli!$C$36-calcoli!$C$35))</f>
        <v/>
      </c>
      <c r="I113" s="52" t="str">
        <f t="shared" si="10"/>
        <v/>
      </c>
      <c r="J113" s="13" t="str">
        <f t="shared" si="11"/>
        <v/>
      </c>
      <c r="K113" s="55" t="str">
        <f>IF(B113=0,0,IF(B113&gt;calcoli!$C$11,"",$K$3))</f>
        <v/>
      </c>
      <c r="L113" s="29" t="str">
        <f t="shared" si="14"/>
        <v/>
      </c>
      <c r="M113" s="29" t="str">
        <f t="shared" si="15"/>
        <v/>
      </c>
      <c r="N113" s="13"/>
      <c r="O113" s="77"/>
      <c r="P113" s="17" t="str">
        <f>IF(A113&lt;calcoli!$C$11,calcoli!$C$36,IF(AND(calcoli!$C$8="maxirata",'sviluppo p. amm.to'!A113=calcoli!$C$11),calcoli!$C$46,IF('sviluppo p. amm.to'!A113=calcoli!$C$11,calcoli!$C$36,"")))</f>
        <v/>
      </c>
      <c r="Q113" s="59" t="str">
        <f t="shared" si="12"/>
        <v/>
      </c>
      <c r="R113" s="19" t="str">
        <f>IF(E113="","",IF(calcoli!$C$11&gt;18,E113+K113+L113+IF($M$2&lt;$N$2,M113,N113),E113+K113+L113+M113))</f>
        <v/>
      </c>
      <c r="T113" s="88" t="str">
        <f>IF(A113&lt;calcoli!$C$11,calcoli!$C$58,IF(AND(calcoli!$C$8="maxirata",'sviluppo p. amm.to'!A113=calcoli!$C$11),calcoli!$C$46,IF('sviluppo p. amm.to'!A113=calcoli!$C$11,calcoli!$C$58,"")))</f>
        <v/>
      </c>
      <c r="V113" s="67" t="str">
        <f>IF(calcoli!$C$8="MAXIRATA",IF(SIMULATORE!$E$16&gt;='sviluppo p. amm.to'!A113,calcoli!$C$50,""),"")</f>
        <v/>
      </c>
      <c r="W113" s="60" t="str">
        <f>IF(calcoli!$C$8="MAXIRATA",IF(SIMULATORE!$E$16&gt;='sviluppo p. amm.to'!B113,calcoli!$C$50+$K$3+IF(C113="",0,IF($M$2&lt;$N$2,IF(MOD(B113,12)&gt;0,0,1),0)),""),"")</f>
        <v/>
      </c>
      <c r="X113" s="22" t="str">
        <f>IF(calcoli!$C$8="MAXIRATA",IF(SIMULATORE!$E$16&gt;='sviluppo p. amm.to'!A113,calcoli!$C$50+$K$3+IF(C113="",0,IF($M$2&lt;$N$2,IF(MOD(A113,12)&gt;0,0,3),0)),""),"")</f>
        <v/>
      </c>
      <c r="AA113" s="61"/>
      <c r="AB113" s="61"/>
    </row>
    <row r="114" spans="1:28" hidden="1">
      <c r="A114" s="7">
        <v>109</v>
      </c>
      <c r="B114" s="7">
        <f t="shared" si="13"/>
        <v>109</v>
      </c>
      <c r="C114" s="54" t="str">
        <f>IF(B114=0,0,IF(calcoli!$C$8="MAXIRATA",IF('sviluppo p. amm.to'!B114=calcoli!$C$11,calcoli!$C$46,IF(B114&gt;calcoli!$C$11,"",calcoli!$C$35)),IF(B114&gt;calcoli!$C$11,"",calcoli!$C$35)))</f>
        <v/>
      </c>
      <c r="D114" s="54" t="str">
        <f>IF(B114=0,0,IF(calcoli!$C$8="MAXIRATA",IF('sviluppo p. amm.to'!B114=calcoli!$C$11,calcoli!$C$46,IF(B114&gt;calcoli!$C$11,"",calcoli!$C$36)),IF(B114&gt;calcoli!$C$11,"",calcoli!$C$36)))</f>
        <v/>
      </c>
      <c r="E114" s="55" t="str">
        <f>IF(C114=0,0,IF(C114="","",D114+MROUND(calcoli!$C$37,0.01)))</f>
        <v/>
      </c>
      <c r="F114" s="54" t="str">
        <f>IF(B114=0,0,IF(B114&gt;calcoli!$C$11,"",C114-G114))</f>
        <v/>
      </c>
      <c r="G114" s="54" t="str">
        <f>IF(B114=0,0,IF(B114&gt;calcoli!$C$11,"",'sviluppo p. amm.to'!J113*calcoli!$C$10/12))</f>
        <v/>
      </c>
      <c r="H114" s="56" t="str">
        <f>IF(B114=0,0,IF(B114&gt;calcoli!$C$11,"",G114+calcoli!$C$36-calcoli!$C$35))</f>
        <v/>
      </c>
      <c r="I114" s="52" t="str">
        <f t="shared" si="10"/>
        <v/>
      </c>
      <c r="J114" s="13" t="str">
        <f t="shared" si="11"/>
        <v/>
      </c>
      <c r="K114" s="55" t="str">
        <f>IF(B114=0,0,IF(B114&gt;calcoli!$C$11,"",$K$3))</f>
        <v/>
      </c>
      <c r="L114" s="29" t="str">
        <f t="shared" si="14"/>
        <v/>
      </c>
      <c r="M114" s="29" t="str">
        <f t="shared" si="15"/>
        <v/>
      </c>
      <c r="N114" s="13"/>
      <c r="O114" s="77"/>
      <c r="P114" s="17" t="str">
        <f>IF(A114&lt;calcoli!$C$11,calcoli!$C$36,IF(AND(calcoli!$C$8="maxirata",'sviluppo p. amm.to'!A114=calcoli!$C$11),calcoli!$C$46,IF('sviluppo p. amm.to'!A114=calcoli!$C$11,calcoli!$C$36,"")))</f>
        <v/>
      </c>
      <c r="Q114" s="59" t="str">
        <f t="shared" si="12"/>
        <v/>
      </c>
      <c r="R114" s="19" t="str">
        <f>IF(E114="","",IF(calcoli!$C$11&gt;18,E114+K114+L114+IF($M$2&lt;$N$2,M114,N114),E114+K114+L114+M114))</f>
        <v/>
      </c>
      <c r="T114" s="88" t="str">
        <f>IF(A114&lt;calcoli!$C$11,calcoli!$C$58,IF(AND(calcoli!$C$8="maxirata",'sviluppo p. amm.to'!A114=calcoli!$C$11),calcoli!$C$46,IF('sviluppo p. amm.to'!A114=calcoli!$C$11,calcoli!$C$58,"")))</f>
        <v/>
      </c>
      <c r="V114" s="67" t="str">
        <f>IF(calcoli!$C$8="MAXIRATA",IF(SIMULATORE!$E$16&gt;='sviluppo p. amm.to'!A114,calcoli!$C$50,""),"")</f>
        <v/>
      </c>
      <c r="W114" s="60" t="str">
        <f>IF(calcoli!$C$8="MAXIRATA",IF(SIMULATORE!$E$16&gt;='sviluppo p. amm.to'!B114,calcoli!$C$50+$K$3+IF(C114="",0,IF($M$2&lt;$N$2,IF(MOD(B114,12)&gt;0,0,1),0)),""),"")</f>
        <v/>
      </c>
      <c r="X114" s="22" t="str">
        <f>IF(calcoli!$C$8="MAXIRATA",IF(SIMULATORE!$E$16&gt;='sviluppo p. amm.to'!A114,calcoli!$C$50+$K$3+IF(C114="",0,IF($M$2&lt;$N$2,IF(MOD(A114,12)&gt;0,0,3),0)),""),"")</f>
        <v/>
      </c>
      <c r="AA114" s="61"/>
      <c r="AB114" s="61"/>
    </row>
    <row r="115" spans="1:28" hidden="1">
      <c r="A115" s="7">
        <v>110</v>
      </c>
      <c r="B115" s="7">
        <f t="shared" si="13"/>
        <v>110</v>
      </c>
      <c r="C115" s="54" t="str">
        <f>IF(B115=0,0,IF(calcoli!$C$8="MAXIRATA",IF('sviluppo p. amm.to'!B115=calcoli!$C$11,calcoli!$C$46,IF(B115&gt;calcoli!$C$11,"",calcoli!$C$35)),IF(B115&gt;calcoli!$C$11,"",calcoli!$C$35)))</f>
        <v/>
      </c>
      <c r="D115" s="54" t="str">
        <f>IF(B115=0,0,IF(calcoli!$C$8="MAXIRATA",IF('sviluppo p. amm.to'!B115=calcoli!$C$11,calcoli!$C$46,IF(B115&gt;calcoli!$C$11,"",calcoli!$C$36)),IF(B115&gt;calcoli!$C$11,"",calcoli!$C$36)))</f>
        <v/>
      </c>
      <c r="E115" s="55" t="str">
        <f>IF(C115=0,0,IF(C115="","",D115+MROUND(calcoli!$C$37,0.01)))</f>
        <v/>
      </c>
      <c r="F115" s="54" t="str">
        <f>IF(B115=0,0,IF(B115&gt;calcoli!$C$11,"",C115-G115))</f>
        <v/>
      </c>
      <c r="G115" s="54" t="str">
        <f>IF(B115=0,0,IF(B115&gt;calcoli!$C$11,"",'sviluppo p. amm.to'!J114*calcoli!$C$10/12))</f>
        <v/>
      </c>
      <c r="H115" s="56" t="str">
        <f>IF(B115=0,0,IF(B115&gt;calcoli!$C$11,"",G115+calcoli!$C$36-calcoli!$C$35))</f>
        <v/>
      </c>
      <c r="I115" s="52" t="str">
        <f t="shared" si="10"/>
        <v/>
      </c>
      <c r="J115" s="13" t="str">
        <f t="shared" si="11"/>
        <v/>
      </c>
      <c r="K115" s="55" t="str">
        <f>IF(B115=0,0,IF(B115&gt;calcoli!$C$11,"",$K$3))</f>
        <v/>
      </c>
      <c r="L115" s="29" t="str">
        <f t="shared" si="14"/>
        <v/>
      </c>
      <c r="M115" s="29" t="str">
        <f t="shared" si="15"/>
        <v/>
      </c>
      <c r="N115" s="13"/>
      <c r="O115" s="77"/>
      <c r="P115" s="17" t="str">
        <f>IF(A115&lt;calcoli!$C$11,calcoli!$C$36,IF(AND(calcoli!$C$8="maxirata",'sviluppo p. amm.to'!A115=calcoli!$C$11),calcoli!$C$46,IF('sviluppo p. amm.to'!A115=calcoli!$C$11,calcoli!$C$36,"")))</f>
        <v/>
      </c>
      <c r="Q115" s="59" t="str">
        <f t="shared" si="12"/>
        <v/>
      </c>
      <c r="R115" s="19" t="str">
        <f>IF(E115="","",IF(calcoli!$C$11&gt;18,E115+K115+L115+IF($M$2&lt;$N$2,M115,N115),E115+K115+L115+M115))</f>
        <v/>
      </c>
      <c r="T115" s="88" t="str">
        <f>IF(A115&lt;calcoli!$C$11,calcoli!$C$58,IF(AND(calcoli!$C$8="maxirata",'sviluppo p. amm.to'!A115=calcoli!$C$11),calcoli!$C$46,IF('sviluppo p. amm.to'!A115=calcoli!$C$11,calcoli!$C$58,"")))</f>
        <v/>
      </c>
      <c r="V115" s="67" t="str">
        <f>IF(calcoli!$C$8="MAXIRATA",IF(SIMULATORE!$E$16&gt;='sviluppo p. amm.to'!A115,calcoli!$C$50,""),"")</f>
        <v/>
      </c>
      <c r="W115" s="60" t="str">
        <f>IF(calcoli!$C$8="MAXIRATA",IF(SIMULATORE!$E$16&gt;='sviluppo p. amm.to'!B115,calcoli!$C$50+$K$3+IF(C115="",0,IF($M$2&lt;$N$2,IF(MOD(B115,12)&gt;0,0,1),0)),""),"")</f>
        <v/>
      </c>
      <c r="X115" s="22" t="str">
        <f>IF(calcoli!$C$8="MAXIRATA",IF(SIMULATORE!$E$16&gt;='sviluppo p. amm.to'!A115,calcoli!$C$50+$K$3+IF(C115="",0,IF($M$2&lt;$N$2,IF(MOD(A115,12)&gt;0,0,3),0)),""),"")</f>
        <v/>
      </c>
      <c r="AA115" s="61"/>
      <c r="AB115" s="61"/>
    </row>
    <row r="116" spans="1:28" hidden="1">
      <c r="A116" s="7">
        <v>111</v>
      </c>
      <c r="B116" s="7">
        <f t="shared" si="13"/>
        <v>111</v>
      </c>
      <c r="C116" s="54" t="str">
        <f>IF(B116=0,0,IF(calcoli!$C$8="MAXIRATA",IF('sviluppo p. amm.to'!B116=calcoli!$C$11,calcoli!$C$46,IF(B116&gt;calcoli!$C$11,"",calcoli!$C$35)),IF(B116&gt;calcoli!$C$11,"",calcoli!$C$35)))</f>
        <v/>
      </c>
      <c r="D116" s="54" t="str">
        <f>IF(B116=0,0,IF(calcoli!$C$8="MAXIRATA",IF('sviluppo p. amm.to'!B116=calcoli!$C$11,calcoli!$C$46,IF(B116&gt;calcoli!$C$11,"",calcoli!$C$36)),IF(B116&gt;calcoli!$C$11,"",calcoli!$C$36)))</f>
        <v/>
      </c>
      <c r="E116" s="55" t="str">
        <f>IF(C116=0,0,IF(C116="","",D116+MROUND(calcoli!$C$37,0.01)))</f>
        <v/>
      </c>
      <c r="F116" s="54" t="str">
        <f>IF(B116=0,0,IF(B116&gt;calcoli!$C$11,"",C116-G116))</f>
        <v/>
      </c>
      <c r="G116" s="54" t="str">
        <f>IF(B116=0,0,IF(B116&gt;calcoli!$C$11,"",'sviluppo p. amm.to'!J115*calcoli!$C$10/12))</f>
        <v/>
      </c>
      <c r="H116" s="56" t="str">
        <f>IF(B116=0,0,IF(B116&gt;calcoli!$C$11,"",G116+calcoli!$C$36-calcoli!$C$35))</f>
        <v/>
      </c>
      <c r="I116" s="52" t="str">
        <f t="shared" si="10"/>
        <v/>
      </c>
      <c r="J116" s="13" t="str">
        <f t="shared" si="11"/>
        <v/>
      </c>
      <c r="K116" s="55" t="str">
        <f>IF(B116=0,0,IF(B116&gt;calcoli!$C$11,"",$K$3))</f>
        <v/>
      </c>
      <c r="L116" s="29" t="str">
        <f t="shared" si="14"/>
        <v/>
      </c>
      <c r="M116" s="29" t="str">
        <f t="shared" si="15"/>
        <v/>
      </c>
      <c r="N116" s="13"/>
      <c r="O116" s="77"/>
      <c r="P116" s="17" t="str">
        <f>IF(A116&lt;calcoli!$C$11,calcoli!$C$36,IF(AND(calcoli!$C$8="maxirata",'sviluppo p. amm.to'!A116=calcoli!$C$11),calcoli!$C$46,IF('sviluppo p. amm.to'!A116=calcoli!$C$11,calcoli!$C$36,"")))</f>
        <v/>
      </c>
      <c r="Q116" s="59" t="str">
        <f t="shared" si="12"/>
        <v/>
      </c>
      <c r="R116" s="19" t="str">
        <f>IF(E116="","",IF(calcoli!$C$11&gt;18,E116+K116+L116+IF($M$2&lt;$N$2,M116,N116),E116+K116+L116+M116))</f>
        <v/>
      </c>
      <c r="T116" s="88" t="str">
        <f>IF(A116&lt;calcoli!$C$11,calcoli!$C$58,IF(AND(calcoli!$C$8="maxirata",'sviluppo p. amm.to'!A116=calcoli!$C$11),calcoli!$C$46,IF('sviluppo p. amm.to'!A116=calcoli!$C$11,calcoli!$C$58,"")))</f>
        <v/>
      </c>
      <c r="V116" s="67" t="str">
        <f>IF(calcoli!$C$8="MAXIRATA",IF(SIMULATORE!$E$16&gt;='sviluppo p. amm.to'!A116,calcoli!$C$50,""),"")</f>
        <v/>
      </c>
      <c r="W116" s="60" t="str">
        <f>IF(calcoli!$C$8="MAXIRATA",IF(SIMULATORE!$E$16&gt;='sviluppo p. amm.to'!B116,calcoli!$C$50+$K$3+IF(C116="",0,IF($M$2&lt;$N$2,IF(MOD(B116,12)&gt;0,0,1),0)),""),"")</f>
        <v/>
      </c>
      <c r="X116" s="22" t="str">
        <f>IF(calcoli!$C$8="MAXIRATA",IF(SIMULATORE!$E$16&gt;='sviluppo p. amm.to'!A116,calcoli!$C$50+$K$3+IF(C116="",0,IF($M$2&lt;$N$2,IF(MOD(A116,12)&gt;0,0,3),0)),""),"")</f>
        <v/>
      </c>
      <c r="AA116" s="61"/>
      <c r="AB116" s="61"/>
    </row>
    <row r="117" spans="1:28" hidden="1">
      <c r="A117" s="7">
        <v>112</v>
      </c>
      <c r="B117" s="7">
        <f t="shared" si="13"/>
        <v>112</v>
      </c>
      <c r="C117" s="54" t="str">
        <f>IF(B117=0,0,IF(calcoli!$C$8="MAXIRATA",IF('sviluppo p. amm.to'!B117=calcoli!$C$11,calcoli!$C$46,IF(B117&gt;calcoli!$C$11,"",calcoli!$C$35)),IF(B117&gt;calcoli!$C$11,"",calcoli!$C$35)))</f>
        <v/>
      </c>
      <c r="D117" s="54" t="str">
        <f>IF(B117=0,0,IF(calcoli!$C$8="MAXIRATA",IF('sviluppo p. amm.to'!B117=calcoli!$C$11,calcoli!$C$46,IF(B117&gt;calcoli!$C$11,"",calcoli!$C$36)),IF(B117&gt;calcoli!$C$11,"",calcoli!$C$36)))</f>
        <v/>
      </c>
      <c r="E117" s="55" t="str">
        <f>IF(C117=0,0,IF(C117="","",D117+MROUND(calcoli!$C$37,0.01)))</f>
        <v/>
      </c>
      <c r="F117" s="54" t="str">
        <f>IF(B117=0,0,IF(B117&gt;calcoli!$C$11,"",C117-G117))</f>
        <v/>
      </c>
      <c r="G117" s="54" t="str">
        <f>IF(B117=0,0,IF(B117&gt;calcoli!$C$11,"",'sviluppo p. amm.to'!J116*calcoli!$C$10/12))</f>
        <v/>
      </c>
      <c r="H117" s="56" t="str">
        <f>IF(B117=0,0,IF(B117&gt;calcoli!$C$11,"",G117+calcoli!$C$36-calcoli!$C$35))</f>
        <v/>
      </c>
      <c r="I117" s="52" t="str">
        <f t="shared" si="10"/>
        <v/>
      </c>
      <c r="J117" s="13" t="str">
        <f t="shared" si="11"/>
        <v/>
      </c>
      <c r="K117" s="55" t="str">
        <f>IF(B117=0,0,IF(B117&gt;calcoli!$C$11,"",$K$3))</f>
        <v/>
      </c>
      <c r="L117" s="29" t="str">
        <f t="shared" si="14"/>
        <v/>
      </c>
      <c r="M117" s="29" t="str">
        <f t="shared" si="15"/>
        <v/>
      </c>
      <c r="N117" s="13"/>
      <c r="O117" s="77"/>
      <c r="P117" s="17" t="str">
        <f>IF(A117&lt;calcoli!$C$11,calcoli!$C$36,IF(AND(calcoli!$C$8="maxirata",'sviluppo p. amm.to'!A117=calcoli!$C$11),calcoli!$C$46,IF('sviluppo p. amm.to'!A117=calcoli!$C$11,calcoli!$C$36,"")))</f>
        <v/>
      </c>
      <c r="Q117" s="59" t="str">
        <f t="shared" si="12"/>
        <v/>
      </c>
      <c r="R117" s="19" t="str">
        <f>IF(E117="","",IF(calcoli!$C$11&gt;18,E117+K117+L117+IF($M$2&lt;$N$2,M117,N117),E117+K117+L117+M117))</f>
        <v/>
      </c>
      <c r="T117" s="88" t="str">
        <f>IF(A117&lt;calcoli!$C$11,calcoli!$C$58,IF(AND(calcoli!$C$8="maxirata",'sviluppo p. amm.to'!A117=calcoli!$C$11),calcoli!$C$46,IF('sviluppo p. amm.to'!A117=calcoli!$C$11,calcoli!$C$58,"")))</f>
        <v/>
      </c>
      <c r="V117" s="67" t="str">
        <f>IF(calcoli!$C$8="MAXIRATA",IF(SIMULATORE!$E$16&gt;='sviluppo p. amm.to'!A117,calcoli!$C$50,""),"")</f>
        <v/>
      </c>
      <c r="W117" s="60" t="str">
        <f>IF(calcoli!$C$8="MAXIRATA",IF(SIMULATORE!$E$16&gt;='sviluppo p. amm.to'!B117,calcoli!$C$50+$K$3+IF(C117="",0,IF($M$2&lt;$N$2,IF(MOD(B117,12)&gt;0,0,1),0)),""),"")</f>
        <v/>
      </c>
      <c r="X117" s="22" t="str">
        <f>IF(calcoli!$C$8="MAXIRATA",IF(SIMULATORE!$E$16&gt;='sviluppo p. amm.to'!A117,calcoli!$C$50+$K$3+IF(C117="",0,IF($M$2&lt;$N$2,IF(MOD(A117,12)&gt;0,0,3),0)),""),"")</f>
        <v/>
      </c>
      <c r="AA117" s="61"/>
      <c r="AB117" s="61"/>
    </row>
    <row r="118" spans="1:28" hidden="1">
      <c r="A118" s="7">
        <v>113</v>
      </c>
      <c r="B118" s="7">
        <f t="shared" si="13"/>
        <v>113</v>
      </c>
      <c r="C118" s="54" t="str">
        <f>IF(B118=0,0,IF(calcoli!$C$8="MAXIRATA",IF('sviluppo p. amm.to'!B118=calcoli!$C$11,calcoli!$C$46,IF(B118&gt;calcoli!$C$11,"",calcoli!$C$35)),IF(B118&gt;calcoli!$C$11,"",calcoli!$C$35)))</f>
        <v/>
      </c>
      <c r="D118" s="54" t="str">
        <f>IF(B118=0,0,IF(calcoli!$C$8="MAXIRATA",IF('sviluppo p. amm.to'!B118=calcoli!$C$11,calcoli!$C$46,IF(B118&gt;calcoli!$C$11,"",calcoli!$C$36)),IF(B118&gt;calcoli!$C$11,"",calcoli!$C$36)))</f>
        <v/>
      </c>
      <c r="E118" s="55" t="str">
        <f>IF(C118=0,0,IF(C118="","",D118+MROUND(calcoli!$C$37,0.01)))</f>
        <v/>
      </c>
      <c r="F118" s="54" t="str">
        <f>IF(B118=0,0,IF(B118&gt;calcoli!$C$11,"",C118-G118))</f>
        <v/>
      </c>
      <c r="G118" s="54" t="str">
        <f>IF(B118=0,0,IF(B118&gt;calcoli!$C$11,"",'sviluppo p. amm.to'!J117*calcoli!$C$10/12))</f>
        <v/>
      </c>
      <c r="H118" s="56" t="str">
        <f>IF(B118=0,0,IF(B118&gt;calcoli!$C$11,"",G118+calcoli!$C$36-calcoli!$C$35))</f>
        <v/>
      </c>
      <c r="I118" s="52" t="str">
        <f t="shared" si="10"/>
        <v/>
      </c>
      <c r="J118" s="13" t="str">
        <f t="shared" si="11"/>
        <v/>
      </c>
      <c r="K118" s="55" t="str">
        <f>IF(B118=0,0,IF(B118&gt;calcoli!$C$11,"",$K$3))</f>
        <v/>
      </c>
      <c r="L118" s="29" t="str">
        <f t="shared" si="14"/>
        <v/>
      </c>
      <c r="M118" s="29" t="str">
        <f t="shared" si="15"/>
        <v/>
      </c>
      <c r="N118" s="13"/>
      <c r="O118" s="77"/>
      <c r="P118" s="17" t="str">
        <f>IF(A118&lt;calcoli!$C$11,calcoli!$C$36,IF(AND(calcoli!$C$8="maxirata",'sviluppo p. amm.to'!A118=calcoli!$C$11),calcoli!$C$46,IF('sviluppo p. amm.to'!A118=calcoli!$C$11,calcoli!$C$36,"")))</f>
        <v/>
      </c>
      <c r="Q118" s="59" t="str">
        <f t="shared" si="12"/>
        <v/>
      </c>
      <c r="R118" s="19" t="str">
        <f>IF(E118="","",IF(calcoli!$C$11&gt;18,E118+K118+L118+IF($M$2&lt;$N$2,M118,N118),E118+K118+L118+M118))</f>
        <v/>
      </c>
      <c r="T118" s="88" t="str">
        <f>IF(A118&lt;calcoli!$C$11,calcoli!$C$58,IF(AND(calcoli!$C$8="maxirata",'sviluppo p. amm.to'!A118=calcoli!$C$11),calcoli!$C$46,IF('sviluppo p. amm.to'!A118=calcoli!$C$11,calcoli!$C$58,"")))</f>
        <v/>
      </c>
      <c r="V118" s="67" t="str">
        <f>IF(calcoli!$C$8="MAXIRATA",IF(SIMULATORE!$E$16&gt;='sviluppo p. amm.to'!A118,calcoli!$C$50,""),"")</f>
        <v/>
      </c>
      <c r="W118" s="60" t="str">
        <f>IF(calcoli!$C$8="MAXIRATA",IF(SIMULATORE!$E$16&gt;='sviluppo p. amm.to'!B118,calcoli!$C$50+$K$3+IF(C118="",0,IF($M$2&lt;$N$2,IF(MOD(B118,12)&gt;0,0,1),0)),""),"")</f>
        <v/>
      </c>
      <c r="X118" s="22" t="str">
        <f>IF(calcoli!$C$8="MAXIRATA",IF(SIMULATORE!$E$16&gt;='sviluppo p. amm.to'!A118,calcoli!$C$50+$K$3+IF(C118="",0,IF($M$2&lt;$N$2,IF(MOD(A118,12)&gt;0,0,3),0)),""),"")</f>
        <v/>
      </c>
      <c r="AA118" s="61"/>
      <c r="AB118" s="61"/>
    </row>
    <row r="119" spans="1:28" hidden="1">
      <c r="A119" s="7">
        <v>114</v>
      </c>
      <c r="B119" s="7">
        <f t="shared" si="13"/>
        <v>114</v>
      </c>
      <c r="C119" s="54" t="str">
        <f>IF(B119=0,0,IF(calcoli!$C$8="MAXIRATA",IF('sviluppo p. amm.to'!B119=calcoli!$C$11,calcoli!$C$46,IF(B119&gt;calcoli!$C$11,"",calcoli!$C$35)),IF(B119&gt;calcoli!$C$11,"",calcoli!$C$35)))</f>
        <v/>
      </c>
      <c r="D119" s="54" t="str">
        <f>IF(B119=0,0,IF(calcoli!$C$8="MAXIRATA",IF('sviluppo p. amm.to'!B119=calcoli!$C$11,calcoli!$C$46,IF(B119&gt;calcoli!$C$11,"",calcoli!$C$36)),IF(B119&gt;calcoli!$C$11,"",calcoli!$C$36)))</f>
        <v/>
      </c>
      <c r="E119" s="55" t="str">
        <f>IF(C119=0,0,IF(C119="","",D119+MROUND(calcoli!$C$37,0.01)))</f>
        <v/>
      </c>
      <c r="F119" s="54" t="str">
        <f>IF(B119=0,0,IF(B119&gt;calcoli!$C$11,"",C119-G119))</f>
        <v/>
      </c>
      <c r="G119" s="54" t="str">
        <f>IF(B119=0,0,IF(B119&gt;calcoli!$C$11,"",'sviluppo p. amm.to'!J118*calcoli!$C$10/12))</f>
        <v/>
      </c>
      <c r="H119" s="56" t="str">
        <f>IF(B119=0,0,IF(B119&gt;calcoli!$C$11,"",G119+calcoli!$C$36-calcoli!$C$35))</f>
        <v/>
      </c>
      <c r="I119" s="52" t="str">
        <f t="shared" si="10"/>
        <v/>
      </c>
      <c r="J119" s="13" t="str">
        <f t="shared" si="11"/>
        <v/>
      </c>
      <c r="K119" s="55" t="str">
        <f>IF(B119=0,0,IF(B119&gt;calcoli!$C$11,"",$K$3))</f>
        <v/>
      </c>
      <c r="L119" s="29" t="str">
        <f t="shared" si="14"/>
        <v/>
      </c>
      <c r="M119" s="29" t="str">
        <f t="shared" si="15"/>
        <v/>
      </c>
      <c r="N119" s="13"/>
      <c r="O119" s="77"/>
      <c r="P119" s="17" t="str">
        <f>IF(A119&lt;calcoli!$C$11,calcoli!$C$36,IF(AND(calcoli!$C$8="maxirata",'sviluppo p. amm.to'!A119=calcoli!$C$11),calcoli!$C$46,IF('sviluppo p. amm.to'!A119=calcoli!$C$11,calcoli!$C$36,"")))</f>
        <v/>
      </c>
      <c r="Q119" s="59" t="str">
        <f t="shared" si="12"/>
        <v/>
      </c>
      <c r="R119" s="19" t="str">
        <f>IF(E119="","",IF(calcoli!$C$11&gt;18,E119+K119+L119+IF($M$2&lt;$N$2,M119,N119),E119+K119+L119+M119))</f>
        <v/>
      </c>
      <c r="T119" s="88" t="str">
        <f>IF(A119&lt;calcoli!$C$11,calcoli!$C$58,IF(AND(calcoli!$C$8="maxirata",'sviluppo p. amm.to'!A119=calcoli!$C$11),calcoli!$C$46,IF('sviluppo p. amm.to'!A119=calcoli!$C$11,calcoli!$C$58,"")))</f>
        <v/>
      </c>
      <c r="V119" s="67" t="str">
        <f>IF(calcoli!$C$8="MAXIRATA",IF(SIMULATORE!$E$16&gt;='sviluppo p. amm.to'!A119,calcoli!$C$50,""),"")</f>
        <v/>
      </c>
      <c r="W119" s="60" t="str">
        <f>IF(calcoli!$C$8="MAXIRATA",IF(SIMULATORE!$E$16&gt;='sviluppo p. amm.to'!B119,calcoli!$C$50+$K$3+IF(C119="",0,IF($M$2&lt;$N$2,IF(MOD(B119,12)&gt;0,0,1),0)),""),"")</f>
        <v/>
      </c>
      <c r="X119" s="22" t="str">
        <f>IF(calcoli!$C$8="MAXIRATA",IF(SIMULATORE!$E$16&gt;='sviluppo p. amm.to'!A119,calcoli!$C$50+$K$3+IF(C119="",0,IF($M$2&lt;$N$2,IF(MOD(A119,12)&gt;0,0,3),0)),""),"")</f>
        <v/>
      </c>
      <c r="AA119" s="61"/>
      <c r="AB119" s="61"/>
    </row>
    <row r="120" spans="1:28" hidden="1">
      <c r="A120" s="7">
        <v>115</v>
      </c>
      <c r="B120" s="7">
        <f t="shared" si="13"/>
        <v>115</v>
      </c>
      <c r="C120" s="54" t="str">
        <f>IF(B120=0,0,IF(calcoli!$C$8="MAXIRATA",IF('sviluppo p. amm.to'!B120=calcoli!$C$11,calcoli!$C$46,IF(B120&gt;calcoli!$C$11,"",calcoli!$C$35)),IF(B120&gt;calcoli!$C$11,"",calcoli!$C$35)))</f>
        <v/>
      </c>
      <c r="D120" s="54" t="str">
        <f>IF(B120=0,0,IF(calcoli!$C$8="MAXIRATA",IF('sviluppo p. amm.to'!B120=calcoli!$C$11,calcoli!$C$46,IF(B120&gt;calcoli!$C$11,"",calcoli!$C$36)),IF(B120&gt;calcoli!$C$11,"",calcoli!$C$36)))</f>
        <v/>
      </c>
      <c r="E120" s="55" t="str">
        <f>IF(C120=0,0,IF(C120="","",D120+MROUND(calcoli!$C$37,0.01)))</f>
        <v/>
      </c>
      <c r="F120" s="54" t="str">
        <f>IF(B120=0,0,IF(B120&gt;calcoli!$C$11,"",C120-G120))</f>
        <v/>
      </c>
      <c r="G120" s="54" t="str">
        <f>IF(B120=0,0,IF(B120&gt;calcoli!$C$11,"",'sviluppo p. amm.to'!J119*calcoli!$C$10/12))</f>
        <v/>
      </c>
      <c r="H120" s="56" t="str">
        <f>IF(B120=0,0,IF(B120&gt;calcoli!$C$11,"",G120+calcoli!$C$36-calcoli!$C$35))</f>
        <v/>
      </c>
      <c r="I120" s="52" t="str">
        <f t="shared" si="10"/>
        <v/>
      </c>
      <c r="J120" s="13" t="str">
        <f t="shared" si="11"/>
        <v/>
      </c>
      <c r="K120" s="55" t="str">
        <f>IF(B120=0,0,IF(B120&gt;calcoli!$C$11,"",$K$3))</f>
        <v/>
      </c>
      <c r="L120" s="29" t="str">
        <f t="shared" si="14"/>
        <v/>
      </c>
      <c r="M120" s="29" t="str">
        <f t="shared" si="15"/>
        <v/>
      </c>
      <c r="N120" s="13"/>
      <c r="O120" s="77"/>
      <c r="P120" s="17" t="str">
        <f>IF(A120&lt;calcoli!$C$11,calcoli!$C$36,IF(AND(calcoli!$C$8="maxirata",'sviluppo p. amm.to'!A120=calcoli!$C$11),calcoli!$C$46,IF('sviluppo p. amm.to'!A120=calcoli!$C$11,calcoli!$C$36,"")))</f>
        <v/>
      </c>
      <c r="Q120" s="59" t="str">
        <f t="shared" si="12"/>
        <v/>
      </c>
      <c r="R120" s="19" t="str">
        <f>IF(E120="","",IF(calcoli!$C$11&gt;18,E120+K120+L120+IF($M$2&lt;$N$2,M120,N120),E120+K120+L120+M120))</f>
        <v/>
      </c>
      <c r="T120" s="88" t="str">
        <f>IF(A120&lt;calcoli!$C$11,calcoli!$C$58,IF(AND(calcoli!$C$8="maxirata",'sviluppo p. amm.to'!A120=calcoli!$C$11),calcoli!$C$46,IF('sviluppo p. amm.to'!A120=calcoli!$C$11,calcoli!$C$58,"")))</f>
        <v/>
      </c>
      <c r="V120" s="67" t="str">
        <f>IF(calcoli!$C$8="MAXIRATA",IF(SIMULATORE!$E$16&gt;='sviluppo p. amm.to'!A120,calcoli!$C$50,""),"")</f>
        <v/>
      </c>
      <c r="W120" s="60" t="str">
        <f>IF(calcoli!$C$8="MAXIRATA",IF(SIMULATORE!$E$16&gt;='sviluppo p. amm.to'!B120,calcoli!$C$50+$K$3+IF(C120="",0,IF($M$2&lt;$N$2,IF(MOD(B120,12)&gt;0,0,1),0)),""),"")</f>
        <v/>
      </c>
      <c r="X120" s="22" t="str">
        <f>IF(calcoli!$C$8="MAXIRATA",IF(SIMULATORE!$E$16&gt;='sviluppo p. amm.to'!A120,calcoli!$C$50+$K$3+IF(C120="",0,IF($M$2&lt;$N$2,IF(MOD(A120,12)&gt;0,0,3),0)),""),"")</f>
        <v/>
      </c>
      <c r="AA120" s="61"/>
      <c r="AB120" s="61"/>
    </row>
    <row r="121" spans="1:28" hidden="1">
      <c r="A121" s="7">
        <v>116</v>
      </c>
      <c r="B121" s="7">
        <f t="shared" si="13"/>
        <v>116</v>
      </c>
      <c r="C121" s="54" t="str">
        <f>IF(B121=0,0,IF(calcoli!$C$8="MAXIRATA",IF('sviluppo p. amm.to'!B121=calcoli!$C$11,calcoli!$C$46,IF(B121&gt;calcoli!$C$11,"",calcoli!$C$35)),IF(B121&gt;calcoli!$C$11,"",calcoli!$C$35)))</f>
        <v/>
      </c>
      <c r="D121" s="54" t="str">
        <f>IF(B121=0,0,IF(calcoli!$C$8="MAXIRATA",IF('sviluppo p. amm.to'!B121=calcoli!$C$11,calcoli!$C$46,IF(B121&gt;calcoli!$C$11,"",calcoli!$C$36)),IF(B121&gt;calcoli!$C$11,"",calcoli!$C$36)))</f>
        <v/>
      </c>
      <c r="E121" s="55" t="str">
        <f>IF(C121=0,0,IF(C121="","",D121+MROUND(calcoli!$C$37,0.01)))</f>
        <v/>
      </c>
      <c r="F121" s="54" t="str">
        <f>IF(B121=0,0,IF(B121&gt;calcoli!$C$11,"",C121-G121))</f>
        <v/>
      </c>
      <c r="G121" s="54" t="str">
        <f>IF(B121=0,0,IF(B121&gt;calcoli!$C$11,"",'sviluppo p. amm.to'!J120*calcoli!$C$10/12))</f>
        <v/>
      </c>
      <c r="H121" s="56" t="str">
        <f>IF(B121=0,0,IF(B121&gt;calcoli!$C$11,"",G121+calcoli!$C$36-calcoli!$C$35))</f>
        <v/>
      </c>
      <c r="I121" s="52" t="str">
        <f t="shared" si="10"/>
        <v/>
      </c>
      <c r="J121" s="13" t="str">
        <f t="shared" si="11"/>
        <v/>
      </c>
      <c r="K121" s="55" t="str">
        <f>IF(B121=0,0,IF(B121&gt;calcoli!$C$11,"",$K$3))</f>
        <v/>
      </c>
      <c r="L121" s="29" t="str">
        <f t="shared" si="14"/>
        <v/>
      </c>
      <c r="M121" s="29" t="str">
        <f t="shared" si="15"/>
        <v/>
      </c>
      <c r="N121" s="13"/>
      <c r="O121" s="77"/>
      <c r="P121" s="17" t="str">
        <f>IF(A121&lt;calcoli!$C$11,calcoli!$C$36,IF(AND(calcoli!$C$8="maxirata",'sviluppo p. amm.to'!A121=calcoli!$C$11),calcoli!$C$46,IF('sviluppo p. amm.to'!A121=calcoli!$C$11,calcoli!$C$36,"")))</f>
        <v/>
      </c>
      <c r="Q121" s="59" t="str">
        <f t="shared" si="12"/>
        <v/>
      </c>
      <c r="R121" s="19" t="str">
        <f>IF(E121="","",IF(calcoli!$C$11&gt;18,E121+K121+L121+IF($M$2&lt;$N$2,M121,N121),E121+K121+L121+M121))</f>
        <v/>
      </c>
      <c r="T121" s="88" t="str">
        <f>IF(A121&lt;calcoli!$C$11,calcoli!$C$58,IF(AND(calcoli!$C$8="maxirata",'sviluppo p. amm.to'!A121=calcoli!$C$11),calcoli!$C$46,IF('sviluppo p. amm.to'!A121=calcoli!$C$11,calcoli!$C$58,"")))</f>
        <v/>
      </c>
      <c r="V121" s="67" t="str">
        <f>IF(calcoli!$C$8="MAXIRATA",IF(SIMULATORE!$E$16&gt;='sviluppo p. amm.to'!A121,calcoli!$C$50,""),"")</f>
        <v/>
      </c>
      <c r="W121" s="60" t="str">
        <f>IF(calcoli!$C$8="MAXIRATA",IF(SIMULATORE!$E$16&gt;='sviluppo p. amm.to'!B121,calcoli!$C$50+$K$3+IF(C121="",0,IF($M$2&lt;$N$2,IF(MOD(B121,12)&gt;0,0,1),0)),""),"")</f>
        <v/>
      </c>
      <c r="X121" s="22" t="str">
        <f>IF(calcoli!$C$8="MAXIRATA",IF(SIMULATORE!$E$16&gt;='sviluppo p. amm.to'!A121,calcoli!$C$50+$K$3+IF(C121="",0,IF($M$2&lt;$N$2,IF(MOD(A121,12)&gt;0,0,3),0)),""),"")</f>
        <v/>
      </c>
      <c r="AA121" s="61"/>
      <c r="AB121" s="61"/>
    </row>
    <row r="122" spans="1:28" hidden="1">
      <c r="A122" s="7">
        <v>117</v>
      </c>
      <c r="B122" s="7">
        <f t="shared" si="13"/>
        <v>117</v>
      </c>
      <c r="C122" s="54" t="str">
        <f>IF(B122=0,0,IF(calcoli!$C$8="MAXIRATA",IF('sviluppo p. amm.to'!B122=calcoli!$C$11,calcoli!$C$46,IF(B122&gt;calcoli!$C$11,"",calcoli!$C$35)),IF(B122&gt;calcoli!$C$11,"",calcoli!$C$35)))</f>
        <v/>
      </c>
      <c r="D122" s="54" t="str">
        <f>IF(B122=0,0,IF(calcoli!$C$8="MAXIRATA",IF('sviluppo p. amm.to'!B122=calcoli!$C$11,calcoli!$C$46,IF(B122&gt;calcoli!$C$11,"",calcoli!$C$36)),IF(B122&gt;calcoli!$C$11,"",calcoli!$C$36)))</f>
        <v/>
      </c>
      <c r="E122" s="55" t="str">
        <f>IF(C122=0,0,IF(C122="","",D122+MROUND(calcoli!$C$37,0.01)))</f>
        <v/>
      </c>
      <c r="F122" s="54" t="str">
        <f>IF(B122=0,0,IF(B122&gt;calcoli!$C$11,"",C122-G122))</f>
        <v/>
      </c>
      <c r="G122" s="54" t="str">
        <f>IF(B122=0,0,IF(B122&gt;calcoli!$C$11,"",'sviluppo p. amm.to'!J121*calcoli!$C$10/12))</f>
        <v/>
      </c>
      <c r="H122" s="56" t="str">
        <f>IF(B122=0,0,IF(B122&gt;calcoli!$C$11,"",G122+calcoli!$C$36-calcoli!$C$35))</f>
        <v/>
      </c>
      <c r="I122" s="52" t="str">
        <f t="shared" si="10"/>
        <v/>
      </c>
      <c r="J122" s="13" t="str">
        <f t="shared" si="11"/>
        <v/>
      </c>
      <c r="K122" s="55" t="str">
        <f>IF(B122=0,0,IF(B122&gt;calcoli!$C$11,"",$K$3))</f>
        <v/>
      </c>
      <c r="L122" s="29" t="str">
        <f t="shared" si="14"/>
        <v/>
      </c>
      <c r="M122" s="29" t="str">
        <f t="shared" si="15"/>
        <v/>
      </c>
      <c r="N122" s="13"/>
      <c r="O122" s="77"/>
      <c r="P122" s="17" t="str">
        <f>IF(A122&lt;calcoli!$C$11,calcoli!$C$36,IF(AND(calcoli!$C$8="maxirata",'sviluppo p. amm.to'!A122=calcoli!$C$11),calcoli!$C$46,IF('sviluppo p. amm.to'!A122=calcoli!$C$11,calcoli!$C$36,"")))</f>
        <v/>
      </c>
      <c r="Q122" s="59" t="str">
        <f t="shared" si="12"/>
        <v/>
      </c>
      <c r="R122" s="19" t="str">
        <f>IF(E122="","",IF(calcoli!$C$11&gt;18,E122+K122+L122+IF($M$2&lt;$N$2,M122,N122),E122+K122+L122+M122))</f>
        <v/>
      </c>
      <c r="T122" s="88" t="str">
        <f>IF(A122&lt;calcoli!$C$11,calcoli!$C$58,IF(AND(calcoli!$C$8="maxirata",'sviluppo p. amm.to'!A122=calcoli!$C$11),calcoli!$C$46,IF('sviluppo p. amm.to'!A122=calcoli!$C$11,calcoli!$C$58,"")))</f>
        <v/>
      </c>
      <c r="V122" s="67" t="str">
        <f>IF(calcoli!$C$8="MAXIRATA",IF(SIMULATORE!$E$16&gt;='sviluppo p. amm.to'!A122,calcoli!$C$50,""),"")</f>
        <v/>
      </c>
      <c r="W122" s="60" t="str">
        <f>IF(calcoli!$C$8="MAXIRATA",IF(SIMULATORE!$E$16&gt;='sviluppo p. amm.to'!B122,calcoli!$C$50+$K$3+IF(C122="",0,IF($M$2&lt;$N$2,IF(MOD(B122,12)&gt;0,0,1),0)),""),"")</f>
        <v/>
      </c>
      <c r="X122" s="22" t="str">
        <f>IF(calcoli!$C$8="MAXIRATA",IF(SIMULATORE!$E$16&gt;='sviluppo p. amm.to'!A122,calcoli!$C$50+$K$3+IF(C122="",0,IF($M$2&lt;$N$2,IF(MOD(A122,12)&gt;0,0,3),0)),""),"")</f>
        <v/>
      </c>
      <c r="AA122" s="61"/>
      <c r="AB122" s="61"/>
    </row>
    <row r="123" spans="1:28" hidden="1">
      <c r="A123" s="7">
        <v>118</v>
      </c>
      <c r="B123" s="7">
        <f t="shared" si="13"/>
        <v>118</v>
      </c>
      <c r="C123" s="54" t="str">
        <f>IF(B123=0,0,IF(calcoli!$C$8="MAXIRATA",IF('sviluppo p. amm.to'!B123=calcoli!$C$11,calcoli!$C$46,IF(B123&gt;calcoli!$C$11,"",calcoli!$C$35)),IF(B123&gt;calcoli!$C$11,"",calcoli!$C$35)))</f>
        <v/>
      </c>
      <c r="D123" s="54" t="str">
        <f>IF(B123=0,0,IF(calcoli!$C$8="MAXIRATA",IF('sviluppo p. amm.to'!B123=calcoli!$C$11,calcoli!$C$46,IF(B123&gt;calcoli!$C$11,"",calcoli!$C$36)),IF(B123&gt;calcoli!$C$11,"",calcoli!$C$36)))</f>
        <v/>
      </c>
      <c r="E123" s="55" t="str">
        <f>IF(C123=0,0,IF(C123="","",D123+MROUND(calcoli!$C$37,0.01)))</f>
        <v/>
      </c>
      <c r="F123" s="54" t="str">
        <f>IF(B123=0,0,IF(B123&gt;calcoli!$C$11,"",C123-G123))</f>
        <v/>
      </c>
      <c r="G123" s="54" t="str">
        <f>IF(B123=0,0,IF(B123&gt;calcoli!$C$11,"",'sviluppo p. amm.to'!J122*calcoli!$C$10/12))</f>
        <v/>
      </c>
      <c r="H123" s="56" t="str">
        <f>IF(B123=0,0,IF(B123&gt;calcoli!$C$11,"",G123+calcoli!$C$36-calcoli!$C$35))</f>
        <v/>
      </c>
      <c r="I123" s="52" t="str">
        <f t="shared" si="10"/>
        <v/>
      </c>
      <c r="J123" s="13" t="str">
        <f t="shared" si="11"/>
        <v/>
      </c>
      <c r="K123" s="55" t="str">
        <f>IF(B123=0,0,IF(B123&gt;calcoli!$C$11,"",$K$3))</f>
        <v/>
      </c>
      <c r="L123" s="29" t="str">
        <f t="shared" si="14"/>
        <v/>
      </c>
      <c r="M123" s="29" t="str">
        <f t="shared" si="15"/>
        <v/>
      </c>
      <c r="N123" s="13"/>
      <c r="O123" s="77"/>
      <c r="P123" s="17" t="str">
        <f>IF(A123&lt;calcoli!$C$11,calcoli!$C$36,IF(AND(calcoli!$C$8="maxirata",'sviluppo p. amm.to'!A123=calcoli!$C$11),calcoli!$C$46,IF('sviluppo p. amm.to'!A123=calcoli!$C$11,calcoli!$C$36,"")))</f>
        <v/>
      </c>
      <c r="Q123" s="59" t="str">
        <f t="shared" si="12"/>
        <v/>
      </c>
      <c r="R123" s="19" t="str">
        <f>IF(E123="","",IF(calcoli!$C$11&gt;18,E123+K123+L123+IF($M$2&lt;$N$2,M123,N123),E123+K123+L123+M123))</f>
        <v/>
      </c>
      <c r="T123" s="88" t="str">
        <f>IF(A123&lt;calcoli!$C$11,calcoli!$C$58,IF(AND(calcoli!$C$8="maxirata",'sviluppo p. amm.to'!A123=calcoli!$C$11),calcoli!$C$46,IF('sviluppo p. amm.to'!A123=calcoli!$C$11,calcoli!$C$58,"")))</f>
        <v/>
      </c>
      <c r="V123" s="67" t="str">
        <f>IF(calcoli!$C$8="MAXIRATA",IF(SIMULATORE!$E$16&gt;='sviluppo p. amm.to'!A123,calcoli!$C$50,""),"")</f>
        <v/>
      </c>
      <c r="W123" s="60" t="str">
        <f>IF(calcoli!$C$8="MAXIRATA",IF(SIMULATORE!$E$16&gt;='sviluppo p. amm.to'!B123,calcoli!$C$50+$K$3+IF(C123="",0,IF($M$2&lt;$N$2,IF(MOD(B123,12)&gt;0,0,1),0)),""),"")</f>
        <v/>
      </c>
      <c r="X123" s="22" t="str">
        <f>IF(calcoli!$C$8="MAXIRATA",IF(SIMULATORE!$E$16&gt;='sviluppo p. amm.to'!A123,calcoli!$C$50+$K$3+IF(C123="",0,IF($M$2&lt;$N$2,IF(MOD(A123,12)&gt;0,0,3),0)),""),"")</f>
        <v/>
      </c>
      <c r="AA123" s="61"/>
      <c r="AB123" s="61"/>
    </row>
    <row r="124" spans="1:28" hidden="1">
      <c r="A124" s="7">
        <v>119</v>
      </c>
      <c r="B124" s="7">
        <f t="shared" si="13"/>
        <v>119</v>
      </c>
      <c r="C124" s="54" t="str">
        <f>IF(B124=0,0,IF(calcoli!$C$8="MAXIRATA",IF('sviluppo p. amm.to'!B124=calcoli!$C$11,calcoli!$C$46,IF(B124&gt;calcoli!$C$11,"",calcoli!$C$35)),IF(B124&gt;calcoli!$C$11,"",calcoli!$C$35)))</f>
        <v/>
      </c>
      <c r="D124" s="54" t="str">
        <f>IF(B124=0,0,IF(calcoli!$C$8="MAXIRATA",IF('sviluppo p. amm.to'!B124=calcoli!$C$11,calcoli!$C$46,IF(B124&gt;calcoli!$C$11,"",calcoli!$C$36)),IF(B124&gt;calcoli!$C$11,"",calcoli!$C$36)))</f>
        <v/>
      </c>
      <c r="E124" s="55" t="str">
        <f>IF(C124=0,0,IF(C124="","",D124+MROUND(calcoli!$C$37,0.01)))</f>
        <v/>
      </c>
      <c r="F124" s="54" t="str">
        <f>IF(B124=0,0,IF(B124&gt;calcoli!$C$11,"",C124-G124))</f>
        <v/>
      </c>
      <c r="G124" s="54" t="str">
        <f>IF(B124=0,0,IF(B124&gt;calcoli!$C$11,"",'sviluppo p. amm.to'!J123*calcoli!$C$10/12))</f>
        <v/>
      </c>
      <c r="H124" s="56" t="str">
        <f>IF(B124=0,0,IF(B124&gt;calcoli!$C$11,"",G124+calcoli!$C$36-calcoli!$C$35))</f>
        <v/>
      </c>
      <c r="I124" s="52" t="str">
        <f t="shared" si="10"/>
        <v/>
      </c>
      <c r="J124" s="13" t="str">
        <f t="shared" si="11"/>
        <v/>
      </c>
      <c r="K124" s="55" t="str">
        <f>IF(B124=0,0,IF(B124&gt;calcoli!$C$11,"",$K$3))</f>
        <v/>
      </c>
      <c r="L124" s="29" t="str">
        <f t="shared" si="14"/>
        <v/>
      </c>
      <c r="M124" s="29" t="str">
        <f t="shared" si="15"/>
        <v/>
      </c>
      <c r="N124" s="13"/>
      <c r="O124" s="77"/>
      <c r="P124" s="17" t="str">
        <f>IF(A124&lt;calcoli!$C$11,calcoli!$C$36,IF(AND(calcoli!$C$8="maxirata",'sviluppo p. amm.to'!A124=calcoli!$C$11),calcoli!$C$46,IF('sviluppo p. amm.to'!A124=calcoli!$C$11,calcoli!$C$36,"")))</f>
        <v/>
      </c>
      <c r="Q124" s="59" t="str">
        <f t="shared" si="12"/>
        <v/>
      </c>
      <c r="R124" s="19" t="str">
        <f>IF(E124="","",IF(calcoli!$C$11&gt;18,E124+K124+L124+IF($M$2&lt;$N$2,M124,N124),E124+K124+L124+M124))</f>
        <v/>
      </c>
      <c r="T124" s="88" t="str">
        <f>IF(A124&lt;calcoli!$C$11,calcoli!$C$58,IF(AND(calcoli!$C$8="maxirata",'sviluppo p. amm.to'!A124=calcoli!$C$11),calcoli!$C$46,IF('sviluppo p. amm.to'!A124=calcoli!$C$11,calcoli!$C$58,"")))</f>
        <v/>
      </c>
      <c r="V124" s="67" t="str">
        <f>IF(calcoli!$C$8="MAXIRATA",IF(SIMULATORE!$E$16&gt;='sviluppo p. amm.to'!A124,calcoli!$C$50,""),"")</f>
        <v/>
      </c>
      <c r="W124" s="60" t="str">
        <f>IF(calcoli!$C$8="MAXIRATA",IF(SIMULATORE!$E$16&gt;='sviluppo p. amm.to'!B124,calcoli!$C$50+$K$3+IF(C124="",0,IF($M$2&lt;$N$2,IF(MOD(B124,12)&gt;0,0,1),0)),""),"")</f>
        <v/>
      </c>
      <c r="X124" s="22" t="str">
        <f>IF(calcoli!$C$8="MAXIRATA",IF(SIMULATORE!$E$16&gt;='sviluppo p. amm.to'!A124,calcoli!$C$50+$K$3+IF(C124="",0,IF($M$2&lt;$N$2,IF(MOD(A124,12)&gt;0,0,3),0)),""),"")</f>
        <v/>
      </c>
      <c r="AA124" s="61"/>
      <c r="AB124" s="61"/>
    </row>
    <row r="125" spans="1:28" hidden="1">
      <c r="A125" s="7">
        <v>120</v>
      </c>
      <c r="B125" s="7">
        <f t="shared" si="13"/>
        <v>120</v>
      </c>
      <c r="C125" s="54" t="str">
        <f>IF(B125=0,0,IF(calcoli!$C$8="MAXIRATA",IF('sviluppo p. amm.to'!B125=calcoli!$C$11,calcoli!$C$46,IF(B125&gt;calcoli!$C$11,"",calcoli!$C$35)),IF(B125&gt;calcoli!$C$11,"",calcoli!$C$35)))</f>
        <v/>
      </c>
      <c r="D125" s="54" t="str">
        <f>IF(B125=0,0,IF(calcoli!$C$8="MAXIRATA",IF('sviluppo p. amm.to'!B125=calcoli!$C$11,calcoli!$C$46,IF(B125&gt;calcoli!$C$11,"",calcoli!$C$36)),IF(B125&gt;calcoli!$C$11,"",calcoli!$C$36)))</f>
        <v/>
      </c>
      <c r="E125" s="55" t="str">
        <f>IF(C125=0,0,IF(C125="","",D125+MROUND(calcoli!$C$37,0.01)))</f>
        <v/>
      </c>
      <c r="F125" s="54" t="str">
        <f>IF(B125=0,0,IF(B125&gt;calcoli!$C$11,"",C125-G125))</f>
        <v/>
      </c>
      <c r="G125" s="54" t="str">
        <f>IF(B125=0,0,IF(B125&gt;calcoli!$C$11,"",'sviluppo p. amm.to'!J124*calcoli!$C$10/12))</f>
        <v/>
      </c>
      <c r="H125" s="56" t="str">
        <f>IF(B125=0,0,IF(B125&gt;calcoli!$C$11,"",G125+calcoli!$C$36-calcoli!$C$35))</f>
        <v/>
      </c>
      <c r="I125" s="52" t="str">
        <f t="shared" si="10"/>
        <v/>
      </c>
      <c r="J125" s="13" t="str">
        <f t="shared" si="11"/>
        <v/>
      </c>
      <c r="K125" s="55" t="str">
        <f>IF(B125=0,0,IF(B125&gt;calcoli!$C$11,"",$K$3))</f>
        <v/>
      </c>
      <c r="L125" s="29" t="str">
        <f t="shared" si="14"/>
        <v/>
      </c>
      <c r="M125" s="29" t="str">
        <f t="shared" si="15"/>
        <v/>
      </c>
      <c r="N125" s="13"/>
      <c r="O125" s="77"/>
      <c r="P125" s="17" t="str">
        <f>IF(A125&lt;calcoli!$C$11,calcoli!$C$36,IF(AND(calcoli!$C$8="maxirata",'sviluppo p. amm.to'!A125=calcoli!$C$11),calcoli!$C$46,IF('sviluppo p. amm.to'!A125=calcoli!$C$11,calcoli!$C$36,"")))</f>
        <v/>
      </c>
      <c r="Q125" s="59" t="str">
        <f t="shared" si="12"/>
        <v/>
      </c>
      <c r="R125" s="19" t="str">
        <f>IF(E125="","",IF(calcoli!$C$11&gt;18,E125+K125+L125+IF($M$2&lt;$N$2,M125,N125),E125+K125+L125+M125))</f>
        <v/>
      </c>
      <c r="T125" s="88" t="str">
        <f>IF(A125&lt;calcoli!$C$11,calcoli!$C$58,IF(AND(calcoli!$C$8="maxirata",'sviluppo p. amm.to'!A125=calcoli!$C$11),calcoli!$C$46,IF('sviluppo p. amm.to'!A125=calcoli!$C$11,calcoli!$C$58,"")))</f>
        <v/>
      </c>
      <c r="V125" s="67" t="str">
        <f>IF(calcoli!$C$8="MAXIRATA",IF(SIMULATORE!$E$16&gt;='sviluppo p. amm.to'!A125,calcoli!$C$50,""),"")</f>
        <v/>
      </c>
      <c r="W125" s="60" t="str">
        <f>IF(calcoli!$C$8="MAXIRATA",IF(SIMULATORE!$E$16&gt;='sviluppo p. amm.to'!B125,calcoli!$C$50+$K$3+IF(C125="",0,IF($M$2&lt;$N$2,IF(MOD(B125,12)&gt;0,0,1),0)),""),"")</f>
        <v/>
      </c>
      <c r="X125" s="22" t="str">
        <f>IF(calcoli!$C$8="MAXIRATA",IF(SIMULATORE!$E$16&gt;='sviluppo p. amm.to'!A125,calcoli!$C$50+$K$3+IF(C125="",0,IF($M$2&lt;$N$2,IF(MOD(A125,12)&gt;0,0,3),0)),""),"")</f>
        <v/>
      </c>
      <c r="AA125" s="61"/>
      <c r="AB125" s="61"/>
    </row>
    <row r="126" spans="1:28" hidden="1">
      <c r="A126" s="7">
        <v>121</v>
      </c>
      <c r="B126" s="7">
        <f t="shared" si="13"/>
        <v>121</v>
      </c>
      <c r="C126" s="54" t="str">
        <f>IF(B126=0,0,IF(calcoli!$C$8="MAXIRATA",IF('sviluppo p. amm.to'!B126=calcoli!$C$11,calcoli!$C$46,IF(B126&gt;calcoli!$C$11,"",calcoli!$C$35)),IF(B126&gt;calcoli!$C$11,"",calcoli!$C$35)))</f>
        <v/>
      </c>
      <c r="D126" s="54" t="str">
        <f>IF(B126=0,0,IF(calcoli!$C$8="MAXIRATA",IF('sviluppo p. amm.to'!B126=calcoli!$C$11,calcoli!$C$46,IF(B126&gt;calcoli!$C$11,"",calcoli!$C$36)),IF(B126&gt;calcoli!$C$11,"",calcoli!$C$36)))</f>
        <v/>
      </c>
      <c r="E126" s="55" t="str">
        <f>IF(C126=0,0,IF(C126="","",D126+MROUND(calcoli!$C$37,0.01)))</f>
        <v/>
      </c>
      <c r="F126" s="54" t="str">
        <f>IF(B126=0,0,IF(B126&gt;calcoli!$C$11,"",C126-G126))</f>
        <v/>
      </c>
      <c r="G126" s="54" t="str">
        <f>IF(B126=0,0,IF(B126&gt;calcoli!$C$11,"",'sviluppo p. amm.to'!J125*calcoli!$C$10/12))</f>
        <v/>
      </c>
      <c r="H126" s="56" t="str">
        <f>IF(B126=0,0,IF(B126&gt;calcoli!$C$11,"",G126+calcoli!$C$36-calcoli!$C$35))</f>
        <v/>
      </c>
      <c r="I126" s="52" t="str">
        <f t="shared" si="10"/>
        <v/>
      </c>
      <c r="J126" s="13" t="str">
        <f t="shared" si="11"/>
        <v/>
      </c>
      <c r="K126" s="55" t="str">
        <f>IF(B126=0,0,IF(B126&gt;calcoli!$C$11,"",$K$3))</f>
        <v/>
      </c>
      <c r="L126" s="29" t="str">
        <f t="shared" si="14"/>
        <v/>
      </c>
      <c r="M126" s="29" t="str">
        <f t="shared" si="15"/>
        <v/>
      </c>
      <c r="N126" s="13"/>
      <c r="O126" s="77"/>
      <c r="P126" s="17" t="str">
        <f>IF(A126&lt;calcoli!$C$11,calcoli!$C$36,IF(AND(calcoli!$C$8="maxirata",'sviluppo p. amm.to'!A126=calcoli!$C$11),calcoli!$C$46,IF('sviluppo p. amm.to'!A126=calcoli!$C$11,calcoli!$C$36,"")))</f>
        <v/>
      </c>
      <c r="Q126" s="59" t="str">
        <f t="shared" si="12"/>
        <v/>
      </c>
      <c r="R126" s="19" t="str">
        <f>IF(E126="","",IF(calcoli!$C$11&gt;18,E126+K126+L126+IF($M$2&lt;$N$2,M126,N126),E126+K126+L126+M126))</f>
        <v/>
      </c>
      <c r="T126" s="88" t="str">
        <f>IF(A126&lt;calcoli!$C$11,calcoli!$C$58,IF(AND(calcoli!$C$8="maxirata",'sviluppo p. amm.to'!A126=calcoli!$C$11),calcoli!$C$46,IF('sviluppo p. amm.to'!A126=calcoli!$C$11,calcoli!$C$58,"")))</f>
        <v/>
      </c>
      <c r="V126" s="67" t="str">
        <f>IF(calcoli!$C$8="MAXIRATA",IF(SIMULATORE!$E$16&gt;='sviluppo p. amm.to'!A126,calcoli!$C$50,""),"")</f>
        <v/>
      </c>
      <c r="W126" s="60" t="str">
        <f>IF(calcoli!$C$8="MAXIRATA",IF(SIMULATORE!$E$16&gt;='sviluppo p. amm.to'!B126,calcoli!$C$50+$K$3+IF(C126="",0,IF($M$2&lt;$N$2,IF(MOD(B126,12)&gt;0,0,1),0)),""),"")</f>
        <v/>
      </c>
      <c r="X126" s="22" t="str">
        <f>IF(calcoli!$C$8="MAXIRATA",IF(SIMULATORE!$E$16&gt;='sviluppo p. amm.to'!A126,calcoli!$C$50+$K$3+IF(C126="",0,IF($M$2&lt;$N$2,IF(MOD(A126,12)&gt;0,0,3),0)),""),"")</f>
        <v/>
      </c>
      <c r="AA126" s="61"/>
      <c r="AB126" s="61"/>
    </row>
    <row r="127" spans="1:28" hidden="1">
      <c r="A127" s="7">
        <v>122</v>
      </c>
      <c r="B127" s="7">
        <f t="shared" si="13"/>
        <v>122</v>
      </c>
      <c r="C127" s="54" t="str">
        <f>IF(B127=0,0,IF(calcoli!$C$8="MAXIRATA",IF('sviluppo p. amm.to'!B127=calcoli!$C$11,calcoli!$C$46,IF(B127&gt;calcoli!$C$11,"",calcoli!$C$35)),IF(B127&gt;calcoli!$C$11,"",calcoli!$C$35)))</f>
        <v/>
      </c>
      <c r="D127" s="54" t="str">
        <f>IF(B127=0,0,IF(calcoli!$C$8="MAXIRATA",IF('sviluppo p. amm.to'!B127=calcoli!$C$11,calcoli!$C$46,IF(B127&gt;calcoli!$C$11,"",calcoli!$C$36)),IF(B127&gt;calcoli!$C$11,"",calcoli!$C$36)))</f>
        <v/>
      </c>
      <c r="E127" s="55" t="str">
        <f>IF(C127=0,0,IF(C127="","",D127+MROUND(calcoli!$C$37,0.01)))</f>
        <v/>
      </c>
      <c r="F127" s="54" t="str">
        <f>IF(B127=0,0,IF(B127&gt;calcoli!$C$11,"",C127-G127))</f>
        <v/>
      </c>
      <c r="G127" s="54" t="str">
        <f>IF(B127=0,0,IF(B127&gt;calcoli!$C$11,"",'sviluppo p. amm.to'!J126*calcoli!$C$10/12))</f>
        <v/>
      </c>
      <c r="H127" s="56" t="str">
        <f>IF(B127=0,0,IF(B127&gt;calcoli!$C$11,"",G127+calcoli!$C$36-calcoli!$C$35))</f>
        <v/>
      </c>
      <c r="I127" s="52" t="str">
        <f t="shared" si="10"/>
        <v/>
      </c>
      <c r="J127" s="13" t="str">
        <f t="shared" si="11"/>
        <v/>
      </c>
      <c r="K127" s="55" t="str">
        <f>IF(B127=0,0,IF(B127&gt;calcoli!$C$11,"",$K$3))</f>
        <v/>
      </c>
      <c r="L127" s="29" t="str">
        <f t="shared" si="14"/>
        <v/>
      </c>
      <c r="M127" s="29" t="str">
        <f t="shared" si="15"/>
        <v/>
      </c>
      <c r="N127" s="13"/>
      <c r="O127" s="77"/>
      <c r="P127" s="17" t="str">
        <f>IF(A127&lt;calcoli!$C$11,calcoli!$C$36,IF(AND(calcoli!$C$8="maxirata",'sviluppo p. amm.to'!A127=calcoli!$C$11),calcoli!$C$46,IF('sviluppo p. amm.to'!A127=calcoli!$C$11,calcoli!$C$36,"")))</f>
        <v/>
      </c>
      <c r="Q127" s="59" t="str">
        <f t="shared" si="12"/>
        <v/>
      </c>
      <c r="R127" s="19" t="str">
        <f>IF(E127="","",IF(calcoli!$C$11&gt;18,E127+K127+L127+IF($M$2&lt;$N$2,M127,N127),E127+K127+L127+M127))</f>
        <v/>
      </c>
      <c r="T127" s="88" t="str">
        <f>IF(A127&lt;calcoli!$C$11,calcoli!$C$58,IF(AND(calcoli!$C$8="maxirata",'sviluppo p. amm.to'!A127=calcoli!$C$11),calcoli!$C$46,IF('sviluppo p. amm.to'!A127=calcoli!$C$11,calcoli!$C$58,"")))</f>
        <v/>
      </c>
      <c r="V127" s="67" t="str">
        <f>IF(calcoli!$C$8="MAXIRATA",IF(SIMULATORE!$E$16&gt;='sviluppo p. amm.to'!A127,calcoli!$C$50,""),"")</f>
        <v/>
      </c>
      <c r="W127" s="60" t="str">
        <f>IF(calcoli!$C$8="MAXIRATA",IF(SIMULATORE!$E$16&gt;='sviluppo p. amm.to'!B127,calcoli!$C$50+$K$3+IF(C127="",0,IF($M$2&lt;$N$2,IF(MOD(B127,12)&gt;0,0,1),0)),""),"")</f>
        <v/>
      </c>
      <c r="X127" s="22" t="str">
        <f>IF(calcoli!$C$8="MAXIRATA",IF(SIMULATORE!$E$16&gt;='sviluppo p. amm.to'!A127,calcoli!$C$50+$K$3+IF(C127="",0,IF($M$2&lt;$N$2,IF(MOD(A127,12)&gt;0,0,3),0)),""),"")</f>
        <v/>
      </c>
      <c r="AA127" s="61"/>
      <c r="AB127" s="61"/>
    </row>
    <row r="128" spans="1:28" hidden="1">
      <c r="A128" s="7">
        <v>123</v>
      </c>
      <c r="B128" s="7">
        <f t="shared" si="13"/>
        <v>123</v>
      </c>
      <c r="C128" s="54" t="str">
        <f>IF(B128=0,0,IF(calcoli!$C$8="MAXIRATA",IF('sviluppo p. amm.to'!B128=calcoli!$C$11,calcoli!$C$46,IF(B128&gt;calcoli!$C$11,"",calcoli!$C$35)),IF(B128&gt;calcoli!$C$11,"",calcoli!$C$35)))</f>
        <v/>
      </c>
      <c r="D128" s="54" t="str">
        <f>IF(B128=0,0,IF(calcoli!$C$8="MAXIRATA",IF('sviluppo p. amm.to'!B128=calcoli!$C$11,calcoli!$C$46,IF(B128&gt;calcoli!$C$11,"",calcoli!$C$36)),IF(B128&gt;calcoli!$C$11,"",calcoli!$C$36)))</f>
        <v/>
      </c>
      <c r="E128" s="55" t="str">
        <f>IF(C128=0,0,IF(C128="","",D128+MROUND(calcoli!$C$37,0.01)))</f>
        <v/>
      </c>
      <c r="F128" s="54" t="str">
        <f>IF(B128=0,0,IF(B128&gt;calcoli!$C$11,"",C128-G128))</f>
        <v/>
      </c>
      <c r="G128" s="54" t="str">
        <f>IF(B128=0,0,IF(B128&gt;calcoli!$C$11,"",'sviluppo p. amm.to'!J127*calcoli!$C$10/12))</f>
        <v/>
      </c>
      <c r="H128" s="56" t="str">
        <f>IF(B128=0,0,IF(B128&gt;calcoli!$C$11,"",G128+calcoli!$C$36-calcoli!$C$35))</f>
        <v/>
      </c>
      <c r="I128" s="52" t="str">
        <f t="shared" si="10"/>
        <v/>
      </c>
      <c r="J128" s="13" t="str">
        <f t="shared" si="11"/>
        <v/>
      </c>
      <c r="K128" s="55" t="str">
        <f>IF(B128=0,0,IF(B128&gt;calcoli!$C$11,"",$K$3))</f>
        <v/>
      </c>
      <c r="L128" s="29" t="str">
        <f t="shared" si="14"/>
        <v/>
      </c>
      <c r="M128" s="29" t="str">
        <f t="shared" si="15"/>
        <v/>
      </c>
      <c r="N128" s="13"/>
      <c r="O128" s="77"/>
      <c r="P128" s="17" t="str">
        <f>IF(A128&lt;calcoli!$C$11,calcoli!$C$36,IF(AND(calcoli!$C$8="maxirata",'sviluppo p. amm.to'!A128=calcoli!$C$11),calcoli!$C$46,IF('sviluppo p. amm.to'!A128=calcoli!$C$11,calcoli!$C$36,"")))</f>
        <v/>
      </c>
      <c r="Q128" s="59" t="str">
        <f t="shared" si="12"/>
        <v/>
      </c>
      <c r="R128" s="19" t="str">
        <f>IF(E128="","",IF(calcoli!$C$11&gt;18,E128+K128+L128+IF($M$2&lt;$N$2,M128,N128),E128+K128+L128+M128))</f>
        <v/>
      </c>
      <c r="T128" s="88" t="str">
        <f>IF(A128&lt;calcoli!$C$11,calcoli!$C$58,IF(AND(calcoli!$C$8="maxirata",'sviluppo p. amm.to'!A128=calcoli!$C$11),calcoli!$C$46,IF('sviluppo p. amm.to'!A128=calcoli!$C$11,calcoli!$C$58,"")))</f>
        <v/>
      </c>
      <c r="V128" s="67" t="str">
        <f>IF(calcoli!$C$8="MAXIRATA",IF(SIMULATORE!$E$16&gt;='sviluppo p. amm.to'!A128,calcoli!$C$50,""),"")</f>
        <v/>
      </c>
      <c r="W128" s="60" t="str">
        <f>IF(calcoli!$C$8="MAXIRATA",IF(SIMULATORE!$E$16&gt;='sviluppo p. amm.to'!B128,calcoli!$C$50+$K$3+IF(C128="",0,IF($M$2&lt;$N$2,IF(MOD(B128,12)&gt;0,0,1),0)),""),"")</f>
        <v/>
      </c>
      <c r="X128" s="22" t="str">
        <f>IF(calcoli!$C$8="MAXIRATA",IF(SIMULATORE!$E$16&gt;='sviluppo p. amm.to'!A128,calcoli!$C$50+$K$3+IF(C128="",0,IF($M$2&lt;$N$2,IF(MOD(A128,12)&gt;0,0,3),0)),""),"")</f>
        <v/>
      </c>
      <c r="AA128" s="61"/>
      <c r="AB128" s="61"/>
    </row>
    <row r="129" spans="1:28" hidden="1">
      <c r="A129" s="7">
        <v>124</v>
      </c>
      <c r="B129" s="7">
        <f t="shared" si="13"/>
        <v>124</v>
      </c>
      <c r="C129" s="54" t="str">
        <f>IF(B129=0,0,IF(calcoli!$C$8="MAXIRATA",IF('sviluppo p. amm.to'!B129=calcoli!$C$11,calcoli!$C$46,IF(B129&gt;calcoli!$C$11,"",calcoli!$C$35)),IF(B129&gt;calcoli!$C$11,"",calcoli!$C$35)))</f>
        <v/>
      </c>
      <c r="D129" s="54" t="str">
        <f>IF(B129=0,0,IF(calcoli!$C$8="MAXIRATA",IF('sviluppo p. amm.to'!B129=calcoli!$C$11,calcoli!$C$46,IF(B129&gt;calcoli!$C$11,"",calcoli!$C$36)),IF(B129&gt;calcoli!$C$11,"",calcoli!$C$36)))</f>
        <v/>
      </c>
      <c r="E129" s="55" t="str">
        <f>IF(C129=0,0,IF(C129="","",D129+MROUND(calcoli!$C$37,0.01)))</f>
        <v/>
      </c>
      <c r="F129" s="54" t="str">
        <f>IF(B129=0,0,IF(B129&gt;calcoli!$C$11,"",C129-G129))</f>
        <v/>
      </c>
      <c r="G129" s="54" t="str">
        <f>IF(B129=0,0,IF(B129&gt;calcoli!$C$11,"",'sviluppo p. amm.to'!J128*calcoli!$C$10/12))</f>
        <v/>
      </c>
      <c r="H129" s="56" t="str">
        <f>IF(B129=0,0,IF(B129&gt;calcoli!$C$11,"",G129+calcoli!$C$36-calcoli!$C$35))</f>
        <v/>
      </c>
      <c r="I129" s="52" t="str">
        <f t="shared" si="10"/>
        <v/>
      </c>
      <c r="J129" s="13" t="str">
        <f t="shared" si="11"/>
        <v/>
      </c>
      <c r="K129" s="55" t="str">
        <f>IF(B129=0,0,IF(B129&gt;calcoli!$C$11,"",$K$3))</f>
        <v/>
      </c>
      <c r="L129" s="29" t="str">
        <f t="shared" si="14"/>
        <v/>
      </c>
      <c r="M129" s="29" t="str">
        <f t="shared" si="15"/>
        <v/>
      </c>
      <c r="N129" s="13"/>
      <c r="O129" s="77"/>
      <c r="P129" s="17" t="str">
        <f>IF(A129&lt;calcoli!$C$11,calcoli!$C$36,IF(AND(calcoli!$C$8="maxirata",'sviluppo p. amm.to'!A129=calcoli!$C$11),calcoli!$C$46,IF('sviluppo p. amm.to'!A129=calcoli!$C$11,calcoli!$C$36,"")))</f>
        <v/>
      </c>
      <c r="Q129" s="59" t="str">
        <f t="shared" si="12"/>
        <v/>
      </c>
      <c r="R129" s="19" t="str">
        <f>IF(E129="","",IF(calcoli!$C$11&gt;18,E129+K129+L129+IF($M$2&lt;$N$2,M129,N129),E129+K129+L129+M129))</f>
        <v/>
      </c>
      <c r="T129" s="88" t="str">
        <f>IF(A129&lt;calcoli!$C$11,calcoli!$C$58,IF(AND(calcoli!$C$8="maxirata",'sviluppo p. amm.to'!A129=calcoli!$C$11),calcoli!$C$46,IF('sviluppo p. amm.to'!A129=calcoli!$C$11,calcoli!$C$58,"")))</f>
        <v/>
      </c>
      <c r="V129" s="67" t="str">
        <f>IF(calcoli!$C$8="MAXIRATA",IF(SIMULATORE!$E$16&gt;='sviluppo p. amm.to'!A129,calcoli!$C$50,""),"")</f>
        <v/>
      </c>
      <c r="W129" s="60" t="str">
        <f>IF(calcoli!$C$8="MAXIRATA",IF(SIMULATORE!$E$16&gt;='sviluppo p. amm.to'!B129,calcoli!$C$50+$K$3+IF(C129="",0,IF($M$2&lt;$N$2,IF(MOD(B129,12)&gt;0,0,1),0)),""),"")</f>
        <v/>
      </c>
      <c r="X129" s="22" t="str">
        <f>IF(calcoli!$C$8="MAXIRATA",IF(SIMULATORE!$E$16&gt;='sviluppo p. amm.to'!A129,calcoli!$C$50+$K$3+IF(C129="",0,IF($M$2&lt;$N$2,IF(MOD(A129,12)&gt;0,0,3),0)),""),"")</f>
        <v/>
      </c>
      <c r="AA129" s="61"/>
      <c r="AB129" s="61"/>
    </row>
    <row r="130" spans="1:28" hidden="1">
      <c r="A130" s="7">
        <v>125</v>
      </c>
      <c r="B130" s="7">
        <f t="shared" si="13"/>
        <v>125</v>
      </c>
      <c r="C130" s="54" t="str">
        <f>IF(B130=0,0,IF(calcoli!$C$8="MAXIRATA",IF('sviluppo p. amm.to'!B130=calcoli!$C$11,calcoli!$C$46,IF(B130&gt;calcoli!$C$11,"",calcoli!$C$35)),IF(B130&gt;calcoli!$C$11,"",calcoli!$C$35)))</f>
        <v/>
      </c>
      <c r="D130" s="54" t="str">
        <f>IF(B130=0,0,IF(calcoli!$C$8="MAXIRATA",IF('sviluppo p. amm.to'!B130=calcoli!$C$11,calcoli!$C$46,IF(B130&gt;calcoli!$C$11,"",calcoli!$C$36)),IF(B130&gt;calcoli!$C$11,"",calcoli!$C$36)))</f>
        <v/>
      </c>
      <c r="E130" s="55" t="str">
        <f>IF(C130=0,0,IF(C130="","",D130+MROUND(calcoli!$C$37,0.01)))</f>
        <v/>
      </c>
      <c r="F130" s="54" t="str">
        <f>IF(B130=0,0,IF(B130&gt;calcoli!$C$11,"",C130-G130))</f>
        <v/>
      </c>
      <c r="G130" s="54" t="str">
        <f>IF(B130=0,0,IF(B130&gt;calcoli!$C$11,"",'sviluppo p. amm.to'!J129*calcoli!$C$10/12))</f>
        <v/>
      </c>
      <c r="H130" s="56" t="str">
        <f>IF(B130=0,0,IF(B130&gt;calcoli!$C$11,"",G130+calcoli!$C$36-calcoli!$C$35))</f>
        <v/>
      </c>
      <c r="I130" s="52" t="str">
        <f t="shared" si="10"/>
        <v/>
      </c>
      <c r="J130" s="13" t="str">
        <f t="shared" si="11"/>
        <v/>
      </c>
      <c r="K130" s="55" t="str">
        <f>IF(B130=0,0,IF(B130&gt;calcoli!$C$11,"",$K$3))</f>
        <v/>
      </c>
      <c r="L130" s="29" t="str">
        <f t="shared" si="14"/>
        <v/>
      </c>
      <c r="M130" s="29" t="str">
        <f t="shared" si="15"/>
        <v/>
      </c>
      <c r="N130" s="13"/>
      <c r="O130" s="77"/>
      <c r="P130" s="17" t="str">
        <f>IF(A130&lt;calcoli!$C$11,calcoli!$C$36,IF(AND(calcoli!$C$8="maxirata",'sviluppo p. amm.to'!A130=calcoli!$C$11),calcoli!$C$46,IF('sviluppo p. amm.to'!A130=calcoli!$C$11,calcoli!$C$36,"")))</f>
        <v/>
      </c>
      <c r="Q130" s="59" t="str">
        <f t="shared" si="12"/>
        <v/>
      </c>
      <c r="R130" s="19" t="str">
        <f>IF(E130="","",IF(calcoli!$C$11&gt;18,E130+K130+L130+IF($M$2&lt;$N$2,M130,N130),E130+K130+L130+M130))</f>
        <v/>
      </c>
      <c r="T130" s="88" t="str">
        <f>IF(A130&lt;calcoli!$C$11,calcoli!$C$58,IF(AND(calcoli!$C$8="maxirata",'sviluppo p. amm.to'!A130=calcoli!$C$11),calcoli!$C$46,IF('sviluppo p. amm.to'!A130=calcoli!$C$11,calcoli!$C$58,"")))</f>
        <v/>
      </c>
      <c r="V130" s="67" t="str">
        <f>IF(calcoli!$C$8="MAXIRATA",IF(SIMULATORE!$E$16&gt;='sviluppo p. amm.to'!A130,calcoli!$C$50,""),"")</f>
        <v/>
      </c>
      <c r="W130" s="60" t="str">
        <f>IF(calcoli!$C$8="MAXIRATA",IF(SIMULATORE!$E$16&gt;='sviluppo p. amm.to'!B130,calcoli!$C$50+$K$3+IF(C130="",0,IF($M$2&lt;$N$2,IF(MOD(B130,12)&gt;0,0,1),0)),""),"")</f>
        <v/>
      </c>
      <c r="X130" s="22" t="str">
        <f>IF(calcoli!$C$8="MAXIRATA",IF(SIMULATORE!$E$16&gt;='sviluppo p. amm.to'!A130,calcoli!$C$50+$K$3+IF(C130="",0,IF($M$2&lt;$N$2,IF(MOD(A130,12)&gt;0,0,3),0)),""),"")</f>
        <v/>
      </c>
      <c r="AA130" s="61"/>
      <c r="AB130" s="61"/>
    </row>
    <row r="131" spans="1:28" hidden="1">
      <c r="A131" s="7">
        <v>126</v>
      </c>
      <c r="B131" s="7">
        <f t="shared" si="13"/>
        <v>126</v>
      </c>
      <c r="C131" s="54" t="str">
        <f>IF(B131=0,0,IF(calcoli!$C$8="MAXIRATA",IF('sviluppo p. amm.to'!B131=calcoli!$C$11,calcoli!$C$46,IF(B131&gt;calcoli!$C$11,"",calcoli!$C$35)),IF(B131&gt;calcoli!$C$11,"",calcoli!$C$35)))</f>
        <v/>
      </c>
      <c r="D131" s="54" t="str">
        <f>IF(B131=0,0,IF(calcoli!$C$8="MAXIRATA",IF('sviluppo p. amm.to'!B131=calcoli!$C$11,calcoli!$C$46,IF(B131&gt;calcoli!$C$11,"",calcoli!$C$36)),IF(B131&gt;calcoli!$C$11,"",calcoli!$C$36)))</f>
        <v/>
      </c>
      <c r="E131" s="55" t="str">
        <f>IF(C131=0,0,IF(C131="","",D131+MROUND(calcoli!$C$37,0.01)))</f>
        <v/>
      </c>
      <c r="F131" s="54" t="str">
        <f>IF(B131=0,0,IF(B131&gt;calcoli!$C$11,"",C131-G131))</f>
        <v/>
      </c>
      <c r="G131" s="54" t="str">
        <f>IF(B131=0,0,IF(B131&gt;calcoli!$C$11,"",'sviluppo p. amm.to'!J130*calcoli!$C$10/12))</f>
        <v/>
      </c>
      <c r="H131" s="56" t="str">
        <f>IF(B131=0,0,IF(B131&gt;calcoli!$C$11,"",G131+calcoli!$C$36-calcoli!$C$35))</f>
        <v/>
      </c>
      <c r="I131" s="52" t="str">
        <f t="shared" si="10"/>
        <v/>
      </c>
      <c r="J131" s="13" t="str">
        <f t="shared" si="11"/>
        <v/>
      </c>
      <c r="K131" s="55" t="str">
        <f>IF(B131=0,0,IF(B131&gt;calcoli!$C$11,"",$K$3))</f>
        <v/>
      </c>
      <c r="L131" s="29" t="str">
        <f t="shared" si="14"/>
        <v/>
      </c>
      <c r="M131" s="29" t="str">
        <f t="shared" si="15"/>
        <v/>
      </c>
      <c r="N131" s="13"/>
      <c r="O131" s="77"/>
      <c r="P131" s="17" t="str">
        <f>IF(A131&lt;calcoli!$C$11,calcoli!$C$36,IF(AND(calcoli!$C$8="maxirata",'sviluppo p. amm.to'!A131=calcoli!$C$11),calcoli!$C$46,IF('sviluppo p. amm.to'!A131=calcoli!$C$11,calcoli!$C$36,"")))</f>
        <v/>
      </c>
      <c r="Q131" s="59" t="str">
        <f t="shared" si="12"/>
        <v/>
      </c>
      <c r="R131" s="19" t="str">
        <f>IF(E131="","",IF(calcoli!$C$11&gt;18,E131+K131+L131+IF($M$2&lt;$N$2,M131,N131),E131+K131+L131+M131))</f>
        <v/>
      </c>
      <c r="T131" s="88" t="str">
        <f>IF(A131&lt;calcoli!$C$11,calcoli!$C$58,IF(AND(calcoli!$C$8="maxirata",'sviluppo p. amm.to'!A131=calcoli!$C$11),calcoli!$C$46,IF('sviluppo p. amm.to'!A131=calcoli!$C$11,calcoli!$C$58,"")))</f>
        <v/>
      </c>
      <c r="V131" s="67" t="str">
        <f>IF(calcoli!$C$8="MAXIRATA",IF(SIMULATORE!$E$16&gt;='sviluppo p. amm.to'!A131,calcoli!$C$50,""),"")</f>
        <v/>
      </c>
      <c r="W131" s="60" t="str">
        <f>IF(calcoli!$C$8="MAXIRATA",IF(SIMULATORE!$E$16&gt;='sviluppo p. amm.to'!B131,calcoli!$C$50+$K$3+IF(C131="",0,IF($M$2&lt;$N$2,IF(MOD(B131,12)&gt;0,0,1),0)),""),"")</f>
        <v/>
      </c>
      <c r="X131" s="22" t="str">
        <f>IF(calcoli!$C$8="MAXIRATA",IF(SIMULATORE!$E$16&gt;='sviluppo p. amm.to'!A131,calcoli!$C$50+$K$3+IF(C131="",0,IF($M$2&lt;$N$2,IF(MOD(A131,12)&gt;0,0,3),0)),""),"")</f>
        <v/>
      </c>
      <c r="AA131" s="61"/>
      <c r="AB131" s="61"/>
    </row>
    <row r="132" spans="1:28" hidden="1">
      <c r="A132" s="7">
        <v>127</v>
      </c>
      <c r="B132" s="7">
        <f t="shared" si="13"/>
        <v>127</v>
      </c>
      <c r="C132" s="54" t="str">
        <f>IF(B132=0,0,IF(calcoli!$C$8="MAXIRATA",IF('sviluppo p. amm.to'!B132=calcoli!$C$11,calcoli!$C$46,IF(B132&gt;calcoli!$C$11,"",calcoli!$C$35)),IF(B132&gt;calcoli!$C$11,"",calcoli!$C$35)))</f>
        <v/>
      </c>
      <c r="D132" s="54" t="str">
        <f>IF(B132=0,0,IF(calcoli!$C$8="MAXIRATA",IF('sviluppo p. amm.to'!B132=calcoli!$C$11,calcoli!$C$46,IF(B132&gt;calcoli!$C$11,"",calcoli!$C$36)),IF(B132&gt;calcoli!$C$11,"",calcoli!$C$36)))</f>
        <v/>
      </c>
      <c r="E132" s="55" t="str">
        <f>IF(C132=0,0,IF(C132="","",D132+MROUND(calcoli!$C$37,0.01)))</f>
        <v/>
      </c>
      <c r="F132" s="54" t="str">
        <f>IF(B132=0,0,IF(B132&gt;calcoli!$C$11,"",C132-G132))</f>
        <v/>
      </c>
      <c r="G132" s="54" t="str">
        <f>IF(B132=0,0,IF(B132&gt;calcoli!$C$11,"",'sviluppo p. amm.to'!J131*calcoli!$C$10/12))</f>
        <v/>
      </c>
      <c r="H132" s="56" t="str">
        <f>IF(B132=0,0,IF(B132&gt;calcoli!$C$11,"",G132+calcoli!$C$36-calcoli!$C$35))</f>
        <v/>
      </c>
      <c r="I132" s="52" t="str">
        <f t="shared" si="10"/>
        <v/>
      </c>
      <c r="J132" s="13" t="str">
        <f t="shared" si="11"/>
        <v/>
      </c>
      <c r="K132" s="55" t="str">
        <f>IF(B132=0,0,IF(B132&gt;calcoli!$C$11,"",$K$3))</f>
        <v/>
      </c>
      <c r="L132" s="29" t="str">
        <f t="shared" si="14"/>
        <v/>
      </c>
      <c r="M132" s="29" t="str">
        <f t="shared" si="15"/>
        <v/>
      </c>
      <c r="N132" s="13"/>
      <c r="O132" s="77"/>
      <c r="P132" s="17" t="str">
        <f>IF(A132&lt;calcoli!$C$11,calcoli!$C$36,IF(AND(calcoli!$C$8="maxirata",'sviluppo p. amm.to'!A132=calcoli!$C$11),calcoli!$C$46,IF('sviluppo p. amm.to'!A132=calcoli!$C$11,calcoli!$C$36,"")))</f>
        <v/>
      </c>
      <c r="Q132" s="59" t="str">
        <f t="shared" si="12"/>
        <v/>
      </c>
      <c r="R132" s="19" t="str">
        <f>IF(E132="","",IF(calcoli!$C$11&gt;18,E132+K132+L132+IF($M$2&lt;$N$2,M132,N132),E132+K132+L132+M132))</f>
        <v/>
      </c>
      <c r="T132" s="88" t="str">
        <f>IF(A132&lt;calcoli!$C$11,calcoli!$C$58,IF(AND(calcoli!$C$8="maxirata",'sviluppo p. amm.to'!A132=calcoli!$C$11),calcoli!$C$46,IF('sviluppo p. amm.to'!A132=calcoli!$C$11,calcoli!$C$58,"")))</f>
        <v/>
      </c>
      <c r="V132" s="67" t="str">
        <f>IF(calcoli!$C$8="MAXIRATA",IF(SIMULATORE!$E$16&gt;='sviluppo p. amm.to'!A132,calcoli!$C$50,""),"")</f>
        <v/>
      </c>
      <c r="W132" s="60" t="str">
        <f>IF(calcoli!$C$8="MAXIRATA",IF(SIMULATORE!$E$16&gt;='sviluppo p. amm.to'!B132,calcoli!$C$50+$K$3+IF(C132="",0,IF($M$2&lt;$N$2,IF(MOD(B132,12)&gt;0,0,1),0)),""),"")</f>
        <v/>
      </c>
      <c r="X132" s="22" t="str">
        <f>IF(calcoli!$C$8="MAXIRATA",IF(SIMULATORE!$E$16&gt;='sviluppo p. amm.to'!A132,calcoli!$C$50+$K$3+IF(C132="",0,IF($M$2&lt;$N$2,IF(MOD(A132,12)&gt;0,0,3),0)),""),"")</f>
        <v/>
      </c>
      <c r="AA132" s="61"/>
      <c r="AB132" s="61"/>
    </row>
    <row r="133" spans="1:28" hidden="1">
      <c r="A133" s="7">
        <v>128</v>
      </c>
      <c r="B133" s="7">
        <f t="shared" si="13"/>
        <v>128</v>
      </c>
      <c r="C133" s="54" t="str">
        <f>IF(B133=0,0,IF(calcoli!$C$8="MAXIRATA",IF('sviluppo p. amm.to'!B133=calcoli!$C$11,calcoli!$C$46,IF(B133&gt;calcoli!$C$11,"",calcoli!$C$35)),IF(B133&gt;calcoli!$C$11,"",calcoli!$C$35)))</f>
        <v/>
      </c>
      <c r="D133" s="54" t="str">
        <f>IF(B133=0,0,IF(calcoli!$C$8="MAXIRATA",IF('sviluppo p. amm.to'!B133=calcoli!$C$11,calcoli!$C$46,IF(B133&gt;calcoli!$C$11,"",calcoli!$C$36)),IF(B133&gt;calcoli!$C$11,"",calcoli!$C$36)))</f>
        <v/>
      </c>
      <c r="E133" s="55" t="str">
        <f>IF(C133=0,0,IF(C133="","",D133+MROUND(calcoli!$C$37,0.01)))</f>
        <v/>
      </c>
      <c r="F133" s="54" t="str">
        <f>IF(B133=0,0,IF(B133&gt;calcoli!$C$11,"",C133-G133))</f>
        <v/>
      </c>
      <c r="G133" s="54" t="str">
        <f>IF(B133=0,0,IF(B133&gt;calcoli!$C$11,"",'sviluppo p. amm.to'!J132*calcoli!$C$10/12))</f>
        <v/>
      </c>
      <c r="H133" s="56" t="str">
        <f>IF(B133=0,0,IF(B133&gt;calcoli!$C$11,"",G133+calcoli!$C$36-calcoli!$C$35))</f>
        <v/>
      </c>
      <c r="I133" s="52" t="str">
        <f t="shared" si="10"/>
        <v/>
      </c>
      <c r="J133" s="13" t="str">
        <f t="shared" si="11"/>
        <v/>
      </c>
      <c r="K133" s="55" t="str">
        <f>IF(B133=0,0,IF(B133&gt;calcoli!$C$11,"",$K$3))</f>
        <v/>
      </c>
      <c r="L133" s="29" t="str">
        <f t="shared" si="14"/>
        <v/>
      </c>
      <c r="M133" s="29" t="str">
        <f t="shared" si="15"/>
        <v/>
      </c>
      <c r="N133" s="13"/>
      <c r="O133" s="77"/>
      <c r="P133" s="17" t="str">
        <f>IF(A133&lt;calcoli!$C$11,calcoli!$C$36,IF(AND(calcoli!$C$8="maxirata",'sviluppo p. amm.to'!A133=calcoli!$C$11),calcoli!$C$46,IF('sviluppo p. amm.to'!A133=calcoli!$C$11,calcoli!$C$36,"")))</f>
        <v/>
      </c>
      <c r="Q133" s="59" t="str">
        <f t="shared" si="12"/>
        <v/>
      </c>
      <c r="R133" s="19" t="str">
        <f>IF(E133="","",IF(calcoli!$C$11&gt;18,E133+K133+L133+IF($M$2&lt;$N$2,M133,N133),E133+K133+L133+M133))</f>
        <v/>
      </c>
      <c r="T133" s="88" t="str">
        <f>IF(A133&lt;calcoli!$C$11,calcoli!$C$58,IF(AND(calcoli!$C$8="maxirata",'sviluppo p. amm.to'!A133=calcoli!$C$11),calcoli!$C$46,IF('sviluppo p. amm.to'!A133=calcoli!$C$11,calcoli!$C$58,"")))</f>
        <v/>
      </c>
      <c r="V133" s="67" t="str">
        <f>IF(calcoli!$C$8="MAXIRATA",IF(SIMULATORE!$E$16&gt;='sviluppo p. amm.to'!A133,calcoli!$C$50,""),"")</f>
        <v/>
      </c>
      <c r="W133" s="60" t="str">
        <f>IF(calcoli!$C$8="MAXIRATA",IF(SIMULATORE!$E$16&gt;='sviluppo p. amm.to'!B133,calcoli!$C$50+$K$3+IF(C133="",0,IF($M$2&lt;$N$2,IF(MOD(B133,12)&gt;0,0,1),0)),""),"")</f>
        <v/>
      </c>
      <c r="X133" s="22" t="str">
        <f>IF(calcoli!$C$8="MAXIRATA",IF(SIMULATORE!$E$16&gt;='sviluppo p. amm.to'!A133,calcoli!$C$50+$K$3+IF(C133="",0,IF($M$2&lt;$N$2,IF(MOD(A133,12)&gt;0,0,3),0)),""),"")</f>
        <v/>
      </c>
      <c r="AA133" s="61"/>
      <c r="AB133" s="61"/>
    </row>
    <row r="134" spans="1:28" hidden="1">
      <c r="A134" s="7">
        <v>129</v>
      </c>
      <c r="B134" s="7">
        <f t="shared" si="13"/>
        <v>129</v>
      </c>
      <c r="C134" s="54" t="str">
        <f>IF(B134=0,0,IF(calcoli!$C$8="MAXIRATA",IF('sviluppo p. amm.to'!B134=calcoli!$C$11,calcoli!$C$46,IF(B134&gt;calcoli!$C$11,"",calcoli!$C$35)),IF(B134&gt;calcoli!$C$11,"",calcoli!$C$35)))</f>
        <v/>
      </c>
      <c r="D134" s="54" t="str">
        <f>IF(B134=0,0,IF(calcoli!$C$8="MAXIRATA",IF('sviluppo p. amm.to'!B134=calcoli!$C$11,calcoli!$C$46,IF(B134&gt;calcoli!$C$11,"",calcoli!$C$36)),IF(B134&gt;calcoli!$C$11,"",calcoli!$C$36)))</f>
        <v/>
      </c>
      <c r="E134" s="55" t="str">
        <f>IF(C134=0,0,IF(C134="","",D134+MROUND(calcoli!$C$37,0.01)))</f>
        <v/>
      </c>
      <c r="F134" s="54" t="str">
        <f>IF(B134=0,0,IF(B134&gt;calcoli!$C$11,"",C134-G134))</f>
        <v/>
      </c>
      <c r="G134" s="54" t="str">
        <f>IF(B134=0,0,IF(B134&gt;calcoli!$C$11,"",'sviluppo p. amm.to'!J133*calcoli!$C$10/12))</f>
        <v/>
      </c>
      <c r="H134" s="56" t="str">
        <f>IF(B134=0,0,IF(B134&gt;calcoli!$C$11,"",G134+calcoli!$C$36-calcoli!$C$35))</f>
        <v/>
      </c>
      <c r="I134" s="52" t="str">
        <f t="shared" si="10"/>
        <v/>
      </c>
      <c r="J134" s="13" t="str">
        <f t="shared" si="11"/>
        <v/>
      </c>
      <c r="K134" s="55" t="str">
        <f>IF(B134=0,0,IF(B134&gt;calcoli!$C$11,"",$K$3))</f>
        <v/>
      </c>
      <c r="L134" s="29" t="str">
        <f t="shared" ref="L134:L152" si="16">IF(C134="","",IF(MOD(A134,12)&gt;0,0,$L$3))</f>
        <v/>
      </c>
      <c r="M134" s="29" t="str">
        <f t="shared" ref="M134:M152" si="17">IF(C134&lt;&gt;"",IF(B134=1,16,0)+IF(C134=0,0,IF(MOD(A134,12)&gt;0,0,$M$3)),"")</f>
        <v/>
      </c>
      <c r="N134" s="13"/>
      <c r="O134" s="77"/>
      <c r="P134" s="17" t="str">
        <f>IF(A134&lt;calcoli!$C$11,calcoli!$C$36,IF(AND(calcoli!$C$8="maxirata",'sviluppo p. amm.to'!A134=calcoli!$C$11),calcoli!$C$46,IF('sviluppo p. amm.to'!A134=calcoli!$C$11,calcoli!$C$36,"")))</f>
        <v/>
      </c>
      <c r="Q134" s="59" t="str">
        <f t="shared" si="12"/>
        <v/>
      </c>
      <c r="R134" s="19" t="str">
        <f>IF(E134="","",IF(calcoli!$C$11&gt;18,E134+K134+L134+IF($M$2&lt;$N$2,M134,N134),E134+K134+L134+M134))</f>
        <v/>
      </c>
      <c r="T134" s="88" t="str">
        <f>IF(A134&lt;calcoli!$C$11,calcoli!$C$58,IF(AND(calcoli!$C$8="maxirata",'sviluppo p. amm.to'!A134=calcoli!$C$11),calcoli!$C$46,IF('sviluppo p. amm.to'!A134=calcoli!$C$11,calcoli!$C$58,"")))</f>
        <v/>
      </c>
      <c r="V134" s="67" t="str">
        <f>IF(calcoli!$C$8="MAXIRATA",IF(SIMULATORE!$E$16&gt;='sviluppo p. amm.to'!A134,calcoli!$C$50,""),"")</f>
        <v/>
      </c>
      <c r="W134" s="60" t="str">
        <f>IF(calcoli!$C$8="MAXIRATA",IF(SIMULATORE!$E$16&gt;='sviluppo p. amm.to'!B134,calcoli!$C$50+$K$3+IF(C134="",0,IF($M$2&lt;$N$2,IF(MOD(B134,12)&gt;0,0,1),0)),""),"")</f>
        <v/>
      </c>
      <c r="X134" s="22" t="str">
        <f>IF(calcoli!$C$8="MAXIRATA",IF(SIMULATORE!$E$16&gt;='sviluppo p. amm.to'!A134,calcoli!$C$50+$K$3+IF(C134="",0,IF($M$2&lt;$N$2,IF(MOD(A134,12)&gt;0,0,3),0)),""),"")</f>
        <v/>
      </c>
      <c r="AA134" s="61"/>
      <c r="AB134" s="61"/>
    </row>
    <row r="135" spans="1:28" hidden="1">
      <c r="A135" s="7">
        <v>130</v>
      </c>
      <c r="B135" s="7">
        <f t="shared" si="13"/>
        <v>130</v>
      </c>
      <c r="C135" s="54" t="str">
        <f>IF(B135=0,0,IF(calcoli!$C$8="MAXIRATA",IF('sviluppo p. amm.to'!B135=calcoli!$C$11,calcoli!$C$46,IF(B135&gt;calcoli!$C$11,"",calcoli!$C$35)),IF(B135&gt;calcoli!$C$11,"",calcoli!$C$35)))</f>
        <v/>
      </c>
      <c r="D135" s="54" t="str">
        <f>IF(B135=0,0,IF(calcoli!$C$8="MAXIRATA",IF('sviluppo p. amm.to'!B135=calcoli!$C$11,calcoli!$C$46,IF(B135&gt;calcoli!$C$11,"",calcoli!$C$36)),IF(B135&gt;calcoli!$C$11,"",calcoli!$C$36)))</f>
        <v/>
      </c>
      <c r="E135" s="55" t="str">
        <f>IF(C135=0,0,IF(C135="","",D135+MROUND(calcoli!$C$37,0.01)))</f>
        <v/>
      </c>
      <c r="F135" s="54" t="str">
        <f>IF(B135=0,0,IF(B135&gt;calcoli!$C$11,"",C135-G135))</f>
        <v/>
      </c>
      <c r="G135" s="54" t="str">
        <f>IF(B135=0,0,IF(B135&gt;calcoli!$C$11,"",'sviluppo p. amm.to'!J134*calcoli!$C$10/12))</f>
        <v/>
      </c>
      <c r="H135" s="56" t="str">
        <f>IF(B135=0,0,IF(B135&gt;calcoli!$C$11,"",G135+calcoli!$C$36-calcoli!$C$35))</f>
        <v/>
      </c>
      <c r="I135" s="52" t="str">
        <f t="shared" ref="I135:I152" si="18">IF(C135="","",I134+F135)</f>
        <v/>
      </c>
      <c r="J135" s="13" t="str">
        <f t="shared" ref="J135:J152" si="19">IF(C135="","",J134-F135)</f>
        <v/>
      </c>
      <c r="K135" s="55" t="str">
        <f>IF(B135=0,0,IF(B135&gt;calcoli!$C$11,"",$K$3))</f>
        <v/>
      </c>
      <c r="L135" s="29" t="str">
        <f t="shared" si="16"/>
        <v/>
      </c>
      <c r="M135" s="29" t="str">
        <f t="shared" si="17"/>
        <v/>
      </c>
      <c r="N135" s="13"/>
      <c r="O135" s="77"/>
      <c r="P135" s="17" t="str">
        <f>IF(A135&lt;calcoli!$C$11,calcoli!$C$36,IF(AND(calcoli!$C$8="maxirata",'sviluppo p. amm.to'!A135=calcoli!$C$11),calcoli!$C$46,IF('sviluppo p. amm.to'!A135=calcoli!$C$11,calcoli!$C$36,"")))</f>
        <v/>
      </c>
      <c r="Q135" s="59" t="str">
        <f t="shared" ref="Q135:Q152" si="20">IF(E135="","",E135+K135+L135)</f>
        <v/>
      </c>
      <c r="R135" s="19" t="str">
        <f>IF(E135="","",IF(calcoli!$C$11&gt;18,E135+K135+L135+IF($M$2&lt;$N$2,M135,N135),E135+K135+L135+M135))</f>
        <v/>
      </c>
      <c r="T135" s="88" t="str">
        <f>IF(A135&lt;calcoli!$C$11,calcoli!$C$58,IF(AND(calcoli!$C$8="maxirata",'sviluppo p. amm.to'!A135=calcoli!$C$11),calcoli!$C$46,IF('sviluppo p. amm.to'!A135=calcoli!$C$11,calcoli!$C$58,"")))</f>
        <v/>
      </c>
      <c r="V135" s="67" t="str">
        <f>IF(calcoli!$C$8="MAXIRATA",IF(SIMULATORE!$E$16&gt;='sviluppo p. amm.to'!A135,calcoli!$C$50,""),"")</f>
        <v/>
      </c>
      <c r="W135" s="60" t="str">
        <f>IF(calcoli!$C$8="MAXIRATA",IF(SIMULATORE!$E$16&gt;='sviluppo p. amm.to'!B135,calcoli!$C$50+$K$3+IF(C135="",0,IF($M$2&lt;$N$2,IF(MOD(B135,12)&gt;0,0,1),0)),""),"")</f>
        <v/>
      </c>
      <c r="X135" s="22" t="str">
        <f>IF(calcoli!$C$8="MAXIRATA",IF(SIMULATORE!$E$16&gt;='sviluppo p. amm.to'!A135,calcoli!$C$50+$K$3+IF(C135="",0,IF($M$2&lt;$N$2,IF(MOD(A135,12)&gt;0,0,3),0)),""),"")</f>
        <v/>
      </c>
      <c r="AA135" s="61"/>
      <c r="AB135" s="61"/>
    </row>
    <row r="136" spans="1:28" hidden="1">
      <c r="A136" s="7">
        <v>131</v>
      </c>
      <c r="B136" s="7">
        <f t="shared" si="13"/>
        <v>131</v>
      </c>
      <c r="C136" s="54" t="str">
        <f>IF(B136=0,0,IF(calcoli!$C$8="MAXIRATA",IF('sviluppo p. amm.to'!B136=calcoli!$C$11,calcoli!$C$46,IF(B136&gt;calcoli!$C$11,"",calcoli!$C$35)),IF(B136&gt;calcoli!$C$11,"",calcoli!$C$35)))</f>
        <v/>
      </c>
      <c r="D136" s="54" t="str">
        <f>IF(B136=0,0,IF(calcoli!$C$8="MAXIRATA",IF('sviluppo p. amm.to'!B136=calcoli!$C$11,calcoli!$C$46,IF(B136&gt;calcoli!$C$11,"",calcoli!$C$36)),IF(B136&gt;calcoli!$C$11,"",calcoli!$C$36)))</f>
        <v/>
      </c>
      <c r="E136" s="55" t="str">
        <f>IF(C136=0,0,IF(C136="","",D136+MROUND(calcoli!$C$37,0.01)))</f>
        <v/>
      </c>
      <c r="F136" s="54" t="str">
        <f>IF(B136=0,0,IF(B136&gt;calcoli!$C$11,"",C136-G136))</f>
        <v/>
      </c>
      <c r="G136" s="54" t="str">
        <f>IF(B136=0,0,IF(B136&gt;calcoli!$C$11,"",'sviluppo p. amm.to'!J135*calcoli!$C$10/12))</f>
        <v/>
      </c>
      <c r="H136" s="56" t="str">
        <f>IF(B136=0,0,IF(B136&gt;calcoli!$C$11,"",G136+calcoli!$C$36-calcoli!$C$35))</f>
        <v/>
      </c>
      <c r="I136" s="52" t="str">
        <f t="shared" si="18"/>
        <v/>
      </c>
      <c r="J136" s="13" t="str">
        <f t="shared" si="19"/>
        <v/>
      </c>
      <c r="K136" s="55" t="str">
        <f>IF(B136=0,0,IF(B136&gt;calcoli!$C$11,"",$K$3))</f>
        <v/>
      </c>
      <c r="L136" s="29" t="str">
        <f t="shared" si="16"/>
        <v/>
      </c>
      <c r="M136" s="29" t="str">
        <f t="shared" si="17"/>
        <v/>
      </c>
      <c r="N136" s="13"/>
      <c r="O136" s="77"/>
      <c r="P136" s="17" t="str">
        <f>IF(A136&lt;calcoli!$C$11,calcoli!$C$36,IF(AND(calcoli!$C$8="maxirata",'sviluppo p. amm.to'!A136=calcoli!$C$11),calcoli!$C$46,IF('sviluppo p. amm.to'!A136=calcoli!$C$11,calcoli!$C$36,"")))</f>
        <v/>
      </c>
      <c r="Q136" s="59" t="str">
        <f t="shared" si="20"/>
        <v/>
      </c>
      <c r="R136" s="19" t="str">
        <f>IF(E136="","",IF(calcoli!$C$11&gt;18,E136+K136+L136+IF($M$2&lt;$N$2,M136,N136),E136+K136+L136+M136))</f>
        <v/>
      </c>
      <c r="T136" s="88" t="str">
        <f>IF(A136&lt;calcoli!$C$11,calcoli!$C$58,IF(AND(calcoli!$C$8="maxirata",'sviluppo p. amm.to'!A136=calcoli!$C$11),calcoli!$C$46,IF('sviluppo p. amm.to'!A136=calcoli!$C$11,calcoli!$C$58,"")))</f>
        <v/>
      </c>
      <c r="V136" s="67" t="str">
        <f>IF(calcoli!$C$8="MAXIRATA",IF(SIMULATORE!$E$16&gt;='sviluppo p. amm.to'!A136,calcoli!$C$50,""),"")</f>
        <v/>
      </c>
      <c r="W136" s="60" t="str">
        <f>IF(calcoli!$C$8="MAXIRATA",IF(SIMULATORE!$E$16&gt;='sviluppo p. amm.to'!B136,calcoli!$C$50+$K$3+IF(C136="",0,IF($M$2&lt;$N$2,IF(MOD(B136,12)&gt;0,0,1),0)),""),"")</f>
        <v/>
      </c>
      <c r="X136" s="22" t="str">
        <f>IF(calcoli!$C$8="MAXIRATA",IF(SIMULATORE!$E$16&gt;='sviluppo p. amm.to'!A136,calcoli!$C$50+$K$3+IF(C136="",0,IF($M$2&lt;$N$2,IF(MOD(A136,12)&gt;0,0,3),0)),""),"")</f>
        <v/>
      </c>
      <c r="AA136" s="61"/>
      <c r="AB136" s="61"/>
    </row>
    <row r="137" spans="1:28" hidden="1">
      <c r="A137" s="7">
        <v>132</v>
      </c>
      <c r="B137" s="7">
        <f t="shared" si="13"/>
        <v>132</v>
      </c>
      <c r="C137" s="54" t="str">
        <f>IF(B137=0,0,IF(calcoli!$C$8="MAXIRATA",IF('sviluppo p. amm.to'!B137=calcoli!$C$11,calcoli!$C$46,IF(B137&gt;calcoli!$C$11,"",calcoli!$C$35)),IF(B137&gt;calcoli!$C$11,"",calcoli!$C$35)))</f>
        <v/>
      </c>
      <c r="D137" s="54" t="str">
        <f>IF(B137=0,0,IF(calcoli!$C$8="MAXIRATA",IF('sviluppo p. amm.to'!B137=calcoli!$C$11,calcoli!$C$46,IF(B137&gt;calcoli!$C$11,"",calcoli!$C$36)),IF(B137&gt;calcoli!$C$11,"",calcoli!$C$36)))</f>
        <v/>
      </c>
      <c r="E137" s="55" t="str">
        <f>IF(C137=0,0,IF(C137="","",D137+MROUND(calcoli!$C$37,0.01)))</f>
        <v/>
      </c>
      <c r="F137" s="54" t="str">
        <f>IF(B137=0,0,IF(B137&gt;calcoli!$C$11,"",C137-G137))</f>
        <v/>
      </c>
      <c r="G137" s="54" t="str">
        <f>IF(B137=0,0,IF(B137&gt;calcoli!$C$11,"",'sviluppo p. amm.to'!J136*calcoli!$C$10/12))</f>
        <v/>
      </c>
      <c r="H137" s="56" t="str">
        <f>IF(B137=0,0,IF(B137&gt;calcoli!$C$11,"",G137+calcoli!$C$36-calcoli!$C$35))</f>
        <v/>
      </c>
      <c r="I137" s="52" t="str">
        <f t="shared" si="18"/>
        <v/>
      </c>
      <c r="J137" s="13" t="str">
        <f t="shared" si="19"/>
        <v/>
      </c>
      <c r="K137" s="55" t="str">
        <f>IF(B137=0,0,IF(B137&gt;calcoli!$C$11,"",$K$3))</f>
        <v/>
      </c>
      <c r="L137" s="29" t="str">
        <f t="shared" si="16"/>
        <v/>
      </c>
      <c r="M137" s="29" t="str">
        <f t="shared" si="17"/>
        <v/>
      </c>
      <c r="N137" s="13"/>
      <c r="O137" s="77"/>
      <c r="P137" s="17" t="str">
        <f>IF(A137&lt;calcoli!$C$11,calcoli!$C$36,IF(AND(calcoli!$C$8="maxirata",'sviluppo p. amm.to'!A137=calcoli!$C$11),calcoli!$C$46,IF('sviluppo p. amm.to'!A137=calcoli!$C$11,calcoli!$C$36,"")))</f>
        <v/>
      </c>
      <c r="Q137" s="59" t="str">
        <f t="shared" si="20"/>
        <v/>
      </c>
      <c r="R137" s="19" t="str">
        <f>IF(E137="","",IF(calcoli!$C$11&gt;18,E137+K137+L137+IF($M$2&lt;$N$2,M137,N137),E137+K137+L137+M137))</f>
        <v/>
      </c>
      <c r="T137" s="88" t="str">
        <f>IF(A137&lt;calcoli!$C$11,calcoli!$C$58,IF(AND(calcoli!$C$8="maxirata",'sviluppo p. amm.to'!A137=calcoli!$C$11),calcoli!$C$46,IF('sviluppo p. amm.to'!A137=calcoli!$C$11,calcoli!$C$58,"")))</f>
        <v/>
      </c>
      <c r="V137" s="67" t="str">
        <f>IF(calcoli!$C$8="MAXIRATA",IF(SIMULATORE!$E$16&gt;='sviluppo p. amm.to'!A137,calcoli!$C$50,""),"")</f>
        <v/>
      </c>
      <c r="W137" s="60" t="str">
        <f>IF(calcoli!$C$8="MAXIRATA",IF(SIMULATORE!$E$16&gt;='sviluppo p. amm.to'!B137,calcoli!$C$50+$K$3+IF(C137="",0,IF($M$2&lt;$N$2,IF(MOD(B137,12)&gt;0,0,1),0)),""),"")</f>
        <v/>
      </c>
      <c r="X137" s="22" t="str">
        <f>IF(calcoli!$C$8="MAXIRATA",IF(SIMULATORE!$E$16&gt;='sviluppo p. amm.to'!A137,calcoli!$C$50+$K$3+IF(C137="",0,IF($M$2&lt;$N$2,IF(MOD(A137,12)&gt;0,0,3),0)),""),"")</f>
        <v/>
      </c>
      <c r="AA137" s="61"/>
      <c r="AB137" s="61"/>
    </row>
    <row r="138" spans="1:28" hidden="1">
      <c r="A138" s="7">
        <v>133</v>
      </c>
      <c r="B138" s="7">
        <f t="shared" si="13"/>
        <v>133</v>
      </c>
      <c r="C138" s="54" t="str">
        <f>IF(B138=0,0,IF(calcoli!$C$8="MAXIRATA",IF('sviluppo p. amm.to'!B138=calcoli!$C$11,calcoli!$C$46,IF(B138&gt;calcoli!$C$11,"",calcoli!$C$35)),IF(B138&gt;calcoli!$C$11,"",calcoli!$C$35)))</f>
        <v/>
      </c>
      <c r="D138" s="54" t="str">
        <f>IF(B138=0,0,IF(calcoli!$C$8="MAXIRATA",IF('sviluppo p. amm.to'!B138=calcoli!$C$11,calcoli!$C$46,IF(B138&gt;calcoli!$C$11,"",calcoli!$C$36)),IF(B138&gt;calcoli!$C$11,"",calcoli!$C$36)))</f>
        <v/>
      </c>
      <c r="E138" s="55" t="str">
        <f>IF(C138=0,0,IF(C138="","",D138+MROUND(calcoli!$C$37,0.01)))</f>
        <v/>
      </c>
      <c r="F138" s="54" t="str">
        <f>IF(B138=0,0,IF(B138&gt;calcoli!$C$11,"",C138-G138))</f>
        <v/>
      </c>
      <c r="G138" s="54" t="str">
        <f>IF(B138=0,0,IF(B138&gt;calcoli!$C$11,"",'sviluppo p. amm.to'!J137*calcoli!$C$10/12))</f>
        <v/>
      </c>
      <c r="H138" s="56" t="str">
        <f>IF(B138=0,0,IF(B138&gt;calcoli!$C$11,"",G138+calcoli!$C$36-calcoli!$C$35))</f>
        <v/>
      </c>
      <c r="I138" s="52" t="str">
        <f t="shared" si="18"/>
        <v/>
      </c>
      <c r="J138" s="13" t="str">
        <f t="shared" si="19"/>
        <v/>
      </c>
      <c r="K138" s="55" t="str">
        <f>IF(B138=0,0,IF(B138&gt;calcoli!$C$11,"",$K$3))</f>
        <v/>
      </c>
      <c r="L138" s="29" t="str">
        <f t="shared" si="16"/>
        <v/>
      </c>
      <c r="M138" s="29" t="str">
        <f t="shared" si="17"/>
        <v/>
      </c>
      <c r="N138" s="13"/>
      <c r="O138" s="77"/>
      <c r="P138" s="17" t="str">
        <f>IF(A138&lt;calcoli!$C$11,calcoli!$C$36,IF(AND(calcoli!$C$8="maxirata",'sviluppo p. amm.to'!A138=calcoli!$C$11),calcoli!$C$46,IF('sviluppo p. amm.to'!A138=calcoli!$C$11,calcoli!$C$36,"")))</f>
        <v/>
      </c>
      <c r="Q138" s="59" t="str">
        <f t="shared" si="20"/>
        <v/>
      </c>
      <c r="R138" s="19" t="str">
        <f>IF(E138="","",IF(calcoli!$C$11&gt;18,E138+K138+L138+IF($M$2&lt;$N$2,M138,N138),E138+K138+L138+M138))</f>
        <v/>
      </c>
      <c r="T138" s="88" t="str">
        <f>IF(A138&lt;calcoli!$C$11,calcoli!$C$58,IF(AND(calcoli!$C$8="maxirata",'sviluppo p. amm.to'!A138=calcoli!$C$11),calcoli!$C$46,IF('sviluppo p. amm.to'!A138=calcoli!$C$11,calcoli!$C$58,"")))</f>
        <v/>
      </c>
      <c r="V138" s="67" t="str">
        <f>IF(calcoli!$C$8="MAXIRATA",IF(SIMULATORE!$E$16&gt;='sviluppo p. amm.to'!A138,calcoli!$C$50,""),"")</f>
        <v/>
      </c>
      <c r="W138" s="60" t="str">
        <f>IF(calcoli!$C$8="MAXIRATA",IF(SIMULATORE!$E$16&gt;='sviluppo p. amm.to'!B138,calcoli!$C$50+$K$3+IF(C138="",0,IF($M$2&lt;$N$2,IF(MOD(B138,12)&gt;0,0,1),0)),""),"")</f>
        <v/>
      </c>
      <c r="X138" s="22" t="str">
        <f>IF(calcoli!$C$8="MAXIRATA",IF(SIMULATORE!$E$16&gt;='sviluppo p. amm.to'!A138,calcoli!$C$50+$K$3+IF(C138="",0,IF($M$2&lt;$N$2,IF(MOD(A138,12)&gt;0,0,3),0)),""),"")</f>
        <v/>
      </c>
      <c r="AA138" s="61"/>
      <c r="AB138" s="61"/>
    </row>
    <row r="139" spans="1:28" hidden="1">
      <c r="A139" s="7">
        <v>134</v>
      </c>
      <c r="B139" s="7">
        <f t="shared" si="13"/>
        <v>134</v>
      </c>
      <c r="C139" s="54" t="str">
        <f>IF(B139=0,0,IF(calcoli!$C$8="MAXIRATA",IF('sviluppo p. amm.to'!B139=calcoli!$C$11,calcoli!$C$46,IF(B139&gt;calcoli!$C$11,"",calcoli!$C$35)),IF(B139&gt;calcoli!$C$11,"",calcoli!$C$35)))</f>
        <v/>
      </c>
      <c r="D139" s="54" t="str">
        <f>IF(B139=0,0,IF(calcoli!$C$8="MAXIRATA",IF('sviluppo p. amm.to'!B139=calcoli!$C$11,calcoli!$C$46,IF(B139&gt;calcoli!$C$11,"",calcoli!$C$36)),IF(B139&gt;calcoli!$C$11,"",calcoli!$C$36)))</f>
        <v/>
      </c>
      <c r="E139" s="55" t="str">
        <f>IF(C139=0,0,IF(C139="","",D139+MROUND(calcoli!$C$37,0.01)))</f>
        <v/>
      </c>
      <c r="F139" s="54" t="str">
        <f>IF(B139=0,0,IF(B139&gt;calcoli!$C$11,"",C139-G139))</f>
        <v/>
      </c>
      <c r="G139" s="54" t="str">
        <f>IF(B139=0,0,IF(B139&gt;calcoli!$C$11,"",'sviluppo p. amm.to'!J138*calcoli!$C$10/12))</f>
        <v/>
      </c>
      <c r="H139" s="56" t="str">
        <f>IF(B139=0,0,IF(B139&gt;calcoli!$C$11,"",G139+calcoli!$C$36-calcoli!$C$35))</f>
        <v/>
      </c>
      <c r="I139" s="52" t="str">
        <f t="shared" si="18"/>
        <v/>
      </c>
      <c r="J139" s="13" t="str">
        <f t="shared" si="19"/>
        <v/>
      </c>
      <c r="K139" s="55" t="str">
        <f>IF(B139=0,0,IF(B139&gt;calcoli!$C$11,"",$K$3))</f>
        <v/>
      </c>
      <c r="L139" s="29" t="str">
        <f t="shared" si="16"/>
        <v/>
      </c>
      <c r="M139" s="29" t="str">
        <f t="shared" si="17"/>
        <v/>
      </c>
      <c r="N139" s="13"/>
      <c r="O139" s="77"/>
      <c r="P139" s="17" t="str">
        <f>IF(A139&lt;calcoli!$C$11,calcoli!$C$36,IF(AND(calcoli!$C$8="maxirata",'sviluppo p. amm.to'!A139=calcoli!$C$11),calcoli!$C$46,IF('sviluppo p. amm.to'!A139=calcoli!$C$11,calcoli!$C$36,"")))</f>
        <v/>
      </c>
      <c r="Q139" s="59" t="str">
        <f t="shared" si="20"/>
        <v/>
      </c>
      <c r="R139" s="19" t="str">
        <f>IF(E139="","",IF(calcoli!$C$11&gt;18,E139+K139+L139+IF($M$2&lt;$N$2,M139,N139),E139+K139+L139+M139))</f>
        <v/>
      </c>
      <c r="T139" s="88" t="str">
        <f>IF(A139&lt;calcoli!$C$11,calcoli!$C$58,IF(AND(calcoli!$C$8="maxirata",'sviluppo p. amm.to'!A139=calcoli!$C$11),calcoli!$C$46,IF('sviluppo p. amm.to'!A139=calcoli!$C$11,calcoli!$C$58,"")))</f>
        <v/>
      </c>
      <c r="V139" s="67" t="str">
        <f>IF(calcoli!$C$8="MAXIRATA",IF(SIMULATORE!$E$16&gt;='sviluppo p. amm.to'!A139,calcoli!$C$50,""),"")</f>
        <v/>
      </c>
      <c r="W139" s="60" t="str">
        <f>IF(calcoli!$C$8="MAXIRATA",IF(SIMULATORE!$E$16&gt;='sviluppo p. amm.to'!B139,calcoli!$C$50+$K$3+IF(C139="",0,IF($M$2&lt;$N$2,IF(MOD(B139,12)&gt;0,0,1),0)),""),"")</f>
        <v/>
      </c>
      <c r="X139" s="22" t="str">
        <f>IF(calcoli!$C$8="MAXIRATA",IF(SIMULATORE!$E$16&gt;='sviluppo p. amm.to'!A139,calcoli!$C$50+$K$3+IF(C139="",0,IF($M$2&lt;$N$2,IF(MOD(A139,12)&gt;0,0,3),0)),""),"")</f>
        <v/>
      </c>
      <c r="AA139" s="61"/>
      <c r="AB139" s="61"/>
    </row>
    <row r="140" spans="1:28" hidden="1">
      <c r="A140" s="7">
        <v>135</v>
      </c>
      <c r="B140" s="7">
        <f t="shared" si="13"/>
        <v>135</v>
      </c>
      <c r="C140" s="54" t="str">
        <f>IF(B140=0,0,IF(calcoli!$C$8="MAXIRATA",IF('sviluppo p. amm.to'!B140=calcoli!$C$11,calcoli!$C$46,IF(B140&gt;calcoli!$C$11,"",calcoli!$C$35)),IF(B140&gt;calcoli!$C$11,"",calcoli!$C$35)))</f>
        <v/>
      </c>
      <c r="D140" s="54" t="str">
        <f>IF(B140=0,0,IF(calcoli!$C$8="MAXIRATA",IF('sviluppo p. amm.to'!B140=calcoli!$C$11,calcoli!$C$46,IF(B140&gt;calcoli!$C$11,"",calcoli!$C$36)),IF(B140&gt;calcoli!$C$11,"",calcoli!$C$36)))</f>
        <v/>
      </c>
      <c r="E140" s="55" t="str">
        <f>IF(C140=0,0,IF(C140="","",D140+MROUND(calcoli!$C$37,0.01)))</f>
        <v/>
      </c>
      <c r="F140" s="54" t="str">
        <f>IF(B140=0,0,IF(B140&gt;calcoli!$C$11,"",C140-G140))</f>
        <v/>
      </c>
      <c r="G140" s="54" t="str">
        <f>IF(B140=0,0,IF(B140&gt;calcoli!$C$11,"",'sviluppo p. amm.to'!J139*calcoli!$C$10/12))</f>
        <v/>
      </c>
      <c r="H140" s="56" t="str">
        <f>IF(B140=0,0,IF(B140&gt;calcoli!$C$11,"",G140+calcoli!$C$36-calcoli!$C$35))</f>
        <v/>
      </c>
      <c r="I140" s="52" t="str">
        <f t="shared" si="18"/>
        <v/>
      </c>
      <c r="J140" s="13" t="str">
        <f t="shared" si="19"/>
        <v/>
      </c>
      <c r="K140" s="55" t="str">
        <f>IF(B140=0,0,IF(B140&gt;calcoli!$C$11,"",$K$3))</f>
        <v/>
      </c>
      <c r="L140" s="29" t="str">
        <f t="shared" si="16"/>
        <v/>
      </c>
      <c r="M140" s="29" t="str">
        <f t="shared" si="17"/>
        <v/>
      </c>
      <c r="N140" s="13"/>
      <c r="O140" s="77"/>
      <c r="P140" s="17" t="str">
        <f>IF(A140&lt;calcoli!$C$11,calcoli!$C$36,IF(AND(calcoli!$C$8="maxirata",'sviluppo p. amm.to'!A140=calcoli!$C$11),calcoli!$C$46,IF('sviluppo p. amm.to'!A140=calcoli!$C$11,calcoli!$C$36,"")))</f>
        <v/>
      </c>
      <c r="Q140" s="59" t="str">
        <f t="shared" si="20"/>
        <v/>
      </c>
      <c r="R140" s="19" t="str">
        <f>IF(E140="","",IF(calcoli!$C$11&gt;18,E140+K140+L140+IF($M$2&lt;$N$2,M140,N140),E140+K140+L140+M140))</f>
        <v/>
      </c>
      <c r="T140" s="88" t="str">
        <f>IF(A140&lt;calcoli!$C$11,calcoli!$C$58,IF(AND(calcoli!$C$8="maxirata",'sviluppo p. amm.to'!A140=calcoli!$C$11),calcoli!$C$46,IF('sviluppo p. amm.to'!A140=calcoli!$C$11,calcoli!$C$58,"")))</f>
        <v/>
      </c>
      <c r="V140" s="67" t="str">
        <f>IF(calcoli!$C$8="MAXIRATA",IF(SIMULATORE!$E$16&gt;='sviluppo p. amm.to'!A140,calcoli!$C$50,""),"")</f>
        <v/>
      </c>
      <c r="W140" s="60" t="str">
        <f>IF(calcoli!$C$8="MAXIRATA",IF(SIMULATORE!$E$16&gt;='sviluppo p. amm.to'!B140,calcoli!$C$50+$K$3+IF(C140="",0,IF($M$2&lt;$N$2,IF(MOD(B140,12)&gt;0,0,1),0)),""),"")</f>
        <v/>
      </c>
      <c r="X140" s="22" t="str">
        <f>IF(calcoli!$C$8="MAXIRATA",IF(SIMULATORE!$E$16&gt;='sviluppo p. amm.to'!A140,calcoli!$C$50+$K$3+IF(C140="",0,IF($M$2&lt;$N$2,IF(MOD(A140,12)&gt;0,0,3),0)),""),"")</f>
        <v/>
      </c>
      <c r="AA140" s="61"/>
      <c r="AB140" s="61"/>
    </row>
    <row r="141" spans="1:28" hidden="1">
      <c r="A141" s="7">
        <v>136</v>
      </c>
      <c r="B141" s="7">
        <f t="shared" ref="B141:B152" si="21">B140+1</f>
        <v>136</v>
      </c>
      <c r="C141" s="54" t="str">
        <f>IF(B141=0,0,IF(calcoli!$C$8="MAXIRATA",IF('sviluppo p. amm.to'!B141=calcoli!$C$11,calcoli!$C$46,IF(B141&gt;calcoli!$C$11,"",calcoli!$C$35)),IF(B141&gt;calcoli!$C$11,"",calcoli!$C$35)))</f>
        <v/>
      </c>
      <c r="D141" s="54" t="str">
        <f>IF(B141=0,0,IF(calcoli!$C$8="MAXIRATA",IF('sviluppo p. amm.to'!B141=calcoli!$C$11,calcoli!$C$46,IF(B141&gt;calcoli!$C$11,"",calcoli!$C$36)),IF(B141&gt;calcoli!$C$11,"",calcoli!$C$36)))</f>
        <v/>
      </c>
      <c r="E141" s="55" t="str">
        <f>IF(C141=0,0,IF(C141="","",D141+MROUND(calcoli!$C$37,0.01)))</f>
        <v/>
      </c>
      <c r="F141" s="54" t="str">
        <f>IF(B141=0,0,IF(B141&gt;calcoli!$C$11,"",C141-G141))</f>
        <v/>
      </c>
      <c r="G141" s="54" t="str">
        <f>IF(B141=0,0,IF(B141&gt;calcoli!$C$11,"",'sviluppo p. amm.to'!J140*calcoli!$C$10/12))</f>
        <v/>
      </c>
      <c r="H141" s="56" t="str">
        <f>IF(B141=0,0,IF(B141&gt;calcoli!$C$11,"",G141+calcoli!$C$36-calcoli!$C$35))</f>
        <v/>
      </c>
      <c r="I141" s="52" t="str">
        <f t="shared" si="18"/>
        <v/>
      </c>
      <c r="J141" s="13" t="str">
        <f t="shared" si="19"/>
        <v/>
      </c>
      <c r="K141" s="55" t="str">
        <f>IF(B141=0,0,IF(B141&gt;calcoli!$C$11,"",$K$3))</f>
        <v/>
      </c>
      <c r="L141" s="29" t="str">
        <f t="shared" si="16"/>
        <v/>
      </c>
      <c r="M141" s="29" t="str">
        <f t="shared" si="17"/>
        <v/>
      </c>
      <c r="N141" s="13"/>
      <c r="O141" s="77"/>
      <c r="P141" s="17" t="str">
        <f>IF(A141&lt;calcoli!$C$11,calcoli!$C$36,IF(AND(calcoli!$C$8="maxirata",'sviluppo p. amm.to'!A141=calcoli!$C$11),calcoli!$C$46,IF('sviluppo p. amm.to'!A141=calcoli!$C$11,calcoli!$C$36,"")))</f>
        <v/>
      </c>
      <c r="Q141" s="59" t="str">
        <f t="shared" si="20"/>
        <v/>
      </c>
      <c r="R141" s="19" t="str">
        <f>IF(E141="","",IF(calcoli!$C$11&gt;18,E141+K141+L141+IF($M$2&lt;$N$2,M141,N141),E141+K141+L141+M141))</f>
        <v/>
      </c>
      <c r="T141" s="88" t="str">
        <f>IF(A141&lt;calcoli!$C$11,calcoli!$C$58,IF(AND(calcoli!$C$8="maxirata",'sviluppo p. amm.to'!A141=calcoli!$C$11),calcoli!$C$46,IF('sviluppo p. amm.to'!A141=calcoli!$C$11,calcoli!$C$58,"")))</f>
        <v/>
      </c>
      <c r="V141" s="67" t="str">
        <f>IF(calcoli!$C$8="MAXIRATA",IF(SIMULATORE!$E$16&gt;='sviluppo p. amm.to'!A141,calcoli!$C$50,""),"")</f>
        <v/>
      </c>
      <c r="W141" s="60" t="str">
        <f>IF(calcoli!$C$8="MAXIRATA",IF(SIMULATORE!$E$16&gt;='sviluppo p. amm.to'!B141,calcoli!$C$50+$K$3+IF(C141="",0,IF($M$2&lt;$N$2,IF(MOD(B141,12)&gt;0,0,1),0)),""),"")</f>
        <v/>
      </c>
      <c r="X141" s="22" t="str">
        <f>IF(calcoli!$C$8="MAXIRATA",IF(SIMULATORE!$E$16&gt;='sviluppo p. amm.to'!A141,calcoli!$C$50+$K$3+IF(C141="",0,IF($M$2&lt;$N$2,IF(MOD(A141,12)&gt;0,0,3),0)),""),"")</f>
        <v/>
      </c>
      <c r="AA141" s="61"/>
      <c r="AB141" s="61"/>
    </row>
    <row r="142" spans="1:28" hidden="1">
      <c r="A142" s="7">
        <v>137</v>
      </c>
      <c r="B142" s="7">
        <f t="shared" si="21"/>
        <v>137</v>
      </c>
      <c r="C142" s="54" t="str">
        <f>IF(B142=0,0,IF(calcoli!$C$8="MAXIRATA",IF('sviluppo p. amm.to'!B142=calcoli!$C$11,calcoli!$C$46,IF(B142&gt;calcoli!$C$11,"",calcoli!$C$35)),IF(B142&gt;calcoli!$C$11,"",calcoli!$C$35)))</f>
        <v/>
      </c>
      <c r="D142" s="54" t="str">
        <f>IF(B142=0,0,IF(calcoli!$C$8="MAXIRATA",IF('sviluppo p. amm.to'!B142=calcoli!$C$11,calcoli!$C$46,IF(B142&gt;calcoli!$C$11,"",calcoli!$C$36)),IF(B142&gt;calcoli!$C$11,"",calcoli!$C$36)))</f>
        <v/>
      </c>
      <c r="E142" s="55" t="str">
        <f>IF(C142=0,0,IF(C142="","",D142+MROUND(calcoli!$C$37,0.01)))</f>
        <v/>
      </c>
      <c r="F142" s="54" t="str">
        <f>IF(B142=0,0,IF(B142&gt;calcoli!$C$11,"",C142-G142))</f>
        <v/>
      </c>
      <c r="G142" s="54" t="str">
        <f>IF(B142=0,0,IF(B142&gt;calcoli!$C$11,"",'sviluppo p. amm.to'!J141*calcoli!$C$10/12))</f>
        <v/>
      </c>
      <c r="H142" s="56" t="str">
        <f>IF(B142=0,0,IF(B142&gt;calcoli!$C$11,"",G142+calcoli!$C$36-calcoli!$C$35))</f>
        <v/>
      </c>
      <c r="I142" s="52" t="str">
        <f t="shared" si="18"/>
        <v/>
      </c>
      <c r="J142" s="13" t="str">
        <f t="shared" si="19"/>
        <v/>
      </c>
      <c r="K142" s="55" t="str">
        <f>IF(B142=0,0,IF(B142&gt;calcoli!$C$11,"",$K$3))</f>
        <v/>
      </c>
      <c r="L142" s="29" t="str">
        <f t="shared" si="16"/>
        <v/>
      </c>
      <c r="M142" s="29" t="str">
        <f t="shared" si="17"/>
        <v/>
      </c>
      <c r="N142" s="13"/>
      <c r="O142" s="77"/>
      <c r="P142" s="17" t="str">
        <f>IF(A142&lt;calcoli!$C$11,calcoli!$C$36,IF(AND(calcoli!$C$8="maxirata",'sviluppo p. amm.to'!A142=calcoli!$C$11),calcoli!$C$46,IF('sviluppo p. amm.to'!A142=calcoli!$C$11,calcoli!$C$36,"")))</f>
        <v/>
      </c>
      <c r="Q142" s="59" t="str">
        <f t="shared" si="20"/>
        <v/>
      </c>
      <c r="R142" s="19" t="str">
        <f>IF(E142="","",IF(calcoli!$C$11&gt;18,E142+K142+L142+IF($M$2&lt;$N$2,M142,N142),E142+K142+L142+M142))</f>
        <v/>
      </c>
      <c r="T142" s="88" t="str">
        <f>IF(A142&lt;calcoli!$C$11,calcoli!$C$58,IF(AND(calcoli!$C$8="maxirata",'sviluppo p. amm.to'!A142=calcoli!$C$11),calcoli!$C$46,IF('sviluppo p. amm.to'!A142=calcoli!$C$11,calcoli!$C$58,"")))</f>
        <v/>
      </c>
      <c r="V142" s="67" t="str">
        <f>IF(calcoli!$C$8="MAXIRATA",IF(SIMULATORE!$E$16&gt;='sviluppo p. amm.to'!A142,calcoli!$C$50,""),"")</f>
        <v/>
      </c>
      <c r="W142" s="60" t="str">
        <f>IF(calcoli!$C$8="MAXIRATA",IF(SIMULATORE!$E$16&gt;='sviluppo p. amm.to'!B142,calcoli!$C$50+$K$3+IF(C142="",0,IF($M$2&lt;$N$2,IF(MOD(B142,12)&gt;0,0,1),0)),""),"")</f>
        <v/>
      </c>
      <c r="X142" s="22" t="str">
        <f>IF(calcoli!$C$8="MAXIRATA",IF(SIMULATORE!$E$16&gt;='sviluppo p. amm.to'!A142,calcoli!$C$50+$K$3+IF(C142="",0,IF($M$2&lt;$N$2,IF(MOD(A142,12)&gt;0,0,3),0)),""),"")</f>
        <v/>
      </c>
      <c r="AA142" s="61"/>
      <c r="AB142" s="61"/>
    </row>
    <row r="143" spans="1:28" hidden="1">
      <c r="A143" s="7">
        <v>138</v>
      </c>
      <c r="B143" s="7">
        <f t="shared" si="21"/>
        <v>138</v>
      </c>
      <c r="C143" s="54" t="str">
        <f>IF(B143=0,0,IF(calcoli!$C$8="MAXIRATA",IF('sviluppo p. amm.to'!B143=calcoli!$C$11,calcoli!$C$46,IF(B143&gt;calcoli!$C$11,"",calcoli!$C$35)),IF(B143&gt;calcoli!$C$11,"",calcoli!$C$35)))</f>
        <v/>
      </c>
      <c r="D143" s="54" t="str">
        <f>IF(B143=0,0,IF(calcoli!$C$8="MAXIRATA",IF('sviluppo p. amm.to'!B143=calcoli!$C$11,calcoli!$C$46,IF(B143&gt;calcoli!$C$11,"",calcoli!$C$36)),IF(B143&gt;calcoli!$C$11,"",calcoli!$C$36)))</f>
        <v/>
      </c>
      <c r="E143" s="55" t="str">
        <f>IF(C143=0,0,IF(C143="","",D143+MROUND(calcoli!$C$37,0.01)))</f>
        <v/>
      </c>
      <c r="F143" s="54" t="str">
        <f>IF(B143=0,0,IF(B143&gt;calcoli!$C$11,"",C143-G143))</f>
        <v/>
      </c>
      <c r="G143" s="54" t="str">
        <f>IF(B143=0,0,IF(B143&gt;calcoli!$C$11,"",'sviluppo p. amm.to'!J142*calcoli!$C$10/12))</f>
        <v/>
      </c>
      <c r="H143" s="56" t="str">
        <f>IF(B143=0,0,IF(B143&gt;calcoli!$C$11,"",G143+calcoli!$C$36-calcoli!$C$35))</f>
        <v/>
      </c>
      <c r="I143" s="52" t="str">
        <f t="shared" si="18"/>
        <v/>
      </c>
      <c r="J143" s="13" t="str">
        <f t="shared" si="19"/>
        <v/>
      </c>
      <c r="K143" s="55" t="str">
        <f>IF(B143=0,0,IF(B143&gt;calcoli!$C$11,"",$K$3))</f>
        <v/>
      </c>
      <c r="L143" s="29" t="str">
        <f t="shared" si="16"/>
        <v/>
      </c>
      <c r="M143" s="29" t="str">
        <f t="shared" si="17"/>
        <v/>
      </c>
      <c r="N143" s="13"/>
      <c r="O143" s="77"/>
      <c r="P143" s="17" t="str">
        <f>IF(A143&lt;calcoli!$C$11,calcoli!$C$36,IF(AND(calcoli!$C$8="maxirata",'sviluppo p. amm.to'!A143=calcoli!$C$11),calcoli!$C$46,IF('sviluppo p. amm.to'!A143=calcoli!$C$11,calcoli!$C$36,"")))</f>
        <v/>
      </c>
      <c r="Q143" s="59" t="str">
        <f t="shared" si="20"/>
        <v/>
      </c>
      <c r="R143" s="19" t="str">
        <f>IF(E143="","",IF(calcoli!$C$11&gt;18,E143+K143+L143+IF($M$2&lt;$N$2,M143,N143),E143+K143+L143+M143))</f>
        <v/>
      </c>
      <c r="T143" s="88" t="str">
        <f>IF(A143&lt;calcoli!$C$11,calcoli!$C$58,IF(AND(calcoli!$C$8="maxirata",'sviluppo p. amm.to'!A143=calcoli!$C$11),calcoli!$C$46,IF('sviluppo p. amm.to'!A143=calcoli!$C$11,calcoli!$C$58,"")))</f>
        <v/>
      </c>
      <c r="V143" s="67" t="str">
        <f>IF(calcoli!$C$8="MAXIRATA",IF(SIMULATORE!$E$16&gt;='sviluppo p. amm.to'!A143,calcoli!$C$50,""),"")</f>
        <v/>
      </c>
      <c r="W143" s="60" t="str">
        <f>IF(calcoli!$C$8="MAXIRATA",IF(SIMULATORE!$E$16&gt;='sviluppo p. amm.to'!B143,calcoli!$C$50+$K$3+IF(C143="",0,IF($M$2&lt;$N$2,IF(MOD(B143,12)&gt;0,0,1),0)),""),"")</f>
        <v/>
      </c>
      <c r="X143" s="22" t="str">
        <f>IF(calcoli!$C$8="MAXIRATA",IF(SIMULATORE!$E$16&gt;='sviluppo p. amm.to'!A143,calcoli!$C$50+$K$3+IF(C143="",0,IF($M$2&lt;$N$2,IF(MOD(A143,12)&gt;0,0,3),0)),""),"")</f>
        <v/>
      </c>
      <c r="AA143" s="61"/>
      <c r="AB143" s="61"/>
    </row>
    <row r="144" spans="1:28" hidden="1">
      <c r="A144" s="7">
        <v>139</v>
      </c>
      <c r="B144" s="7">
        <f t="shared" si="21"/>
        <v>139</v>
      </c>
      <c r="C144" s="54" t="str">
        <f>IF(B144=0,0,IF(calcoli!$C$8="MAXIRATA",IF('sviluppo p. amm.to'!B144=calcoli!$C$11,calcoli!$C$46,IF(B144&gt;calcoli!$C$11,"",calcoli!$C$35)),IF(B144&gt;calcoli!$C$11,"",calcoli!$C$35)))</f>
        <v/>
      </c>
      <c r="D144" s="54" t="str">
        <f>IF(B144=0,0,IF(calcoli!$C$8="MAXIRATA",IF('sviluppo p. amm.to'!B144=calcoli!$C$11,calcoli!$C$46,IF(B144&gt;calcoli!$C$11,"",calcoli!$C$36)),IF(B144&gt;calcoli!$C$11,"",calcoli!$C$36)))</f>
        <v/>
      </c>
      <c r="E144" s="55" t="str">
        <f>IF(C144=0,0,IF(C144="","",D144+MROUND(calcoli!$C$37,0.01)))</f>
        <v/>
      </c>
      <c r="F144" s="54" t="str">
        <f>IF(B144=0,0,IF(B144&gt;calcoli!$C$11,"",C144-G144))</f>
        <v/>
      </c>
      <c r="G144" s="54" t="str">
        <f>IF(B144=0,0,IF(B144&gt;calcoli!$C$11,"",'sviluppo p. amm.to'!J143*calcoli!$C$10/12))</f>
        <v/>
      </c>
      <c r="H144" s="56" t="str">
        <f>IF(B144=0,0,IF(B144&gt;calcoli!$C$11,"",G144+calcoli!$C$36-calcoli!$C$35))</f>
        <v/>
      </c>
      <c r="I144" s="52" t="str">
        <f t="shared" si="18"/>
        <v/>
      </c>
      <c r="J144" s="13" t="str">
        <f t="shared" si="19"/>
        <v/>
      </c>
      <c r="K144" s="55" t="str">
        <f>IF(B144=0,0,IF(B144&gt;calcoli!$C$11,"",$K$3))</f>
        <v/>
      </c>
      <c r="L144" s="29" t="str">
        <f t="shared" si="16"/>
        <v/>
      </c>
      <c r="M144" s="29" t="str">
        <f t="shared" si="17"/>
        <v/>
      </c>
      <c r="N144" s="13"/>
      <c r="O144" s="77"/>
      <c r="P144" s="17" t="str">
        <f>IF(A144&lt;calcoli!$C$11,calcoli!$C$36,IF(AND(calcoli!$C$8="maxirata",'sviluppo p. amm.to'!A144=calcoli!$C$11),calcoli!$C$46,IF('sviluppo p. amm.to'!A144=calcoli!$C$11,calcoli!$C$36,"")))</f>
        <v/>
      </c>
      <c r="Q144" s="59" t="str">
        <f t="shared" si="20"/>
        <v/>
      </c>
      <c r="R144" s="19" t="str">
        <f>IF(E144="","",IF(calcoli!$C$11&gt;18,E144+K144+L144+IF($M$2&lt;$N$2,M144,N144),E144+K144+L144+M144))</f>
        <v/>
      </c>
      <c r="T144" s="88" t="str">
        <f>IF(A144&lt;calcoli!$C$11,calcoli!$C$58,IF(AND(calcoli!$C$8="maxirata",'sviluppo p. amm.to'!A144=calcoli!$C$11),calcoli!$C$46,IF('sviluppo p. amm.to'!A144=calcoli!$C$11,calcoli!$C$58,"")))</f>
        <v/>
      </c>
      <c r="V144" s="67" t="str">
        <f>IF(calcoli!$C$8="MAXIRATA",IF(SIMULATORE!$E$16&gt;='sviluppo p. amm.to'!A144,calcoli!$C$50,""),"")</f>
        <v/>
      </c>
      <c r="W144" s="60" t="str">
        <f>IF(calcoli!$C$8="MAXIRATA",IF(SIMULATORE!$E$16&gt;='sviluppo p. amm.to'!B144,calcoli!$C$50+$K$3+IF(C144="",0,IF($M$2&lt;$N$2,IF(MOD(B144,12)&gt;0,0,1),0)),""),"")</f>
        <v/>
      </c>
      <c r="X144" s="22" t="str">
        <f>IF(calcoli!$C$8="MAXIRATA",IF(SIMULATORE!$E$16&gt;='sviluppo p. amm.to'!A144,calcoli!$C$50+$K$3+IF(C144="",0,IF($M$2&lt;$N$2,IF(MOD(A144,12)&gt;0,0,3),0)),""),"")</f>
        <v/>
      </c>
      <c r="AA144" s="61"/>
      <c r="AB144" s="61"/>
    </row>
    <row r="145" spans="1:28" hidden="1">
      <c r="A145" s="7">
        <v>140</v>
      </c>
      <c r="B145" s="7">
        <f t="shared" si="21"/>
        <v>140</v>
      </c>
      <c r="C145" s="54" t="str">
        <f>IF(B145=0,0,IF(calcoli!$C$8="MAXIRATA",IF('sviluppo p. amm.to'!B145=calcoli!$C$11,calcoli!$C$46,IF(B145&gt;calcoli!$C$11,"",calcoli!$C$35)),IF(B145&gt;calcoli!$C$11,"",calcoli!$C$35)))</f>
        <v/>
      </c>
      <c r="D145" s="54" t="str">
        <f>IF(B145=0,0,IF(calcoli!$C$8="MAXIRATA",IF('sviluppo p. amm.to'!B145=calcoli!$C$11,calcoli!$C$46,IF(B145&gt;calcoli!$C$11,"",calcoli!$C$36)),IF(B145&gt;calcoli!$C$11,"",calcoli!$C$36)))</f>
        <v/>
      </c>
      <c r="E145" s="55" t="str">
        <f>IF(C145=0,0,IF(C145="","",D145+MROUND(calcoli!$C$37,0.01)))</f>
        <v/>
      </c>
      <c r="F145" s="54" t="str">
        <f>IF(B145=0,0,IF(B145&gt;calcoli!$C$11,"",C145-G145))</f>
        <v/>
      </c>
      <c r="G145" s="54" t="str">
        <f>IF(B145=0,0,IF(B145&gt;calcoli!$C$11,"",'sviluppo p. amm.to'!J144*calcoli!$C$10/12))</f>
        <v/>
      </c>
      <c r="H145" s="56" t="str">
        <f>IF(B145=0,0,IF(B145&gt;calcoli!$C$11,"",G145+calcoli!$C$36-calcoli!$C$35))</f>
        <v/>
      </c>
      <c r="I145" s="52" t="str">
        <f t="shared" si="18"/>
        <v/>
      </c>
      <c r="J145" s="13" t="str">
        <f t="shared" si="19"/>
        <v/>
      </c>
      <c r="K145" s="55" t="str">
        <f>IF(B145=0,0,IF(B145&gt;calcoli!$C$11,"",$K$3))</f>
        <v/>
      </c>
      <c r="L145" s="29" t="str">
        <f t="shared" si="16"/>
        <v/>
      </c>
      <c r="M145" s="29" t="str">
        <f t="shared" si="17"/>
        <v/>
      </c>
      <c r="N145" s="13"/>
      <c r="O145" s="77"/>
      <c r="P145" s="17" t="str">
        <f>IF(A145&lt;calcoli!$C$11,calcoli!$C$36,IF(AND(calcoli!$C$8="maxirata",'sviluppo p. amm.to'!A145=calcoli!$C$11),calcoli!$C$46,IF('sviluppo p. amm.to'!A145=calcoli!$C$11,calcoli!$C$36,"")))</f>
        <v/>
      </c>
      <c r="Q145" s="59" t="str">
        <f t="shared" si="20"/>
        <v/>
      </c>
      <c r="R145" s="19" t="str">
        <f>IF(E145="","",IF(calcoli!$C$11&gt;18,E145+K145+L145+IF($M$2&lt;$N$2,M145,N145),E145+K145+L145+M145))</f>
        <v/>
      </c>
      <c r="T145" s="88" t="str">
        <f>IF(A145&lt;calcoli!$C$11,calcoli!$C$58,IF(AND(calcoli!$C$8="maxirata",'sviluppo p. amm.to'!A145=calcoli!$C$11),calcoli!$C$46,IF('sviluppo p. amm.to'!A145=calcoli!$C$11,calcoli!$C$58,"")))</f>
        <v/>
      </c>
      <c r="V145" s="67" t="str">
        <f>IF(calcoli!$C$8="MAXIRATA",IF(SIMULATORE!$E$16&gt;='sviluppo p. amm.to'!A145,calcoli!$C$50,""),"")</f>
        <v/>
      </c>
      <c r="W145" s="60" t="str">
        <f>IF(calcoli!$C$8="MAXIRATA",IF(SIMULATORE!$E$16&gt;='sviluppo p. amm.to'!B145,calcoli!$C$50+$K$3+IF(C145="",0,IF($M$2&lt;$N$2,IF(MOD(B145,12)&gt;0,0,1),0)),""),"")</f>
        <v/>
      </c>
      <c r="X145" s="22" t="str">
        <f>IF(calcoli!$C$8="MAXIRATA",IF(SIMULATORE!$E$16&gt;='sviluppo p. amm.to'!A145,calcoli!$C$50+$K$3+IF(C145="",0,IF($M$2&lt;$N$2,IF(MOD(A145,12)&gt;0,0,3),0)),""),"")</f>
        <v/>
      </c>
      <c r="AA145" s="61"/>
      <c r="AB145" s="61"/>
    </row>
    <row r="146" spans="1:28" hidden="1">
      <c r="A146" s="7">
        <v>141</v>
      </c>
      <c r="B146" s="7">
        <f t="shared" si="21"/>
        <v>141</v>
      </c>
      <c r="C146" s="54" t="str">
        <f>IF(B146=0,0,IF(calcoli!$C$8="MAXIRATA",IF('sviluppo p. amm.to'!B146=calcoli!$C$11,calcoli!$C$46,IF(B146&gt;calcoli!$C$11,"",calcoli!$C$35)),IF(B146&gt;calcoli!$C$11,"",calcoli!$C$35)))</f>
        <v/>
      </c>
      <c r="D146" s="54" t="str">
        <f>IF(B146=0,0,IF(calcoli!$C$8="MAXIRATA",IF('sviluppo p. amm.to'!B146=calcoli!$C$11,calcoli!$C$46,IF(B146&gt;calcoli!$C$11,"",calcoli!$C$36)),IF(B146&gt;calcoli!$C$11,"",calcoli!$C$36)))</f>
        <v/>
      </c>
      <c r="E146" s="55" t="str">
        <f>IF(C146=0,0,IF(C146="","",D146+MROUND(calcoli!$C$37,0.01)))</f>
        <v/>
      </c>
      <c r="F146" s="54" t="str">
        <f>IF(B146=0,0,IF(B146&gt;calcoli!$C$11,"",C146-G146))</f>
        <v/>
      </c>
      <c r="G146" s="54" t="str">
        <f>IF(B146=0,0,IF(B146&gt;calcoli!$C$11,"",'sviluppo p. amm.to'!J145*calcoli!$C$10/12))</f>
        <v/>
      </c>
      <c r="H146" s="56" t="str">
        <f>IF(B146=0,0,IF(B146&gt;calcoli!$C$11,"",G146+calcoli!$C$36-calcoli!$C$35))</f>
        <v/>
      </c>
      <c r="I146" s="52" t="str">
        <f t="shared" si="18"/>
        <v/>
      </c>
      <c r="J146" s="13" t="str">
        <f t="shared" si="19"/>
        <v/>
      </c>
      <c r="K146" s="55" t="str">
        <f>IF(B146=0,0,IF(B146&gt;calcoli!$C$11,"",$K$3))</f>
        <v/>
      </c>
      <c r="L146" s="29" t="str">
        <f t="shared" si="16"/>
        <v/>
      </c>
      <c r="M146" s="29" t="str">
        <f t="shared" si="17"/>
        <v/>
      </c>
      <c r="N146" s="13"/>
      <c r="O146" s="77"/>
      <c r="P146" s="17" t="str">
        <f>IF(A146&lt;calcoli!$C$11,calcoli!$C$36,IF(AND(calcoli!$C$8="maxirata",'sviluppo p. amm.to'!A146=calcoli!$C$11),calcoli!$C$46,IF('sviluppo p. amm.to'!A146=calcoli!$C$11,calcoli!$C$36,"")))</f>
        <v/>
      </c>
      <c r="Q146" s="59" t="str">
        <f t="shared" si="20"/>
        <v/>
      </c>
      <c r="R146" s="19" t="str">
        <f>IF(E146="","",IF(calcoli!$C$11&gt;18,E146+K146+L146+IF($M$2&lt;$N$2,M146,N146),E146+K146+L146+M146))</f>
        <v/>
      </c>
      <c r="T146" s="88" t="str">
        <f>IF(A146&lt;calcoli!$C$11,calcoli!$C$58,IF(AND(calcoli!$C$8="maxirata",'sviluppo p. amm.to'!A146=calcoli!$C$11),calcoli!$C$46,IF('sviluppo p. amm.to'!A146=calcoli!$C$11,calcoli!$C$58,"")))</f>
        <v/>
      </c>
      <c r="V146" s="67" t="str">
        <f>IF(calcoli!$C$8="MAXIRATA",IF(SIMULATORE!$E$16&gt;='sviluppo p. amm.to'!A146,calcoli!$C$50,""),"")</f>
        <v/>
      </c>
      <c r="W146" s="60" t="str">
        <f>IF(calcoli!$C$8="MAXIRATA",IF(SIMULATORE!$E$16&gt;='sviluppo p. amm.to'!B146,calcoli!$C$50+$K$3+IF(C146="",0,IF($M$2&lt;$N$2,IF(MOD(B146,12)&gt;0,0,1),0)),""),"")</f>
        <v/>
      </c>
      <c r="X146" s="22" t="str">
        <f>IF(calcoli!$C$8="MAXIRATA",IF(SIMULATORE!$E$16&gt;='sviluppo p. amm.to'!A146,calcoli!$C$50+$K$3+IF(C146="",0,IF($M$2&lt;$N$2,IF(MOD(A146,12)&gt;0,0,3),0)),""),"")</f>
        <v/>
      </c>
      <c r="AA146" s="61"/>
      <c r="AB146" s="61"/>
    </row>
    <row r="147" spans="1:28" hidden="1">
      <c r="A147" s="7">
        <v>142</v>
      </c>
      <c r="B147" s="7">
        <f t="shared" si="21"/>
        <v>142</v>
      </c>
      <c r="C147" s="54" t="str">
        <f>IF(B147=0,0,IF(calcoli!$C$8="MAXIRATA",IF('sviluppo p. amm.to'!B147=calcoli!$C$11,calcoli!$C$46,IF(B147&gt;calcoli!$C$11,"",calcoli!$C$35)),IF(B147&gt;calcoli!$C$11,"",calcoli!$C$35)))</f>
        <v/>
      </c>
      <c r="D147" s="54" t="str">
        <f>IF(B147=0,0,IF(calcoli!$C$8="MAXIRATA",IF('sviluppo p. amm.to'!B147=calcoli!$C$11,calcoli!$C$46,IF(B147&gt;calcoli!$C$11,"",calcoli!$C$36)),IF(B147&gt;calcoli!$C$11,"",calcoli!$C$36)))</f>
        <v/>
      </c>
      <c r="E147" s="55" t="str">
        <f>IF(C147=0,0,IF(C147="","",D147+MROUND(calcoli!$C$37,0.01)))</f>
        <v/>
      </c>
      <c r="F147" s="54" t="str">
        <f>IF(B147=0,0,IF(B147&gt;calcoli!$C$11,"",C147-G147))</f>
        <v/>
      </c>
      <c r="G147" s="54" t="str">
        <f>IF(B147=0,0,IF(B147&gt;calcoli!$C$11,"",'sviluppo p. amm.to'!J146*calcoli!$C$10/12))</f>
        <v/>
      </c>
      <c r="H147" s="56" t="str">
        <f>IF(B147=0,0,IF(B147&gt;calcoli!$C$11,"",G147+calcoli!$C$36-calcoli!$C$35))</f>
        <v/>
      </c>
      <c r="I147" s="52" t="str">
        <f t="shared" si="18"/>
        <v/>
      </c>
      <c r="J147" s="13" t="str">
        <f t="shared" si="19"/>
        <v/>
      </c>
      <c r="K147" s="55" t="str">
        <f>IF(B147=0,0,IF(B147&gt;calcoli!$C$11,"",$K$3))</f>
        <v/>
      </c>
      <c r="L147" s="29" t="str">
        <f t="shared" si="16"/>
        <v/>
      </c>
      <c r="M147" s="29" t="str">
        <f t="shared" si="17"/>
        <v/>
      </c>
      <c r="N147" s="13"/>
      <c r="O147" s="77"/>
      <c r="P147" s="17" t="str">
        <f>IF(A147&lt;calcoli!$C$11,calcoli!$C$36,IF(AND(calcoli!$C$8="maxirata",'sviluppo p. amm.to'!A147=calcoli!$C$11),calcoli!$C$46,IF('sviluppo p. amm.to'!A147=calcoli!$C$11,calcoli!$C$36,"")))</f>
        <v/>
      </c>
      <c r="Q147" s="59" t="str">
        <f t="shared" si="20"/>
        <v/>
      </c>
      <c r="R147" s="19" t="str">
        <f>IF(E147="","",IF(calcoli!$C$11&gt;18,E147+K147+L147+IF($M$2&lt;$N$2,M147,N147),E147+K147+L147+M147))</f>
        <v/>
      </c>
      <c r="T147" s="88" t="str">
        <f>IF(A147&lt;calcoli!$C$11,calcoli!$C$58,IF(AND(calcoli!$C$8="maxirata",'sviluppo p. amm.to'!A147=calcoli!$C$11),calcoli!$C$46,IF('sviluppo p. amm.to'!A147=calcoli!$C$11,calcoli!$C$58,"")))</f>
        <v/>
      </c>
      <c r="V147" s="67" t="str">
        <f>IF(calcoli!$C$8="MAXIRATA",IF(SIMULATORE!$E$16&gt;='sviluppo p. amm.to'!A147,calcoli!$C$50,""),"")</f>
        <v/>
      </c>
      <c r="W147" s="60" t="str">
        <f>IF(calcoli!$C$8="MAXIRATA",IF(SIMULATORE!$E$16&gt;='sviluppo p. amm.to'!B147,calcoli!$C$50+$K$3+IF(C147="",0,IF($M$2&lt;$N$2,IF(MOD(B147,12)&gt;0,0,1),0)),""),"")</f>
        <v/>
      </c>
      <c r="X147" s="22" t="str">
        <f>IF(calcoli!$C$8="MAXIRATA",IF(SIMULATORE!$E$16&gt;='sviluppo p. amm.to'!A147,calcoli!$C$50+$K$3+IF(C147="",0,IF($M$2&lt;$N$2,IF(MOD(A147,12)&gt;0,0,3),0)),""),"")</f>
        <v/>
      </c>
      <c r="AA147" s="61"/>
      <c r="AB147" s="61"/>
    </row>
    <row r="148" spans="1:28" hidden="1">
      <c r="A148" s="7">
        <v>143</v>
      </c>
      <c r="B148" s="7">
        <f t="shared" si="21"/>
        <v>143</v>
      </c>
      <c r="C148" s="54" t="str">
        <f>IF(B148=0,0,IF(calcoli!$C$8="MAXIRATA",IF('sviluppo p. amm.to'!B148=calcoli!$C$11,calcoli!$C$46,IF(B148&gt;calcoli!$C$11,"",calcoli!$C$35)),IF(B148&gt;calcoli!$C$11,"",calcoli!$C$35)))</f>
        <v/>
      </c>
      <c r="D148" s="54" t="str">
        <f>IF(B148=0,0,IF(calcoli!$C$8="MAXIRATA",IF('sviluppo p. amm.to'!B148=calcoli!$C$11,calcoli!$C$46,IF(B148&gt;calcoli!$C$11,"",calcoli!$C$36)),IF(B148&gt;calcoli!$C$11,"",calcoli!$C$36)))</f>
        <v/>
      </c>
      <c r="E148" s="55" t="str">
        <f>IF(C148=0,0,IF(C148="","",D148+MROUND(calcoli!$C$37,0.01)))</f>
        <v/>
      </c>
      <c r="F148" s="54" t="str">
        <f>IF(B148=0,0,IF(B148&gt;calcoli!$C$11,"",C148-G148))</f>
        <v/>
      </c>
      <c r="G148" s="54" t="str">
        <f>IF(B148=0,0,IF(B148&gt;calcoli!$C$11,"",'sviluppo p. amm.to'!J147*calcoli!$C$10/12))</f>
        <v/>
      </c>
      <c r="H148" s="56" t="str">
        <f>IF(B148=0,0,IF(B148&gt;calcoli!$C$11,"",G148+calcoli!$C$36-calcoli!$C$35))</f>
        <v/>
      </c>
      <c r="I148" s="52" t="str">
        <f t="shared" si="18"/>
        <v/>
      </c>
      <c r="J148" s="13" t="str">
        <f t="shared" si="19"/>
        <v/>
      </c>
      <c r="K148" s="55" t="str">
        <f>IF(B148=0,0,IF(B148&gt;calcoli!$C$11,"",$K$3))</f>
        <v/>
      </c>
      <c r="L148" s="29" t="str">
        <f t="shared" si="16"/>
        <v/>
      </c>
      <c r="M148" s="29" t="str">
        <f t="shared" si="17"/>
        <v/>
      </c>
      <c r="N148" s="13"/>
      <c r="O148" s="77"/>
      <c r="P148" s="17" t="str">
        <f>IF(A148&lt;calcoli!$C$11,calcoli!$C$36,IF(AND(calcoli!$C$8="maxirata",'sviluppo p. amm.to'!A148=calcoli!$C$11),calcoli!$C$46,IF('sviluppo p. amm.to'!A148=calcoli!$C$11,calcoli!$C$36,"")))</f>
        <v/>
      </c>
      <c r="Q148" s="59" t="str">
        <f t="shared" si="20"/>
        <v/>
      </c>
      <c r="R148" s="19" t="str">
        <f>IF(E148="","",IF(calcoli!$C$11&gt;18,E148+K148+L148+IF($M$2&lt;$N$2,M148,N148),E148+K148+L148+M148))</f>
        <v/>
      </c>
      <c r="T148" s="88" t="str">
        <f>IF(A148&lt;calcoli!$C$11,calcoli!$C$58,IF(AND(calcoli!$C$8="maxirata",'sviluppo p. amm.to'!A148=calcoli!$C$11),calcoli!$C$46,IF('sviluppo p. amm.to'!A148=calcoli!$C$11,calcoli!$C$58,"")))</f>
        <v/>
      </c>
      <c r="V148" s="67" t="str">
        <f>IF(calcoli!$C$8="MAXIRATA",IF(SIMULATORE!$E$16&gt;='sviluppo p. amm.to'!A148,calcoli!$C$50,""),"")</f>
        <v/>
      </c>
      <c r="W148" s="60" t="str">
        <f>IF(calcoli!$C$8="MAXIRATA",IF(SIMULATORE!$E$16&gt;='sviluppo p. amm.to'!B148,calcoli!$C$50+$K$3+IF(C148="",0,IF($M$2&lt;$N$2,IF(MOD(B148,12)&gt;0,0,1),0)),""),"")</f>
        <v/>
      </c>
      <c r="X148" s="22" t="str">
        <f>IF(calcoli!$C$8="MAXIRATA",IF(SIMULATORE!$E$16&gt;='sviluppo p. amm.to'!A148,calcoli!$C$50+$K$3+IF(C148="",0,IF($M$2&lt;$N$2,IF(MOD(A148,12)&gt;0,0,3),0)),""),"")</f>
        <v/>
      </c>
      <c r="AA148" s="61"/>
      <c r="AB148" s="61"/>
    </row>
    <row r="149" spans="1:28" hidden="1">
      <c r="A149" s="7">
        <v>144</v>
      </c>
      <c r="B149" s="7">
        <f t="shared" si="21"/>
        <v>144</v>
      </c>
      <c r="C149" s="54" t="str">
        <f>IF(B149=0,0,IF(calcoli!$C$8="MAXIRATA",IF('sviluppo p. amm.to'!B149=calcoli!$C$11,calcoli!$C$46,IF(B149&gt;calcoli!$C$11,"",calcoli!$C$35)),IF(B149&gt;calcoli!$C$11,"",calcoli!$C$35)))</f>
        <v/>
      </c>
      <c r="D149" s="54" t="str">
        <f>IF(B149=0,0,IF(calcoli!$C$8="MAXIRATA",IF('sviluppo p. amm.to'!B149=calcoli!$C$11,calcoli!$C$46,IF(B149&gt;calcoli!$C$11,"",calcoli!$C$36)),IF(B149&gt;calcoli!$C$11,"",calcoli!$C$36)))</f>
        <v/>
      </c>
      <c r="E149" s="55" t="str">
        <f>IF(C149=0,0,IF(C149="","",D149+MROUND(calcoli!$C$37,0.01)))</f>
        <v/>
      </c>
      <c r="F149" s="54" t="str">
        <f>IF(B149=0,0,IF(B149&gt;calcoli!$C$11,"",C149-G149))</f>
        <v/>
      </c>
      <c r="G149" s="54" t="str">
        <f>IF(B149=0,0,IF(B149&gt;calcoli!$C$11,"",'sviluppo p. amm.to'!J148*calcoli!$C$10/12))</f>
        <v/>
      </c>
      <c r="H149" s="56" t="str">
        <f>IF(B149=0,0,IF(B149&gt;calcoli!$C$11,"",G149+calcoli!$C$36-calcoli!$C$35))</f>
        <v/>
      </c>
      <c r="I149" s="52" t="str">
        <f t="shared" si="18"/>
        <v/>
      </c>
      <c r="J149" s="13" t="str">
        <f t="shared" si="19"/>
        <v/>
      </c>
      <c r="K149" s="55" t="str">
        <f>IF(B149=0,0,IF(B149&gt;calcoli!$C$11,"",$K$3))</f>
        <v/>
      </c>
      <c r="L149" s="29" t="str">
        <f t="shared" si="16"/>
        <v/>
      </c>
      <c r="M149" s="29" t="str">
        <f t="shared" si="17"/>
        <v/>
      </c>
      <c r="N149" s="13"/>
      <c r="O149" s="77"/>
      <c r="P149" s="17" t="str">
        <f>IF(A149&lt;calcoli!$C$11,calcoli!$C$36,IF(AND(calcoli!$C$8="maxirata",'sviluppo p. amm.to'!A149=calcoli!$C$11),calcoli!$C$46,IF('sviluppo p. amm.to'!A149=calcoli!$C$11,calcoli!$C$36,"")))</f>
        <v/>
      </c>
      <c r="Q149" s="59" t="str">
        <f t="shared" si="20"/>
        <v/>
      </c>
      <c r="R149" s="19" t="str">
        <f>IF(E149="","",IF(calcoli!$C$11&gt;18,E149+K149+L149+IF($M$2&lt;$N$2,M149,N149),E149+K149+L149+M149))</f>
        <v/>
      </c>
      <c r="T149" s="88" t="str">
        <f>IF(A149&lt;calcoli!$C$11,calcoli!$C$58,IF(AND(calcoli!$C$8="maxirata",'sviluppo p. amm.to'!A149=calcoli!$C$11),calcoli!$C$46,IF('sviluppo p. amm.to'!A149=calcoli!$C$11,calcoli!$C$58,"")))</f>
        <v/>
      </c>
      <c r="V149" s="67" t="str">
        <f>IF(calcoli!$C$8="MAXIRATA",IF(SIMULATORE!$E$16&gt;='sviluppo p. amm.to'!A149,calcoli!$C$50,""),"")</f>
        <v/>
      </c>
      <c r="W149" s="60" t="str">
        <f>IF(calcoli!$C$8="MAXIRATA",IF(SIMULATORE!$E$16&gt;='sviluppo p. amm.to'!B149,calcoli!$C$50+$K$3+IF(C149="",0,IF($M$2&lt;$N$2,IF(MOD(B149,12)&gt;0,0,1),0)),""),"")</f>
        <v/>
      </c>
      <c r="X149" s="22" t="str">
        <f>IF(calcoli!$C$8="MAXIRATA",IF(SIMULATORE!$E$16&gt;='sviluppo p. amm.to'!A149,calcoli!$C$50+$K$3+IF(C149="",0,IF($M$2&lt;$N$2,IF(MOD(A149,12)&gt;0,0,3),0)),""),"")</f>
        <v/>
      </c>
      <c r="AA149" s="61"/>
      <c r="AB149" s="61"/>
    </row>
    <row r="150" spans="1:28" hidden="1">
      <c r="A150" s="7">
        <v>145</v>
      </c>
      <c r="B150" s="7">
        <f t="shared" si="21"/>
        <v>145</v>
      </c>
      <c r="C150" s="54" t="str">
        <f>IF(B150=0,0,IF(calcoli!$C$8="MAXIRATA",IF('sviluppo p. amm.to'!B150=calcoli!$C$11,calcoli!$C$46,IF(B150&gt;calcoli!$C$11,"",calcoli!$C$35)),IF(B150&gt;calcoli!$C$11,"",calcoli!$C$35)))</f>
        <v/>
      </c>
      <c r="D150" s="54" t="str">
        <f>IF(B150=0,0,IF(calcoli!$C$8="MAXIRATA",IF('sviluppo p. amm.to'!B150=calcoli!$C$11,calcoli!$C$46,IF(B150&gt;calcoli!$C$11,"",calcoli!$C$36)),IF(B150&gt;calcoli!$C$11,"",calcoli!$C$36)))</f>
        <v/>
      </c>
      <c r="E150" s="55" t="str">
        <f>IF(C150=0,0,IF(C150="","",D150+MROUND(calcoli!$C$37,0.01)))</f>
        <v/>
      </c>
      <c r="F150" s="54" t="str">
        <f>IF(B150=0,0,IF(B150&gt;calcoli!$C$11,"",C150-G150))</f>
        <v/>
      </c>
      <c r="G150" s="54" t="str">
        <f>IF(B150=0,0,IF(B150&gt;calcoli!$C$11,"",'sviluppo p. amm.to'!J149*calcoli!$C$10/12))</f>
        <v/>
      </c>
      <c r="H150" s="56" t="str">
        <f>IF(B150=0,0,IF(B150&gt;calcoli!$C$11,"",G150+calcoli!$C$36-calcoli!$C$35))</f>
        <v/>
      </c>
      <c r="I150" s="52" t="str">
        <f t="shared" si="18"/>
        <v/>
      </c>
      <c r="J150" s="13" t="str">
        <f t="shared" si="19"/>
        <v/>
      </c>
      <c r="K150" s="55" t="str">
        <f>IF(B150=0,0,IF(B150&gt;calcoli!$C$11,"",$K$3))</f>
        <v/>
      </c>
      <c r="L150" s="29" t="str">
        <f t="shared" si="16"/>
        <v/>
      </c>
      <c r="M150" s="29" t="str">
        <f t="shared" si="17"/>
        <v/>
      </c>
      <c r="N150" s="13"/>
      <c r="O150" s="77"/>
      <c r="P150" s="17" t="str">
        <f>IF(A150&lt;calcoli!$C$11,calcoli!$C$36,IF(AND(calcoli!$C$8="maxirata",'sviluppo p. amm.to'!A150=calcoli!$C$11),calcoli!$C$46,IF('sviluppo p. amm.to'!A150=calcoli!$C$11,calcoli!$C$36,"")))</f>
        <v/>
      </c>
      <c r="Q150" s="59" t="str">
        <f t="shared" si="20"/>
        <v/>
      </c>
      <c r="R150" s="19" t="str">
        <f>IF(E150="","",IF(calcoli!$C$11&gt;18,E150+K150+L150+IF($M$2&lt;$N$2,M150,N150),E150+K150+L150+M150))</f>
        <v/>
      </c>
      <c r="T150" s="88" t="str">
        <f>IF(A150&lt;calcoli!$C$11,calcoli!$C$58,IF(AND(calcoli!$C$8="maxirata",'sviluppo p. amm.to'!A150=calcoli!$C$11),calcoli!$C$46,IF('sviluppo p. amm.to'!A150=calcoli!$C$11,calcoli!$C$58,"")))</f>
        <v/>
      </c>
      <c r="V150" s="67" t="str">
        <f>IF(calcoli!$C$8="MAXIRATA",IF(SIMULATORE!$E$16&gt;='sviluppo p. amm.to'!A150,calcoli!$C$50,""),"")</f>
        <v/>
      </c>
      <c r="W150" s="60" t="str">
        <f>IF(calcoli!$C$8="MAXIRATA",IF(SIMULATORE!$E$16&gt;='sviluppo p. amm.to'!B150,calcoli!$C$50+$K$3+IF(C150="",0,IF($M$2&lt;$N$2,IF(MOD(B150,12)&gt;0,0,1),0)),""),"")</f>
        <v/>
      </c>
      <c r="X150" s="22" t="str">
        <f>IF(calcoli!$C$8="MAXIRATA",IF(SIMULATORE!$E$16&gt;='sviluppo p. amm.to'!A150,calcoli!$C$50+$K$3+IF(C150="",0,IF($M$2&lt;$N$2,IF(MOD(A150,12)&gt;0,0,3),0)),""),"")</f>
        <v/>
      </c>
      <c r="AA150" s="61"/>
      <c r="AB150" s="61"/>
    </row>
    <row r="151" spans="1:28" hidden="1">
      <c r="A151" s="7">
        <v>146</v>
      </c>
      <c r="B151" s="7">
        <f t="shared" si="21"/>
        <v>146</v>
      </c>
      <c r="C151" s="54" t="str">
        <f>IF(B151=0,0,IF(calcoli!$C$8="MAXIRATA",IF('sviluppo p. amm.to'!B151=calcoli!$C$11,calcoli!$C$46,IF(B151&gt;calcoli!$C$11,"",calcoli!$C$35)),IF(B151&gt;calcoli!$C$11,"",calcoli!$C$35)))</f>
        <v/>
      </c>
      <c r="D151" s="54" t="str">
        <f>IF(B151=0,0,IF(calcoli!$C$8="MAXIRATA",IF('sviluppo p. amm.to'!B151=calcoli!$C$11,calcoli!$C$46,IF(B151&gt;calcoli!$C$11,"",calcoli!$C$36)),IF(B151&gt;calcoli!$C$11,"",calcoli!$C$36)))</f>
        <v/>
      </c>
      <c r="E151" s="55" t="str">
        <f>IF(C151=0,0,IF(C151="","",D151+MROUND(calcoli!$C$37,0.01)))</f>
        <v/>
      </c>
      <c r="F151" s="54" t="str">
        <f>IF(B151=0,0,IF(B151&gt;calcoli!$C$11,"",C151-G151))</f>
        <v/>
      </c>
      <c r="G151" s="54" t="str">
        <f>IF(B151=0,0,IF(B151&gt;calcoli!$C$11,"",'sviluppo p. amm.to'!J150*calcoli!$C$10/12))</f>
        <v/>
      </c>
      <c r="H151" s="56" t="str">
        <f>IF(B151=0,0,IF(B151&gt;calcoli!$C$11,"",G151+calcoli!$C$36-calcoli!$C$35))</f>
        <v/>
      </c>
      <c r="I151" s="52" t="str">
        <f t="shared" si="18"/>
        <v/>
      </c>
      <c r="J151" s="13" t="str">
        <f t="shared" si="19"/>
        <v/>
      </c>
      <c r="K151" s="55" t="str">
        <f>IF(B151=0,0,IF(B151&gt;calcoli!$C$11,"",$K$3))</f>
        <v/>
      </c>
      <c r="L151" s="29" t="str">
        <f t="shared" si="16"/>
        <v/>
      </c>
      <c r="M151" s="29" t="str">
        <f t="shared" si="17"/>
        <v/>
      </c>
      <c r="N151" s="13"/>
      <c r="O151" s="77"/>
      <c r="P151" s="17" t="str">
        <f>IF(A151&lt;calcoli!$C$11,calcoli!$C$36,IF(AND(calcoli!$C$8="maxirata",'sviluppo p. amm.to'!A151=calcoli!$C$11),calcoli!$C$46,IF('sviluppo p. amm.to'!A151=calcoli!$C$11,calcoli!$C$36,"")))</f>
        <v/>
      </c>
      <c r="Q151" s="59" t="str">
        <f t="shared" si="20"/>
        <v/>
      </c>
      <c r="R151" s="19" t="str">
        <f>IF(E151="","",IF(calcoli!$C$11&gt;18,E151+K151+L151+IF($M$2&lt;$N$2,M151,N151),E151+K151+L151+M151))</f>
        <v/>
      </c>
      <c r="T151" s="88" t="str">
        <f>IF(A151&lt;calcoli!$C$11,calcoli!$C$58,IF(AND(calcoli!$C$8="maxirata",'sviluppo p. amm.to'!A151=calcoli!$C$11),calcoli!$C$46,IF('sviluppo p. amm.to'!A151=calcoli!$C$11,calcoli!$C$58,"")))</f>
        <v/>
      </c>
      <c r="V151" s="67" t="str">
        <f>IF(calcoli!$C$8="MAXIRATA",IF(SIMULATORE!$E$16&gt;='sviluppo p. amm.to'!A151,calcoli!$C$50,""),"")</f>
        <v/>
      </c>
      <c r="W151" s="60" t="str">
        <f>IF(calcoli!$C$8="MAXIRATA",IF(SIMULATORE!$E$16&gt;='sviluppo p. amm.to'!B151,calcoli!$C$50+$K$3+IF(C151="",0,IF($M$2&lt;$N$2,IF(MOD(B151,12)&gt;0,0,1),0)),""),"")</f>
        <v/>
      </c>
      <c r="X151" s="22" t="str">
        <f>IF(calcoli!$C$8="MAXIRATA",IF(SIMULATORE!$E$16&gt;='sviluppo p. amm.to'!A151,calcoli!$C$50+$K$3+IF(C151="",0,IF($M$2&lt;$N$2,IF(MOD(A151,12)&gt;0,0,3),0)),""),"")</f>
        <v/>
      </c>
      <c r="AA151" s="61"/>
      <c r="AB151" s="61"/>
    </row>
    <row r="152" spans="1:28" hidden="1">
      <c r="A152" s="7">
        <v>147</v>
      </c>
      <c r="B152" s="7">
        <f t="shared" si="21"/>
        <v>147</v>
      </c>
      <c r="C152" s="54" t="str">
        <f>IF(B152=0,0,IF(calcoli!$C$8="MAXIRATA",IF('sviluppo p. amm.to'!B152=calcoli!$C$11,calcoli!$C$46,IF(B152&gt;calcoli!$C$11,"",calcoli!$C$35)),IF(B152&gt;calcoli!$C$11,"",calcoli!$C$35)))</f>
        <v/>
      </c>
      <c r="D152" s="54" t="str">
        <f>IF(B152=0,0,IF(calcoli!$C$8="MAXIRATA",IF('sviluppo p. amm.to'!B152=calcoli!$C$11,calcoli!$C$46,IF(B152&gt;calcoli!$C$11,"",calcoli!$C$36)),IF(B152&gt;calcoli!$C$11,"",calcoli!$C$36)))</f>
        <v/>
      </c>
      <c r="E152" s="55" t="str">
        <f>IF(C152=0,0,IF(C152="","",D152+MROUND(calcoli!$C$37,0.01)))</f>
        <v/>
      </c>
      <c r="F152" s="54" t="str">
        <f>IF(B152=0,0,IF(B152&gt;calcoli!$C$11,"",C152-G152))</f>
        <v/>
      </c>
      <c r="G152" s="54" t="str">
        <f>IF(B152=0,0,IF(B152&gt;calcoli!$C$11,"",'sviluppo p. amm.to'!J151*calcoli!$C$10/12))</f>
        <v/>
      </c>
      <c r="H152" s="56" t="str">
        <f>IF(B152=0,0,IF(B152&gt;calcoli!$C$11,"",G152+calcoli!$C$36-calcoli!$C$35))</f>
        <v/>
      </c>
      <c r="I152" s="52" t="str">
        <f t="shared" si="18"/>
        <v/>
      </c>
      <c r="J152" s="13" t="str">
        <f t="shared" si="19"/>
        <v/>
      </c>
      <c r="K152" s="55" t="str">
        <f>IF(B152=0,0,IF(B152&gt;calcoli!$C$11,"",$K$3))</f>
        <v/>
      </c>
      <c r="L152" s="29" t="str">
        <f t="shared" si="16"/>
        <v/>
      </c>
      <c r="M152" s="29" t="str">
        <f t="shared" si="17"/>
        <v/>
      </c>
      <c r="N152" s="13"/>
      <c r="O152" s="77"/>
      <c r="P152" s="17" t="str">
        <f>IF(A152&lt;calcoli!$C$11,calcoli!$C$36,IF(AND(calcoli!$C$8="maxirata",'sviluppo p. amm.to'!A152=calcoli!$C$11),calcoli!$C$46,IF('sviluppo p. amm.to'!A152=calcoli!$C$11,calcoli!$C$36,"")))</f>
        <v/>
      </c>
      <c r="Q152" s="59" t="str">
        <f t="shared" si="20"/>
        <v/>
      </c>
      <c r="R152" s="19" t="str">
        <f>IF(E152="","",IF(calcoli!$C$11&gt;18,E152+K152+L152+IF($M$2&lt;$N$2,M152,N152),E152+K152+L152+M152))</f>
        <v/>
      </c>
      <c r="T152" s="88" t="str">
        <f>IF(A152&lt;calcoli!$C$11,calcoli!$C$58,IF(AND(calcoli!$C$8="maxirata",'sviluppo p. amm.to'!A152=calcoli!$C$11),calcoli!$C$46,IF('sviluppo p. amm.to'!A152=calcoli!$C$11,calcoli!$C$58,"")))</f>
        <v/>
      </c>
      <c r="V152" s="67" t="str">
        <f>IF(calcoli!$C$8="MAXIRATA",IF(SIMULATORE!$E$16&gt;='sviluppo p. amm.to'!A152,calcoli!$C$50,""),"")</f>
        <v/>
      </c>
      <c r="W152" s="60" t="str">
        <f>IF(calcoli!$C$8="MAXIRATA",IF(SIMULATORE!$E$16&gt;='sviluppo p. amm.to'!B152,calcoli!$C$50+$K$3+IF(C152="",0,IF($M$2&lt;$N$2,IF(MOD(B152,12)&gt;0,0,1),0)),""),"")</f>
        <v/>
      </c>
      <c r="X152" s="22" t="str">
        <f>IF(calcoli!$C$8="MAXIRATA",IF(SIMULATORE!$E$16&gt;='sviluppo p. amm.to'!A152,calcoli!$C$50+$K$3+IF(C152="",0,IF($M$2&lt;$N$2,IF(MOD(A152,12)&gt;0,0,3),0)),""),"")</f>
        <v/>
      </c>
      <c r="AA152" s="61"/>
      <c r="AB152" s="61"/>
    </row>
    <row r="153" spans="1:28" hidden="1">
      <c r="S153" s="63"/>
      <c r="U153" s="63"/>
      <c r="X153" s="7"/>
      <c r="Y153" s="63"/>
    </row>
    <row r="154" spans="1:28">
      <c r="X154" s="53"/>
    </row>
    <row r="155" spans="1:28">
      <c r="X155" s="53"/>
    </row>
    <row r="156" spans="1:28">
      <c r="X156" s="53"/>
    </row>
    <row r="157" spans="1:28">
      <c r="X157" s="53"/>
    </row>
    <row r="158" spans="1:28">
      <c r="X158" s="53"/>
    </row>
    <row r="159" spans="1:28">
      <c r="X159" s="53"/>
    </row>
    <row r="160" spans="1:28">
      <c r="X160" s="53"/>
    </row>
  </sheetData>
  <sheetProtection algorithmName="SHA-512" hashValue="cDYcc1jkogJisP5Q10zT5iGcPmm5CJ86nHw+pV9zdKuM2IJxkYIUftOVxbSw2HpCeFhbn8ucqz8l6tl1JG+dkQ==" saltValue="x9LwRKjgS3mO3Q1/hpHjiA==" spinCount="100000" sheet="1" objects="1" scenarios="1"/>
  <mergeCells count="1">
    <mergeCell ref="M4:N4"/>
  </mergeCells>
  <pageMargins left="0.7" right="0.7" top="0.75" bottom="0.75" header="0.3" footer="0.3"/>
  <pageSetup paperSize="9" orientation="portrait" r:id="rId1"/>
  <headerFooter>
    <oddFooter>&amp;C&amp;1#&amp;"Calibri"&amp;10&amp;K000000 For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k 1 O W n z K J h a m A A A A 9 w A A A B I A H A B D b 2 5 m a W c v U G F j a 2 F n Z S 5 4 b W w g o h g A K K A U A A A A A A A A A A A A A A A A A A A A A A A A A A A A h Y 8 x D o I w G I W v Q r r T l m q M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C 0 w m 1 O G K Z C J Q q b N 1 2 D j 4 G f 7 A 2 H V 1 6 7 v F N c u X O + B T B H I + w R / A F B L A w Q U A A I A C A C G T U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1 O W i i K R 7 g O A A A A E Q A A A B M A H A B G b 3 J t d W x h c y 9 T Z W N 0 a W 9 u M S 5 t I K I Y A C i g F A A A A A A A A A A A A A A A A A A A A A A A A A A A A C t O T S 7 J z M 9 T C I b Q h t Y A U E s B A i 0 A F A A C A A g A h k 1 O W n z K J h a m A A A A 9 w A A A B I A A A A A A A A A A A A A A A A A A A A A A E N v b m Z p Z y 9 Q Y W N r Y W d l L n h t b F B L A Q I t A B Q A A g A I A I Z N T l o P y u m r p A A A A O k A A A A T A A A A A A A A A A A A A A A A A P I A A A B b Q 2 9 u d G V u d F 9 U e X B l c 1 0 u e G 1 s U E s B A i 0 A F A A C A A g A h k 1 O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x K 0 K w D C e 5 D p R h 6 x f Y g c x o A A A A A A g A A A A A A A 2 Y A A M A A A A A Q A A A A X s y y 2 a K + t 0 S 3 7 N G F j B / N z w A A A A A E g A A A o A A A A B A A A A D 6 T 9 R S e o H l e 0 U w E h S k G F d b U A A A A H m j E n a j Q o / 0 4 2 8 z r y 0 X M P 1 r M + u L 2 8 k o f s L f k 5 l 9 m 1 Z x l n d 5 F L v W S l E 3 j f T 4 o T r b y T o e p F F L q w G j X o i w K l u x I H / V A t H G j 2 g a a E g c Y K z / L a x c F A A A A P R h A L o s S D f W P V 4 M J 7 l W T l M l B R V + < / D a t a M a s h u p > 
</file>

<file path=customXml/itemProps1.xml><?xml version="1.0" encoding="utf-8"?>
<ds:datastoreItem xmlns:ds="http://schemas.openxmlformats.org/officeDocument/2006/customXml" ds:itemID="{8BE71E63-E235-480B-A248-E98FA5B22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39</vt:i4>
      </vt:variant>
    </vt:vector>
  </HeadingPairs>
  <TitlesOfParts>
    <vt:vector size="48" baseType="lpstr">
      <vt:lpstr>calcoli</vt:lpstr>
      <vt:lpstr>SIMULATORE</vt:lpstr>
      <vt:lpstr>Condizioni comm.li</vt:lpstr>
      <vt:lpstr>prodotti</vt:lpstr>
      <vt:lpstr>wkg tabelle</vt:lpstr>
      <vt:lpstr>Piano amm.to</vt:lpstr>
      <vt:lpstr>Vademecum CPI Metlife</vt:lpstr>
      <vt:lpstr>assicurazioni</vt:lpstr>
      <vt:lpstr>sviluppo p. amm.to</vt:lpstr>
      <vt:lpstr>ALTRE_SPESE_MEDICHE</vt:lpstr>
      <vt:lpstr>ALTRI_BENI_AZIENDE</vt:lpstr>
      <vt:lpstr>ALTRI_BENI_E_SERVIZI</vt:lpstr>
      <vt:lpstr>ALTRI_VEICOLI_NON_TARGATI</vt:lpstr>
      <vt:lpstr>ALTRO_ARREDAMENTO</vt:lpstr>
      <vt:lpstr>SIMULATORE!Area_stampa</vt:lpstr>
      <vt:lpstr>ARREDAMENTO</vt:lpstr>
      <vt:lpstr>ARREDAMENTO_SENIOR</vt:lpstr>
      <vt:lpstr>BIKES</vt:lpstr>
      <vt:lpstr>CASA</vt:lpstr>
      <vt:lpstr>CASA_GRANDI_INTERVENTI</vt:lpstr>
      <vt:lpstr>CASA_PICCOLI_INTERVENTI</vt:lpstr>
      <vt:lpstr>CASA_PICCOLI_INTERVENTI_SENIOR</vt:lpstr>
      <vt:lpstr>CHIRURGIA_ESTETICA</vt:lpstr>
      <vt:lpstr>CHIRURGIA_OCULARE</vt:lpstr>
      <vt:lpstr>CLASSE</vt:lpstr>
      <vt:lpstr>'Condizioni comm.li'!Criteri</vt:lpstr>
      <vt:lpstr>'wkg tabelle'!Criteri</vt:lpstr>
      <vt:lpstr>CUCINE</vt:lpstr>
      <vt:lpstr>CURE_MEDICHE</vt:lpstr>
      <vt:lpstr>CURE_ODONTOIATRICHE</vt:lpstr>
      <vt:lpstr>CURE_ODONTOIATRICHE_SENIOR</vt:lpstr>
      <vt:lpstr>'Condizioni comm.li'!Estrai</vt:lpstr>
      <vt:lpstr>'wkg tabelle'!Estrai</vt:lpstr>
      <vt:lpstr>FITNESS_E_PALESTRE</vt:lpstr>
      <vt:lpstr>FOTOVOLTAICO_AZIENDE</vt:lpstr>
      <vt:lpstr>GOMMONI_E_NATANTI</vt:lpstr>
      <vt:lpstr>IMBOTTITO</vt:lpstr>
      <vt:lpstr>IMPIANTI_UDITIVI</vt:lpstr>
      <vt:lpstr>IMPIANTI_UDITIVI_SENIOR</vt:lpstr>
      <vt:lpstr>ISTRUZIONE_FORMAZIONE</vt:lpstr>
      <vt:lpstr>MAXIRATA_BIKES</vt:lpstr>
      <vt:lpstr>MOTORI_MARINI</vt:lpstr>
      <vt:lpstr>NAUTICA</vt:lpstr>
      <vt:lpstr>PRODOTTO</vt:lpstr>
      <vt:lpstr>TEMPO_LIBERO</vt:lpstr>
      <vt:lpstr>TOTALE_PROVVIGIONI</vt:lpstr>
      <vt:lpstr>TRATTAMENTI_ESTETICI</vt:lpstr>
      <vt:lpstr>VIAGGI_E_VACANZE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Mattana;luca.bellea@db.com</dc:creator>
  <cp:lastModifiedBy>Windows 10</cp:lastModifiedBy>
  <cp:lastPrinted>2024-12-03T10:01:13Z</cp:lastPrinted>
  <dcterms:created xsi:type="dcterms:W3CDTF">2023-11-21T13:48:05Z</dcterms:created>
  <dcterms:modified xsi:type="dcterms:W3CDTF">2025-07-29T11:20:10Z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2024-11-22T15:11:33Z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7ff4b3de-051e-4b8e-9381-b89d464c2811</vt:lpwstr>
  </property>
  <property fmtid="{D5CDD505-2E9C-101B-9397-08002B2CF9AE}" pid="8" name="MSIP_Label_af1741f6-9e47-426e-a683-937c37d4ebc5_ContentBits">
    <vt:lpwstr>3</vt:lpwstr>
  </property>
  <property fmtid="{D5CDD505-2E9C-101B-9397-08002B2CF9AE}" pid="9" name="db.comClassification">
    <vt:lpwstr>For internal use only</vt:lpwstr>
  </property>
</Properties>
</file>