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amia\Desktop\M&amp;A presentazione\"/>
    </mc:Choice>
  </mc:AlternateContent>
  <xr:revisionPtr revIDLastSave="0" documentId="13_ncr:1_{D8AE0182-66C8-456C-9C2A-29758669BBFA}" xr6:coauthVersionLast="47" xr6:coauthVersionMax="47" xr10:uidLastSave="{00000000-0000-0000-0000-000000000000}"/>
  <bookViews>
    <workbookView xWindow="-108" yWindow="-108" windowWidth="23256" windowHeight="12720" xr2:uid="{37F77AAE-3776-48AA-A3B0-DAA485C26996}"/>
  </bookViews>
  <sheets>
    <sheet name="Trading multiples" sheetId="1" r:id="rId1"/>
    <sheet name="Stand-alone valuation" sheetId="3" r:id="rId2"/>
    <sheet name="Valuation with Synerigies" sheetId="5" r:id="rId3"/>
    <sheet name="Tiffany's past performanc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4" i="3" l="1"/>
  <c r="E24" i="3"/>
  <c r="C24" i="3"/>
  <c r="B37" i="5"/>
  <c r="B29" i="5"/>
  <c r="B53" i="5"/>
  <c r="B51" i="5"/>
  <c r="B50" i="5"/>
  <c r="B49" i="5"/>
  <c r="B48" i="5"/>
  <c r="B47" i="5"/>
  <c r="B30" i="5"/>
  <c r="B34" i="5"/>
  <c r="B27" i="5"/>
  <c r="B26" i="5"/>
  <c r="B28" i="5"/>
  <c r="I46" i="5"/>
  <c r="H46" i="5"/>
  <c r="G46" i="5"/>
  <c r="F46" i="5"/>
  <c r="E46" i="5"/>
  <c r="D46" i="5"/>
  <c r="C46" i="5"/>
  <c r="J31" i="3"/>
  <c r="I31" i="3"/>
  <c r="H31" i="3"/>
  <c r="G31" i="3"/>
  <c r="F31" i="3"/>
  <c r="E31" i="3"/>
  <c r="D31" i="3"/>
  <c r="C38" i="3"/>
  <c r="C37" i="3"/>
  <c r="C36" i="3"/>
  <c r="C35" i="3"/>
  <c r="C34" i="3"/>
  <c r="C33" i="3"/>
  <c r="C32" i="3"/>
  <c r="C27" i="3"/>
  <c r="C21" i="3"/>
  <c r="E21" i="3"/>
  <c r="D33" i="4"/>
  <c r="E33" i="4"/>
  <c r="F33" i="4"/>
  <c r="G33" i="4"/>
  <c r="H33" i="4"/>
  <c r="D34" i="4"/>
  <c r="E34" i="4"/>
  <c r="F34" i="4"/>
  <c r="G34" i="4"/>
  <c r="H34" i="4"/>
  <c r="D35" i="4"/>
  <c r="E35" i="4"/>
  <c r="F35" i="4"/>
  <c r="G35" i="4"/>
  <c r="H35" i="4"/>
  <c r="K17" i="4"/>
  <c r="L17" i="4"/>
  <c r="M17" i="4"/>
  <c r="N17" i="4"/>
  <c r="G2" i="5"/>
  <c r="F2" i="5"/>
  <c r="D2" i="5"/>
  <c r="M18" i="1"/>
  <c r="M20" i="1"/>
  <c r="M17" i="1"/>
  <c r="M15" i="1"/>
  <c r="K11" i="4"/>
  <c r="M5" i="4"/>
  <c r="N5" i="4"/>
  <c r="L5" i="4"/>
  <c r="L7" i="4"/>
  <c r="L8" i="4" s="1"/>
  <c r="N7" i="4"/>
  <c r="K12" i="4" s="1"/>
  <c r="F19" i="1"/>
  <c r="G19" i="1" s="1"/>
  <c r="G9" i="4"/>
  <c r="F9" i="4"/>
  <c r="E9" i="4"/>
  <c r="D9" i="4"/>
  <c r="G14" i="4"/>
  <c r="F14" i="4"/>
  <c r="E14" i="4"/>
  <c r="D14" i="4"/>
  <c r="G18" i="4"/>
  <c r="F18" i="4"/>
  <c r="E18" i="4"/>
  <c r="D18" i="4"/>
  <c r="B19" i="5"/>
  <c r="G8" i="4"/>
  <c r="F8" i="4"/>
  <c r="E8" i="4"/>
  <c r="D8" i="4"/>
  <c r="G6" i="4"/>
  <c r="F6" i="4"/>
  <c r="E6" i="4"/>
  <c r="D6" i="4"/>
  <c r="G4" i="4"/>
  <c r="F4" i="4"/>
  <c r="E4" i="4"/>
  <c r="D4" i="4"/>
  <c r="A18" i="5"/>
  <c r="I30" i="5"/>
  <c r="I29" i="5"/>
  <c r="H19" i="3"/>
  <c r="E8" i="5"/>
  <c r="H2" i="5"/>
  <c r="F6" i="5" s="1"/>
  <c r="D11" i="5"/>
  <c r="G36" i="5"/>
  <c r="B32" i="5"/>
  <c r="P6" i="1"/>
  <c r="P7" i="1"/>
  <c r="E27" i="3"/>
  <c r="E26" i="3"/>
  <c r="E25" i="3"/>
  <c r="E23" i="3"/>
  <c r="E22" i="3"/>
  <c r="C26" i="3"/>
  <c r="C25" i="3"/>
  <c r="C23" i="3"/>
  <c r="C22" i="3"/>
  <c r="B40" i="5"/>
  <c r="B39" i="5"/>
  <c r="B38" i="5"/>
  <c r="B36" i="5"/>
  <c r="B35" i="5"/>
  <c r="C4" i="3"/>
  <c r="O5" i="4" l="1"/>
  <c r="M8" i="4"/>
  <c r="G6" i="5"/>
  <c r="G19" i="5" s="1"/>
  <c r="F8" i="5"/>
  <c r="I19" i="1"/>
  <c r="H19" i="1"/>
  <c r="E19" i="5"/>
  <c r="D19" i="5"/>
  <c r="F19" i="5"/>
  <c r="G19" i="4"/>
  <c r="N8" i="4"/>
  <c r="O8" i="4" s="1"/>
  <c r="D15" i="4"/>
  <c r="G15" i="4"/>
  <c r="G17" i="4"/>
  <c r="F19" i="4"/>
  <c r="E17" i="4"/>
  <c r="F17" i="4"/>
  <c r="D19" i="4"/>
  <c r="F15" i="4"/>
  <c r="E19" i="4"/>
  <c r="E15" i="4"/>
  <c r="F5" i="4"/>
  <c r="D17" i="4"/>
  <c r="E5" i="4"/>
  <c r="H4" i="4"/>
  <c r="G20" i="4"/>
  <c r="F20" i="4"/>
  <c r="G5" i="4"/>
  <c r="D20" i="4"/>
  <c r="E20" i="4"/>
  <c r="F11" i="4"/>
  <c r="E11" i="4"/>
  <c r="G11" i="4"/>
  <c r="D11" i="4"/>
  <c r="H6" i="5" l="1"/>
  <c r="D12" i="4"/>
  <c r="G5" i="1"/>
  <c r="G6" i="1"/>
  <c r="G7" i="1"/>
  <c r="G8" i="1"/>
  <c r="G9" i="1"/>
  <c r="G10" i="1"/>
  <c r="G11" i="1"/>
  <c r="G12" i="1"/>
  <c r="G13" i="1"/>
  <c r="G14" i="1"/>
  <c r="G15" i="1"/>
  <c r="G16" i="1"/>
  <c r="G17" i="1"/>
  <c r="G18" i="1"/>
  <c r="G4" i="1"/>
  <c r="H8" i="5" l="1"/>
  <c r="I6" i="5"/>
  <c r="H19" i="5"/>
  <c r="I13" i="1"/>
  <c r="H13" i="1"/>
  <c r="I5" i="1"/>
  <c r="H5" i="1"/>
  <c r="H12" i="1"/>
  <c r="I12" i="1"/>
  <c r="I7" i="1"/>
  <c r="H7" i="1"/>
  <c r="I17" i="1"/>
  <c r="H17" i="1"/>
  <c r="I9" i="1"/>
  <c r="H9" i="1"/>
  <c r="H16" i="1"/>
  <c r="I16" i="1"/>
  <c r="H8" i="1"/>
  <c r="I8" i="1"/>
  <c r="H4" i="1"/>
  <c r="I4" i="1"/>
  <c r="I15" i="1"/>
  <c r="H15" i="1"/>
  <c r="I11" i="1"/>
  <c r="H11" i="1"/>
  <c r="H18" i="1"/>
  <c r="I18" i="1"/>
  <c r="H14" i="1"/>
  <c r="I14" i="1"/>
  <c r="H10" i="1"/>
  <c r="I10" i="1"/>
  <c r="H6" i="1"/>
  <c r="I6" i="1"/>
  <c r="E18" i="5"/>
  <c r="C15" i="5"/>
  <c r="D15" i="5"/>
  <c r="D8" i="5"/>
  <c r="D7" i="3"/>
  <c r="D4" i="3"/>
  <c r="C11" i="5"/>
  <c r="C8" i="5"/>
  <c r="C6" i="5"/>
  <c r="I9" i="3" l="1"/>
  <c r="D16" i="5"/>
  <c r="I19" i="5"/>
  <c r="L12" i="1"/>
  <c r="M12" i="1" s="1"/>
  <c r="L8" i="1"/>
  <c r="M8" i="1" s="1"/>
  <c r="L11" i="1"/>
  <c r="M11" i="1" s="1"/>
  <c r="L7" i="1"/>
  <c r="M7" i="1" s="1"/>
  <c r="M14" i="1" s="1"/>
  <c r="C14" i="5"/>
  <c r="C9" i="5"/>
  <c r="C12" i="5"/>
  <c r="D14" i="5"/>
  <c r="D20" i="5"/>
  <c r="E20" i="5"/>
  <c r="F20" i="5"/>
  <c r="G20" i="5"/>
  <c r="H20" i="5"/>
  <c r="I20" i="5"/>
  <c r="B18" i="5"/>
  <c r="E11" i="5"/>
  <c r="F11" i="5" s="1"/>
  <c r="G11" i="5" s="1"/>
  <c r="H11" i="5" s="1"/>
  <c r="I11" i="5" s="1"/>
  <c r="H9" i="5"/>
  <c r="F9" i="5"/>
  <c r="G8" i="5"/>
  <c r="G9" i="5" s="1"/>
  <c r="E9" i="5"/>
  <c r="R23" i="5"/>
  <c r="Q23" i="5"/>
  <c r="P23" i="5"/>
  <c r="O23" i="5"/>
  <c r="N23" i="5"/>
  <c r="I7" i="3"/>
  <c r="H7" i="3"/>
  <c r="G7" i="3"/>
  <c r="F7" i="3"/>
  <c r="E7" i="3"/>
  <c r="C5" i="3"/>
  <c r="J7" i="3" l="1"/>
  <c r="I10" i="3" s="1"/>
  <c r="I12" i="3" s="1"/>
  <c r="I15" i="3" s="1"/>
  <c r="E12" i="5"/>
  <c r="M4" i="5"/>
  <c r="I8" i="5"/>
  <c r="I9" i="5" s="1"/>
  <c r="N3" i="5"/>
  <c r="M3" i="5"/>
  <c r="N4" i="5"/>
  <c r="G14" i="5"/>
  <c r="F14" i="5"/>
  <c r="E14" i="5"/>
  <c r="F18" i="5"/>
  <c r="D18" i="5"/>
  <c r="D23" i="5" s="1"/>
  <c r="D12" i="5"/>
  <c r="I18" i="5"/>
  <c r="H18" i="5"/>
  <c r="G18" i="5"/>
  <c r="D9" i="5"/>
  <c r="I17" i="3" l="1"/>
  <c r="C31" i="3" s="1"/>
  <c r="I4" i="3" l="1"/>
  <c r="E5" i="3"/>
  <c r="N4" i="3" l="1"/>
  <c r="O4" i="3"/>
  <c r="O5" i="3"/>
  <c r="N5" i="3"/>
  <c r="G15" i="5"/>
  <c r="I14" i="5" l="1"/>
  <c r="I15" i="5" s="1"/>
  <c r="H14" i="5"/>
  <c r="E15" i="5" l="1"/>
  <c r="E16" i="5" s="1"/>
  <c r="E23" i="5" s="1"/>
  <c r="F15" i="5"/>
  <c r="G16" i="5" s="1"/>
  <c r="H15" i="5"/>
  <c r="H16" i="5" s="1"/>
  <c r="F16" i="5" l="1"/>
  <c r="I16" i="5"/>
  <c r="I23" i="5" s="1"/>
  <c r="J23" i="5" s="1"/>
  <c r="I26" i="5" s="1"/>
  <c r="H23" i="5"/>
  <c r="H12" i="5"/>
  <c r="I12" i="5"/>
  <c r="G23" i="5"/>
  <c r="G12" i="5"/>
  <c r="F23" i="5" l="1"/>
  <c r="I25" i="5" s="1"/>
  <c r="I28" i="5" s="1"/>
  <c r="I31" i="5" s="1"/>
  <c r="I33" i="5" s="1"/>
  <c r="F12" i="5"/>
  <c r="B46" i="5" l="1"/>
</calcChain>
</file>

<file path=xl/sharedStrings.xml><?xml version="1.0" encoding="utf-8"?>
<sst xmlns="http://schemas.openxmlformats.org/spreadsheetml/2006/main" count="175" uniqueCount="127">
  <si>
    <t>EV</t>
  </si>
  <si>
    <t>EBITDA</t>
  </si>
  <si>
    <t>EV / EBITDA</t>
  </si>
  <si>
    <t>EV / SALES</t>
  </si>
  <si>
    <t>MEAN</t>
  </si>
  <si>
    <t>MEDIAN</t>
  </si>
  <si>
    <t>2021E</t>
  </si>
  <si>
    <t>2023E</t>
  </si>
  <si>
    <t>2024E</t>
  </si>
  <si>
    <t>Revenues</t>
  </si>
  <si>
    <t>Gross Margin</t>
  </si>
  <si>
    <t>%</t>
  </si>
  <si>
    <t>2020E</t>
  </si>
  <si>
    <t>2025E</t>
  </si>
  <si>
    <t>In mln of $</t>
  </si>
  <si>
    <t>FCFs</t>
  </si>
  <si>
    <t>2022E</t>
  </si>
  <si>
    <t>Operating profit</t>
  </si>
  <si>
    <t>Capex</t>
  </si>
  <si>
    <t>Depreciation</t>
  </si>
  <si>
    <t>Tax rate</t>
  </si>
  <si>
    <t>Working capital</t>
  </si>
  <si>
    <t>WC turnover</t>
  </si>
  <si>
    <t>-</t>
  </si>
  <si>
    <t>Implied EV</t>
  </si>
  <si>
    <t>DEBT</t>
  </si>
  <si>
    <t>CASH</t>
  </si>
  <si>
    <t>PROJECTIONS</t>
  </si>
  <si>
    <t>Discounted TV</t>
  </si>
  <si>
    <t>Net Change in WC</t>
  </si>
  <si>
    <t>Company name</t>
  </si>
  <si>
    <t>LVMH MOET HENNESSY LOUIS VUITTON</t>
  </si>
  <si>
    <t>KERING</t>
  </si>
  <si>
    <t>COMPAGNIE FINANCIERE RICHEMONT SA</t>
  </si>
  <si>
    <t>HERMES INTERNATIONAL</t>
  </si>
  <si>
    <t>THE SWATCH GROUP LTD.</t>
  </si>
  <si>
    <t>SIGNET JEWELERS LIMITED</t>
  </si>
  <si>
    <t>TAPESTRY INC</t>
  </si>
  <si>
    <t>FERRARI N.V.</t>
  </si>
  <si>
    <t>TIFFANY &amp; CO</t>
  </si>
  <si>
    <t>RALPH LAUREN CORPORATION</t>
  </si>
  <si>
    <t>CAPRI HOLDINGS LIMITED</t>
  </si>
  <si>
    <t>PRADA S.P.A.</t>
  </si>
  <si>
    <t>BURBERRY GROUP PLC</t>
  </si>
  <si>
    <t>SALVATORE FERRAGAMO SPA</t>
  </si>
  <si>
    <t>BRUNELLO CUCINELLI S.P.A</t>
  </si>
  <si>
    <t>NACE Rev 2, Core code</t>
  </si>
  <si>
    <t>1413</t>
  </si>
  <si>
    <t>4719</t>
  </si>
  <si>
    <t>3212</t>
  </si>
  <si>
    <t>2652</t>
  </si>
  <si>
    <t>4777</t>
  </si>
  <si>
    <t>1512</t>
  </si>
  <si>
    <t>2910</t>
  </si>
  <si>
    <t>4642</t>
  </si>
  <si>
    <t>1520</t>
  </si>
  <si>
    <t>1419</t>
  </si>
  <si>
    <t>Market Cap.
th EUR
2019</t>
  </si>
  <si>
    <t>Sales
th EUR
2019</t>
  </si>
  <si>
    <t>EBITDA
th EUR
2019</t>
  </si>
  <si>
    <t>Net debt
th EUR
2019</t>
  </si>
  <si>
    <t>SOURCE: OSIRIS</t>
  </si>
  <si>
    <t>ENTERPRISE VALUE</t>
  </si>
  <si>
    <t>MULTIPLES</t>
  </si>
  <si>
    <t xml:space="preserve">CAGR </t>
  </si>
  <si>
    <t xml:space="preserve">Sales growth </t>
  </si>
  <si>
    <t>20 to '25</t>
  </si>
  <si>
    <t>19 to '25</t>
  </si>
  <si>
    <t>Free Cash Flows</t>
  </si>
  <si>
    <t>WACC</t>
  </si>
  <si>
    <t>Growth rate</t>
  </si>
  <si>
    <t>in mln of $</t>
  </si>
  <si>
    <t>TIFFANY</t>
  </si>
  <si>
    <t>Sales ($)</t>
  </si>
  <si>
    <t>Ebitda ($)</t>
  </si>
  <si>
    <t>Share outstanding on 6/01/2021</t>
  </si>
  <si>
    <t>Implied price per share</t>
  </si>
  <si>
    <t>Terminal Value</t>
  </si>
  <si>
    <t>PV OF FCFs</t>
  </si>
  <si>
    <t>Implied Equity Value</t>
  </si>
  <si>
    <t>CAGR</t>
  </si>
  <si>
    <t>Implied share price</t>
  </si>
  <si>
    <t>Mean</t>
  </si>
  <si>
    <t>Depr / Amort</t>
  </si>
  <si>
    <t>depr / sales</t>
  </si>
  <si>
    <t>Equity</t>
  </si>
  <si>
    <t>EBIT</t>
  </si>
  <si>
    <t>ROS</t>
  </si>
  <si>
    <t>Net assets turnover</t>
  </si>
  <si>
    <t>Sales</t>
  </si>
  <si>
    <t>delta%</t>
  </si>
  <si>
    <t>Debt</t>
  </si>
  <si>
    <t>Assets</t>
  </si>
  <si>
    <t>ROA</t>
  </si>
  <si>
    <t>CHOW TAI FOOK JEWELLERY GROUP LTD</t>
  </si>
  <si>
    <t>Richemont jewelry</t>
  </si>
  <si>
    <t>SALES</t>
  </si>
  <si>
    <t>LVMH jewelry</t>
  </si>
  <si>
    <t>var%</t>
  </si>
  <si>
    <t>LVMH</t>
  </si>
  <si>
    <t>Expected CAGR ('21 to '25)</t>
  </si>
  <si>
    <t>2016</t>
  </si>
  <si>
    <t>2017</t>
  </si>
  <si>
    <t>2018</t>
  </si>
  <si>
    <t>2019</t>
  </si>
  <si>
    <t>Net debt</t>
  </si>
  <si>
    <t xml:space="preserve">OverallSales growth </t>
  </si>
  <si>
    <t>DEBT RATIO</t>
  </si>
  <si>
    <t>Tabella slide</t>
  </si>
  <si>
    <t>Tiffany &amp; Co</t>
  </si>
  <si>
    <t>Richemont</t>
  </si>
  <si>
    <t xml:space="preserve">LVMH </t>
  </si>
  <si>
    <t>Other</t>
  </si>
  <si>
    <t>Japan</t>
  </si>
  <si>
    <t xml:space="preserve">Asia Pacific </t>
  </si>
  <si>
    <t>Europe</t>
  </si>
  <si>
    <t>America</t>
  </si>
  <si>
    <t>RICHEMONT</t>
  </si>
  <si>
    <t>Discount rate:</t>
  </si>
  <si>
    <t>Growth rate:</t>
  </si>
  <si>
    <t>Historical data</t>
  </si>
  <si>
    <t>Discount rate</t>
  </si>
  <si>
    <t>GROWTH RATE</t>
  </si>
  <si>
    <t/>
  </si>
  <si>
    <t xml:space="preserve">CHRISTIAN CELENTANO 972255 </t>
  </si>
  <si>
    <t>GIULIO CAMUFFO 974099</t>
  </si>
  <si>
    <t>DAMIANO CAPONIO 972401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</si>
</sst>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 &quot;€&quot;;[Red]\-#,##0.00\ &quot;€&quot;"/>
    <numFmt numFmtId="165" formatCode="_-* #,##0.00\ &quot;€&quot;_-;\-* #,##0.00\ &quot;€&quot;_-;_-* &quot;-&quot;??\ &quot;€&quot;_-;_-@_-"/>
    <numFmt numFmtId="166" formatCode="0.0%"/>
    <numFmt numFmtId="167" formatCode="_-[$$-409]* #,##0.00_ ;_-[$$-409]* \-#,##0.00\ ;_-[$$-409]* &quot;-&quot;??_ ;_-@_ "/>
    <numFmt numFmtId="168" formatCode="_-[$$-409]* #,##0.0_ ;_-[$$-409]* \-#,##0.0\ ;_-[$$-409]* &quot;-&quot;??_ ;_-@_ "/>
    <numFmt numFmtId="169" formatCode="_-* #,##0.00\ [$€-410]_-;\-* #,##0.00\ [$€-410]_-;_-* &quot;-&quot;??\ [$€-410]_-;_-@_-"/>
  </numFmts>
  <fonts count="9" x14ac:knownFonts="1">
    <font>
      <sz val="11"/>
      <color theme="1"/>
      <name val="Calibri"/>
      <family val="2"/>
      <scheme val="minor"/>
    </font>
    <font>
      <sz val="11"/>
      <color theme="1"/>
      <name val="Calibri"/>
      <family val="2"/>
      <scheme val="minor"/>
    </font>
    <font>
      <sz val="11"/>
      <color theme="1"/>
      <name val="Times New Roman"/>
      <family val="1"/>
    </font>
    <font>
      <b/>
      <sz val="8.5"/>
      <color rgb="FFFFFFFF"/>
      <name val="Times New Roman"/>
      <family val="1"/>
    </font>
    <font>
      <b/>
      <sz val="8.5"/>
      <color rgb="FF003366"/>
      <name val="Times New Roman"/>
      <family val="1"/>
    </font>
    <font>
      <sz val="8.5"/>
      <color rgb="FF333333"/>
      <name val="Times New Roman"/>
      <family val="1"/>
    </font>
    <font>
      <b/>
      <sz val="11"/>
      <color theme="1"/>
      <name val="Times New Roman"/>
      <family val="1"/>
    </font>
    <font>
      <b/>
      <sz val="9"/>
      <color rgb="FF003366"/>
      <name val="Times New Roman"/>
      <family val="1"/>
    </font>
    <font>
      <sz val="1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2F2F2"/>
      </patternFill>
    </fill>
    <fill>
      <patternFill patternType="solid">
        <fgColor rgb="FF96A3B5"/>
      </patternFill>
    </fill>
    <fill>
      <patternFill patternType="solid">
        <fgColor rgb="FFFFFFFF"/>
      </patternFill>
    </fill>
    <fill>
      <patternFill patternType="solid">
        <fgColor theme="4" tint="0.79998168889431442"/>
        <bgColor indexed="64"/>
      </patternFill>
    </fill>
    <fill>
      <patternFill patternType="solid">
        <fgColor theme="4" tint="0.59999389629810485"/>
        <bgColor indexed="64"/>
      </patternFill>
    </fill>
    <fill>
      <patternFill patternType="solid">
        <fgColor theme="8" tint="-0.249977111117893"/>
        <bgColor indexed="64"/>
      </patternFill>
    </fill>
  </fills>
  <borders count="15">
    <border>
      <left/>
      <right/>
      <top/>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FFFFFF"/>
      </left>
      <right/>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165" fontId="1" fillId="0" borderId="0" applyFont="0" applyFill="0" applyBorder="0" applyAlignment="0" applyProtection="0"/>
  </cellStyleXfs>
  <cellXfs count="142">
    <xf numFmtId="0" fontId="0" fillId="0" borderId="0" xfId="0"/>
    <xf numFmtId="9" fontId="0" fillId="0" borderId="0" xfId="1" applyFont="1"/>
    <xf numFmtId="167" fontId="0" fillId="0" borderId="0" xfId="0" applyNumberFormat="1"/>
    <xf numFmtId="0" fontId="0" fillId="0" borderId="3" xfId="0" applyBorder="1"/>
    <xf numFmtId="0" fontId="0" fillId="0" borderId="5" xfId="0" applyBorder="1"/>
    <xf numFmtId="0" fontId="0" fillId="0" borderId="6" xfId="0" applyBorder="1"/>
    <xf numFmtId="0" fontId="0" fillId="0" borderId="7" xfId="0" applyBorder="1"/>
    <xf numFmtId="0" fontId="0" fillId="0" borderId="3" xfId="0" applyBorder="1" applyAlignment="1">
      <alignment horizontal="right"/>
    </xf>
    <xf numFmtId="0" fontId="0" fillId="0" borderId="0" xfId="0" applyBorder="1"/>
    <xf numFmtId="0" fontId="2" fillId="0" borderId="0" xfId="0" applyFont="1" applyAlignment="1">
      <alignment horizontal="center"/>
    </xf>
    <xf numFmtId="167" fontId="0" fillId="0" borderId="0" xfId="0" applyNumberFormat="1" applyBorder="1"/>
    <xf numFmtId="0" fontId="0" fillId="0" borderId="3" xfId="0" applyFill="1" applyBorder="1" applyAlignment="1">
      <alignment horizontal="right"/>
    </xf>
    <xf numFmtId="9" fontId="0" fillId="0" borderId="0" xfId="1" applyFont="1" applyBorder="1"/>
    <xf numFmtId="10" fontId="0" fillId="0" borderId="0" xfId="1" applyNumberFormat="1" applyFont="1" applyBorder="1"/>
    <xf numFmtId="0" fontId="0" fillId="0" borderId="0" xfId="0" applyAlignment="1">
      <alignment horizontal="center"/>
    </xf>
    <xf numFmtId="0" fontId="2" fillId="0" borderId="3" xfId="0" applyFont="1" applyBorder="1" applyAlignment="1">
      <alignment horizontal="center"/>
    </xf>
    <xf numFmtId="2" fontId="0" fillId="0" borderId="3" xfId="0" applyNumberFormat="1" applyBorder="1"/>
    <xf numFmtId="0" fontId="2" fillId="0" borderId="0" xfId="0" applyFont="1" applyAlignment="1">
      <alignment horizontal="right"/>
    </xf>
    <xf numFmtId="0" fontId="2" fillId="0" borderId="8" xfId="0" applyFont="1" applyBorder="1" applyAlignment="1">
      <alignment horizontal="center"/>
    </xf>
    <xf numFmtId="167" fontId="2" fillId="0" borderId="3" xfId="0" applyNumberFormat="1" applyFont="1" applyBorder="1" applyAlignment="1">
      <alignment horizontal="center"/>
    </xf>
    <xf numFmtId="166" fontId="2" fillId="0" borderId="3" xfId="1" applyNumberFormat="1" applyFont="1" applyBorder="1" applyAlignment="1">
      <alignment horizontal="right"/>
    </xf>
    <xf numFmtId="0" fontId="2" fillId="0" borderId="3" xfId="0" applyFont="1" applyBorder="1" applyAlignment="1">
      <alignment horizontal="right"/>
    </xf>
    <xf numFmtId="2" fontId="2" fillId="0" borderId="3" xfId="0" applyNumberFormat="1" applyFont="1" applyBorder="1" applyAlignment="1">
      <alignment horizontal="right"/>
    </xf>
    <xf numFmtId="167" fontId="2" fillId="0" borderId="0" xfId="0" applyNumberFormat="1" applyFont="1"/>
    <xf numFmtId="0" fontId="2" fillId="0" borderId="0" xfId="0" applyFont="1"/>
    <xf numFmtId="9" fontId="2" fillId="0" borderId="0" xfId="1" applyFont="1"/>
    <xf numFmtId="166" fontId="2" fillId="0" borderId="0" xfId="1" applyNumberFormat="1" applyFont="1"/>
    <xf numFmtId="2" fontId="2" fillId="0" borderId="0" xfId="0" applyNumberFormat="1" applyFont="1"/>
    <xf numFmtId="168" fontId="2" fillId="0" borderId="0" xfId="2" applyNumberFormat="1" applyFont="1"/>
    <xf numFmtId="167" fontId="2" fillId="0" borderId="0" xfId="0" applyNumberFormat="1" applyFont="1" applyBorder="1"/>
    <xf numFmtId="0" fontId="2" fillId="0" borderId="6" xfId="0" applyFont="1" applyBorder="1" applyAlignment="1">
      <alignment horizontal="right"/>
    </xf>
    <xf numFmtId="0" fontId="2" fillId="0" borderId="6" xfId="0" applyFont="1" applyBorder="1" applyAlignment="1">
      <alignment horizontal="center"/>
    </xf>
    <xf numFmtId="0" fontId="2" fillId="0" borderId="7" xfId="0" quotePrefix="1" applyFont="1" applyBorder="1"/>
    <xf numFmtId="0" fontId="2" fillId="0" borderId="14" xfId="0" quotePrefix="1" applyFont="1" applyBorder="1"/>
    <xf numFmtId="10" fontId="2" fillId="0" borderId="13" xfId="1" applyNumberFormat="1" applyFont="1" applyBorder="1"/>
    <xf numFmtId="10" fontId="2" fillId="0" borderId="0" xfId="1" applyNumberFormat="1" applyFont="1"/>
    <xf numFmtId="0" fontId="2" fillId="0" borderId="7" xfId="0" applyFont="1" applyBorder="1" applyAlignment="1">
      <alignment horizontal="center"/>
    </xf>
    <xf numFmtId="0" fontId="2" fillId="0" borderId="0" xfId="0" applyFont="1" applyBorder="1"/>
    <xf numFmtId="0" fontId="2" fillId="0" borderId="7" xfId="0" applyFont="1" applyBorder="1" applyAlignment="1">
      <alignment horizontal="right"/>
    </xf>
    <xf numFmtId="0" fontId="2" fillId="0" borderId="3" xfId="0" applyFont="1" applyBorder="1"/>
    <xf numFmtId="167" fontId="2" fillId="3" borderId="0" xfId="0" applyNumberFormat="1" applyFont="1" applyFill="1"/>
    <xf numFmtId="164" fontId="2" fillId="0" borderId="0" xfId="0" applyNumberFormat="1" applyFont="1"/>
    <xf numFmtId="0" fontId="2" fillId="0" borderId="6" xfId="0" applyFont="1" applyBorder="1"/>
    <xf numFmtId="165" fontId="2" fillId="0" borderId="0" xfId="1" applyNumberFormat="1" applyFont="1"/>
    <xf numFmtId="0" fontId="2" fillId="0" borderId="7" xfId="0" applyFont="1" applyBorder="1"/>
    <xf numFmtId="0" fontId="2" fillId="0" borderId="2" xfId="0" applyFont="1" applyBorder="1" applyAlignment="1">
      <alignment horizontal="center"/>
    </xf>
    <xf numFmtId="0" fontId="2" fillId="0" borderId="5" xfId="0" applyFont="1" applyBorder="1" applyAlignment="1">
      <alignment horizontal="center"/>
    </xf>
    <xf numFmtId="0" fontId="2" fillId="0" borderId="0" xfId="0" applyFont="1" applyBorder="1" applyAlignment="1">
      <alignment horizontal="center"/>
    </xf>
    <xf numFmtId="167" fontId="2" fillId="3" borderId="0" xfId="0" applyNumberFormat="1" applyFont="1" applyFill="1" applyBorder="1"/>
    <xf numFmtId="167" fontId="2" fillId="0" borderId="3" xfId="0" applyNumberFormat="1" applyFont="1" applyBorder="1"/>
    <xf numFmtId="9" fontId="2" fillId="0" borderId="3" xfId="1" applyFont="1" applyBorder="1"/>
    <xf numFmtId="166" fontId="2" fillId="0" borderId="3" xfId="1" applyNumberFormat="1" applyFont="1" applyBorder="1"/>
    <xf numFmtId="2" fontId="2" fillId="0" borderId="3" xfId="0" applyNumberFormat="1" applyFont="1" applyBorder="1"/>
    <xf numFmtId="168" fontId="2" fillId="0" borderId="3" xfId="2" applyNumberFormat="1" applyFont="1" applyBorder="1"/>
    <xf numFmtId="0" fontId="2" fillId="0" borderId="14" xfId="0" quotePrefix="1" applyFont="1" applyBorder="1" applyAlignment="1">
      <alignment horizontal="center"/>
    </xf>
    <xf numFmtId="10" fontId="2" fillId="0" borderId="0" xfId="0" applyNumberFormat="1" applyFont="1"/>
    <xf numFmtId="4" fontId="2" fillId="0" borderId="0" xfId="0" applyNumberFormat="1" applyFont="1"/>
    <xf numFmtId="0" fontId="2" fillId="0" borderId="3" xfId="0" applyFont="1" applyBorder="1" applyAlignment="1">
      <alignment horizontal="right"/>
    </xf>
    <xf numFmtId="165" fontId="0" fillId="0" borderId="0" xfId="0" applyNumberFormat="1"/>
    <xf numFmtId="0" fontId="3" fillId="5" borderId="10" xfId="0" applyFont="1" applyFill="1" applyBorder="1" applyAlignment="1">
      <alignment horizontal="left" wrapText="1"/>
    </xf>
    <xf numFmtId="0" fontId="3" fillId="5" borderId="10" xfId="0" applyFont="1" applyFill="1" applyBorder="1" applyAlignment="1">
      <alignment horizontal="right" wrapText="1"/>
    </xf>
    <xf numFmtId="0" fontId="4" fillId="6" borderId="10" xfId="0" applyFont="1" applyFill="1" applyBorder="1" applyAlignment="1">
      <alignment horizontal="left" vertical="top" wrapText="1"/>
    </xf>
    <xf numFmtId="0" fontId="5" fillId="6" borderId="10" xfId="0" applyFont="1" applyFill="1" applyBorder="1" applyAlignment="1">
      <alignment horizontal="center" vertical="top" wrapText="1"/>
    </xf>
    <xf numFmtId="169" fontId="5" fillId="6" borderId="10" xfId="0" applyNumberFormat="1" applyFont="1" applyFill="1" applyBorder="1" applyAlignment="1">
      <alignment horizontal="right" vertical="top"/>
    </xf>
    <xf numFmtId="2" fontId="5" fillId="6" borderId="10" xfId="0" applyNumberFormat="1" applyFont="1" applyFill="1" applyBorder="1" applyAlignment="1">
      <alignment horizontal="right" vertical="top"/>
    </xf>
    <xf numFmtId="0" fontId="4" fillId="4" borderId="10" xfId="0" applyFont="1" applyFill="1" applyBorder="1" applyAlignment="1">
      <alignment horizontal="left" vertical="top" wrapText="1"/>
    </xf>
    <xf numFmtId="0" fontId="5" fillId="4" borderId="10" xfId="0" applyFont="1" applyFill="1" applyBorder="1" applyAlignment="1">
      <alignment horizontal="center" vertical="top" wrapText="1"/>
    </xf>
    <xf numFmtId="169" fontId="5" fillId="4" borderId="10" xfId="0" applyNumberFormat="1" applyFont="1" applyFill="1" applyBorder="1" applyAlignment="1">
      <alignment horizontal="right" vertical="top"/>
    </xf>
    <xf numFmtId="2" fontId="5" fillId="4" borderId="10" xfId="0" applyNumberFormat="1" applyFont="1" applyFill="1" applyBorder="1" applyAlignment="1">
      <alignment horizontal="right" vertical="top"/>
    </xf>
    <xf numFmtId="2" fontId="2" fillId="0" borderId="7" xfId="0" applyNumberFormat="1" applyFont="1" applyBorder="1"/>
    <xf numFmtId="167" fontId="6" fillId="0" borderId="0" xfId="0" applyNumberFormat="1" applyFont="1" applyFill="1"/>
    <xf numFmtId="0" fontId="2" fillId="0" borderId="0" xfId="0" applyFont="1" applyFill="1"/>
    <xf numFmtId="0" fontId="6" fillId="0" borderId="0" xfId="0" applyFont="1" applyAlignment="1">
      <alignment horizontal="center"/>
    </xf>
    <xf numFmtId="167" fontId="2" fillId="0" borderId="6" xfId="0" applyNumberFormat="1" applyFont="1" applyBorder="1"/>
    <xf numFmtId="166" fontId="2" fillId="0" borderId="0" xfId="1" applyNumberFormat="1" applyFont="1" applyAlignment="1">
      <alignment horizontal="center"/>
    </xf>
    <xf numFmtId="10" fontId="0" fillId="0" borderId="0" xfId="1" applyNumberFormat="1" applyFont="1"/>
    <xf numFmtId="10" fontId="0" fillId="0" borderId="0" xfId="0" applyNumberFormat="1"/>
    <xf numFmtId="10" fontId="0" fillId="0" borderId="0" xfId="1" applyNumberFormat="1" applyFont="1" applyAlignment="1">
      <alignment horizontal="center"/>
    </xf>
    <xf numFmtId="10" fontId="0" fillId="0" borderId="0" xfId="0" applyNumberFormat="1" applyAlignment="1">
      <alignment horizontal="center"/>
    </xf>
    <xf numFmtId="2" fontId="0" fillId="0" borderId="0" xfId="0" applyNumberFormat="1"/>
    <xf numFmtId="165" fontId="0" fillId="0" borderId="0" xfId="1" applyNumberFormat="1" applyFont="1" applyBorder="1"/>
    <xf numFmtId="2" fontId="0" fillId="0" borderId="0" xfId="0" applyNumberFormat="1" applyBorder="1"/>
    <xf numFmtId="2" fontId="0" fillId="0" borderId="0" xfId="1" applyNumberFormat="1" applyFont="1" applyAlignment="1">
      <alignment horizontal="center"/>
    </xf>
    <xf numFmtId="167" fontId="0" fillId="0" borderId="0" xfId="1" applyNumberFormat="1" applyFont="1" applyBorder="1"/>
    <xf numFmtId="0" fontId="7" fillId="4" borderId="10" xfId="0" applyFont="1" applyFill="1" applyBorder="1" applyAlignment="1">
      <alignment horizontal="left" vertical="top" wrapText="1"/>
    </xf>
    <xf numFmtId="165" fontId="0" fillId="0" borderId="3" xfId="0" applyNumberFormat="1" applyBorder="1"/>
    <xf numFmtId="9" fontId="0" fillId="0" borderId="3" xfId="1" applyFont="1" applyBorder="1"/>
    <xf numFmtId="167" fontId="0" fillId="0" borderId="3" xfId="0" applyNumberFormat="1" applyBorder="1"/>
    <xf numFmtId="9" fontId="0" fillId="0" borderId="3" xfId="1" applyFont="1" applyBorder="1" applyAlignment="1">
      <alignment horizontal="right"/>
    </xf>
    <xf numFmtId="10" fontId="0" fillId="0" borderId="3" xfId="1" applyNumberFormat="1" applyFont="1" applyBorder="1"/>
    <xf numFmtId="167" fontId="0" fillId="0" borderId="3" xfId="1" applyNumberFormat="1" applyFont="1" applyBorder="1"/>
    <xf numFmtId="165" fontId="0" fillId="0" borderId="3" xfId="1" applyNumberFormat="1" applyFont="1" applyBorder="1"/>
    <xf numFmtId="10" fontId="0" fillId="3" borderId="0" xfId="1" applyNumberFormat="1" applyFont="1" applyFill="1" applyAlignment="1">
      <alignment horizontal="center"/>
    </xf>
    <xf numFmtId="10" fontId="8" fillId="3" borderId="0" xfId="1" applyNumberFormat="1" applyFont="1" applyFill="1"/>
    <xf numFmtId="10" fontId="0" fillId="3" borderId="0" xfId="1" applyNumberFormat="1" applyFont="1" applyFill="1"/>
    <xf numFmtId="10" fontId="2" fillId="0" borderId="0" xfId="0" applyNumberFormat="1" applyFont="1" applyBorder="1" applyAlignment="1">
      <alignment horizontal="center"/>
    </xf>
    <xf numFmtId="0" fontId="2" fillId="2" borderId="1" xfId="0" applyFont="1" applyFill="1" applyBorder="1" applyAlignment="1">
      <alignment horizontal="center"/>
    </xf>
    <xf numFmtId="0" fontId="2" fillId="2" borderId="4" xfId="0" applyFont="1" applyFill="1" applyBorder="1" applyAlignment="1">
      <alignment horizontal="center"/>
    </xf>
    <xf numFmtId="0" fontId="0" fillId="0" borderId="3" xfId="0" applyBorder="1" applyAlignment="1">
      <alignment horizontal="center"/>
    </xf>
    <xf numFmtId="167" fontId="2" fillId="3" borderId="2" xfId="0" applyNumberFormat="1" applyFont="1" applyFill="1" applyBorder="1"/>
    <xf numFmtId="9" fontId="2" fillId="0" borderId="1" xfId="1" applyFont="1" applyBorder="1" applyAlignment="1">
      <alignment horizontal="center"/>
    </xf>
    <xf numFmtId="9" fontId="2" fillId="0" borderId="4" xfId="1" applyFont="1" applyBorder="1" applyAlignment="1">
      <alignment horizontal="center"/>
    </xf>
    <xf numFmtId="0" fontId="2" fillId="0" borderId="3" xfId="0" applyFont="1" applyBorder="1" applyAlignment="1">
      <alignment horizontal="right"/>
    </xf>
    <xf numFmtId="0" fontId="2" fillId="0" borderId="8" xfId="0" applyFont="1" applyBorder="1"/>
    <xf numFmtId="0" fontId="2" fillId="2" borderId="8" xfId="0" applyFont="1" applyFill="1" applyBorder="1" applyAlignment="1">
      <alignment horizontal="center"/>
    </xf>
    <xf numFmtId="167" fontId="2" fillId="0" borderId="13" xfId="0" applyNumberFormat="1" applyFont="1" applyBorder="1"/>
    <xf numFmtId="166" fontId="2" fillId="0" borderId="6" xfId="1" applyNumberFormat="1" applyFont="1" applyBorder="1"/>
    <xf numFmtId="167" fontId="2" fillId="0" borderId="7" xfId="0" applyNumberFormat="1" applyFont="1" applyBorder="1"/>
    <xf numFmtId="10" fontId="2" fillId="0" borderId="5" xfId="1" applyNumberFormat="1" applyFont="1" applyBorder="1"/>
    <xf numFmtId="10" fontId="2" fillId="0" borderId="3" xfId="1" applyNumberFormat="1" applyFont="1" applyBorder="1"/>
    <xf numFmtId="10" fontId="2" fillId="0" borderId="0" xfId="1" applyNumberFormat="1" applyFont="1" applyBorder="1"/>
    <xf numFmtId="166" fontId="2" fillId="0" borderId="0" xfId="1" applyNumberFormat="1" applyFont="1" applyBorder="1"/>
    <xf numFmtId="167" fontId="2" fillId="7" borderId="0" xfId="0" applyNumberFormat="1" applyFont="1" applyFill="1"/>
    <xf numFmtId="167" fontId="2" fillId="8" borderId="0" xfId="0" applyNumberFormat="1" applyFont="1" applyFill="1"/>
    <xf numFmtId="167" fontId="2" fillId="9" borderId="0" xfId="0" applyNumberFormat="1" applyFont="1" applyFill="1"/>
    <xf numFmtId="9" fontId="2" fillId="0" borderId="0" xfId="1" applyFont="1" applyBorder="1"/>
    <xf numFmtId="0" fontId="2" fillId="0" borderId="0" xfId="0" quotePrefix="1" applyFont="1" applyBorder="1"/>
    <xf numFmtId="0" fontId="2" fillId="0" borderId="13" xfId="0" applyFont="1" applyBorder="1" applyAlignment="1">
      <alignment horizontal="right"/>
    </xf>
    <xf numFmtId="0" fontId="2" fillId="0" borderId="14" xfId="0" applyFont="1" applyBorder="1" applyAlignment="1">
      <alignment horizontal="right"/>
    </xf>
    <xf numFmtId="0" fontId="2" fillId="0" borderId="0" xfId="0" quotePrefix="1" applyFont="1"/>
    <xf numFmtId="165" fontId="2" fillId="0" borderId="0" xfId="0" applyNumberFormat="1" applyFont="1"/>
    <xf numFmtId="0" fontId="2" fillId="0" borderId="0" xfId="0" applyFont="1" applyAlignment="1">
      <alignment horizontal="center"/>
    </xf>
    <xf numFmtId="0" fontId="2" fillId="0" borderId="9" xfId="0" applyFont="1" applyBorder="1" applyAlignment="1">
      <alignment horizontal="center"/>
    </xf>
    <xf numFmtId="0" fontId="2" fillId="0" borderId="4"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2" fillId="0" borderId="12" xfId="0" applyFont="1" applyBorder="1" applyAlignment="1">
      <alignment horizontal="center"/>
    </xf>
    <xf numFmtId="0" fontId="2" fillId="0" borderId="3" xfId="0" applyFont="1" applyBorder="1" applyAlignment="1">
      <alignment horizontal="center"/>
    </xf>
    <xf numFmtId="167" fontId="2" fillId="0" borderId="1" xfId="0" applyNumberFormat="1" applyFont="1" applyBorder="1" applyAlignment="1">
      <alignment horizontal="center"/>
    </xf>
    <xf numFmtId="167" fontId="2" fillId="0" borderId="4" xfId="0" applyNumberFormat="1"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0" xfId="0" applyFont="1" applyFill="1" applyBorder="1" applyAlignment="1">
      <alignment horizontal="center"/>
    </xf>
    <xf numFmtId="0" fontId="2" fillId="0" borderId="3" xfId="0" applyFont="1" applyFill="1" applyBorder="1" applyAlignment="1">
      <alignment horizontal="center"/>
    </xf>
    <xf numFmtId="0" fontId="2" fillId="0" borderId="6" xfId="0" applyFont="1" applyBorder="1" applyAlignment="1">
      <alignment horizontal="right"/>
    </xf>
    <xf numFmtId="0" fontId="2" fillId="0" borderId="7" xfId="0" applyFont="1" applyBorder="1" applyAlignment="1">
      <alignment horizontal="right"/>
    </xf>
    <xf numFmtId="0" fontId="2" fillId="0" borderId="0" xfId="0" applyFont="1" applyBorder="1" applyAlignment="1">
      <alignment horizontal="right"/>
    </xf>
    <xf numFmtId="0" fontId="2" fillId="0" borderId="3" xfId="0" applyFont="1" applyBorder="1" applyAlignment="1">
      <alignment horizontal="right"/>
    </xf>
    <xf numFmtId="0" fontId="2" fillId="0" borderId="0" xfId="0" applyFont="1"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9" fontId="0" fillId="0" borderId="0" xfId="1" applyFont="1" applyBorder="1" applyAlignment="1">
      <alignment horizontal="center"/>
    </xf>
  </cellXfs>
  <cellStyles count="3">
    <cellStyle name="Currency" xfId="2" builtinId="4"/>
    <cellStyle name="Normal" xfId="0" builtinId="0"/>
    <cellStyle name="Percent" xfId="1" builtinId="5"/>
  </cellStyles>
  <dxfs count="3">
    <dxf>
      <border diagonalUp="0" diagonalDown="0">
        <left/>
        <right style="thin">
          <color indexed="64"/>
        </right>
        <top/>
        <bottom/>
        <vertical/>
        <horizontal/>
      </border>
    </dxf>
    <dxf>
      <border outline="0">
        <right style="thin">
          <color indexed="64"/>
        </right>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Sales by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'Tiffany''s past performance'!$C$33</c:f>
              <c:strCache>
                <c:ptCount val="1"/>
                <c:pt idx="0">
                  <c:v>LVMH </c:v>
                </c:pt>
              </c:strCache>
            </c:strRef>
          </c:tx>
          <c:spPr>
            <a:solidFill>
              <a:schemeClr val="accent1"/>
            </a:solidFill>
            <a:ln>
              <a:noFill/>
            </a:ln>
            <a:effectLst/>
          </c:spPr>
          <c:invertIfNegative val="0"/>
          <c:cat>
            <c:strRef>
              <c:f>'Tiffany''s past performance'!$D$32:$H$32</c:f>
              <c:strCache>
                <c:ptCount val="5"/>
                <c:pt idx="0">
                  <c:v>America</c:v>
                </c:pt>
                <c:pt idx="1">
                  <c:v>Europe</c:v>
                </c:pt>
                <c:pt idx="2">
                  <c:v>Asia Pacific </c:v>
                </c:pt>
                <c:pt idx="3">
                  <c:v>Japan</c:v>
                </c:pt>
                <c:pt idx="4">
                  <c:v>Other</c:v>
                </c:pt>
              </c:strCache>
            </c:strRef>
          </c:cat>
          <c:val>
            <c:numRef>
              <c:f>'Tiffany''s past performance'!$D$33:$H$33</c:f>
              <c:numCache>
                <c:formatCode>0%</c:formatCode>
                <c:ptCount val="5"/>
                <c:pt idx="0">
                  <c:v>0.08</c:v>
                </c:pt>
                <c:pt idx="1">
                  <c:v>0.28000000000000003</c:v>
                </c:pt>
                <c:pt idx="2">
                  <c:v>0.38</c:v>
                </c:pt>
                <c:pt idx="3">
                  <c:v>0.12</c:v>
                </c:pt>
                <c:pt idx="4">
                  <c:v>0.14000000000000001</c:v>
                </c:pt>
              </c:numCache>
            </c:numRef>
          </c:val>
          <c:extLst>
            <c:ext xmlns:c16="http://schemas.microsoft.com/office/drawing/2014/chart" uri="{C3380CC4-5D6E-409C-BE32-E72D297353CC}">
              <c16:uniqueId val="{00000000-6BAF-49E2-B1F1-432A5C05F60C}"/>
            </c:ext>
          </c:extLst>
        </c:ser>
        <c:ser>
          <c:idx val="1"/>
          <c:order val="1"/>
          <c:tx>
            <c:strRef>
              <c:f>'Tiffany''s past performance'!$C$34</c:f>
              <c:strCache>
                <c:ptCount val="1"/>
                <c:pt idx="0">
                  <c:v>Richemont</c:v>
                </c:pt>
              </c:strCache>
            </c:strRef>
          </c:tx>
          <c:spPr>
            <a:solidFill>
              <a:schemeClr val="accent3"/>
            </a:solidFill>
            <a:ln>
              <a:noFill/>
            </a:ln>
            <a:effectLst/>
          </c:spPr>
          <c:invertIfNegative val="0"/>
          <c:cat>
            <c:strRef>
              <c:f>'Tiffany''s past performance'!$D$32:$H$32</c:f>
              <c:strCache>
                <c:ptCount val="5"/>
                <c:pt idx="0">
                  <c:v>America</c:v>
                </c:pt>
                <c:pt idx="1">
                  <c:v>Europe</c:v>
                </c:pt>
                <c:pt idx="2">
                  <c:v>Asia Pacific </c:v>
                </c:pt>
                <c:pt idx="3">
                  <c:v>Japan</c:v>
                </c:pt>
                <c:pt idx="4">
                  <c:v>Other</c:v>
                </c:pt>
              </c:strCache>
            </c:strRef>
          </c:cat>
          <c:val>
            <c:numRef>
              <c:f>'Tiffany''s past performance'!$D$34:$H$34</c:f>
              <c:numCache>
                <c:formatCode>0%</c:formatCode>
                <c:ptCount val="5"/>
                <c:pt idx="0">
                  <c:v>0.2</c:v>
                </c:pt>
                <c:pt idx="1">
                  <c:v>0.3</c:v>
                </c:pt>
                <c:pt idx="2">
                  <c:v>0.35</c:v>
                </c:pt>
                <c:pt idx="3">
                  <c:v>0.08</c:v>
                </c:pt>
                <c:pt idx="4">
                  <c:v>7.0000000000000007E-2</c:v>
                </c:pt>
              </c:numCache>
            </c:numRef>
          </c:val>
          <c:extLst>
            <c:ext xmlns:c16="http://schemas.microsoft.com/office/drawing/2014/chart" uri="{C3380CC4-5D6E-409C-BE32-E72D297353CC}">
              <c16:uniqueId val="{00000001-6BAF-49E2-B1F1-432A5C05F60C}"/>
            </c:ext>
          </c:extLst>
        </c:ser>
        <c:ser>
          <c:idx val="2"/>
          <c:order val="2"/>
          <c:tx>
            <c:strRef>
              <c:f>'Tiffany''s past performance'!$C$35</c:f>
              <c:strCache>
                <c:ptCount val="1"/>
                <c:pt idx="0">
                  <c:v>Tiffany &amp; Co</c:v>
                </c:pt>
              </c:strCache>
            </c:strRef>
          </c:tx>
          <c:spPr>
            <a:solidFill>
              <a:schemeClr val="accent5"/>
            </a:solidFill>
            <a:ln>
              <a:noFill/>
            </a:ln>
            <a:effectLst/>
          </c:spPr>
          <c:invertIfNegative val="0"/>
          <c:cat>
            <c:strRef>
              <c:f>'Tiffany''s past performance'!$D$32:$H$32</c:f>
              <c:strCache>
                <c:ptCount val="5"/>
                <c:pt idx="0">
                  <c:v>America</c:v>
                </c:pt>
                <c:pt idx="1">
                  <c:v>Europe</c:v>
                </c:pt>
                <c:pt idx="2">
                  <c:v>Asia Pacific </c:v>
                </c:pt>
                <c:pt idx="3">
                  <c:v>Japan</c:v>
                </c:pt>
                <c:pt idx="4">
                  <c:v>Other</c:v>
                </c:pt>
              </c:strCache>
            </c:strRef>
          </c:cat>
          <c:val>
            <c:numRef>
              <c:f>'Tiffany''s past performance'!$D$35:$H$35</c:f>
              <c:numCache>
                <c:formatCode>0%</c:formatCode>
                <c:ptCount val="5"/>
                <c:pt idx="0">
                  <c:v>0.44</c:v>
                </c:pt>
                <c:pt idx="1">
                  <c:v>0.11</c:v>
                </c:pt>
                <c:pt idx="2">
                  <c:v>0.28000000000000003</c:v>
                </c:pt>
                <c:pt idx="3">
                  <c:v>0.15</c:v>
                </c:pt>
                <c:pt idx="4">
                  <c:v>0.02</c:v>
                </c:pt>
              </c:numCache>
            </c:numRef>
          </c:val>
          <c:extLst>
            <c:ext xmlns:c16="http://schemas.microsoft.com/office/drawing/2014/chart" uri="{C3380CC4-5D6E-409C-BE32-E72D297353CC}">
              <c16:uniqueId val="{00000002-6BAF-49E2-B1F1-432A5C05F60C}"/>
            </c:ext>
          </c:extLst>
        </c:ser>
        <c:dLbls>
          <c:showLegendKey val="0"/>
          <c:showVal val="0"/>
          <c:showCatName val="0"/>
          <c:showSerName val="0"/>
          <c:showPercent val="0"/>
          <c:showBubbleSize val="0"/>
        </c:dLbls>
        <c:gapWidth val="219"/>
        <c:overlap val="-27"/>
        <c:axId val="591962312"/>
        <c:axId val="591961984"/>
      </c:barChart>
      <c:catAx>
        <c:axId val="591962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961984"/>
        <c:crosses val="autoZero"/>
        <c:auto val="1"/>
        <c:lblAlgn val="ctr"/>
        <c:lblOffset val="100"/>
        <c:noMultiLvlLbl val="0"/>
      </c:catAx>
      <c:valAx>
        <c:axId val="5919619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962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1228725</xdr:colOff>
      <xdr:row>20</xdr:row>
      <xdr:rowOff>0</xdr:rowOff>
    </xdr:from>
    <xdr:to>
      <xdr:col>6</xdr:col>
      <xdr:colOff>381000</xdr:colOff>
      <xdr:row>24</xdr:row>
      <xdr:rowOff>161925</xdr:rowOff>
    </xdr:to>
    <xdr:sp macro="" textlink="">
      <xdr:nvSpPr>
        <xdr:cNvPr id="2" name="TextBox 1">
          <a:extLst>
            <a:ext uri="{FF2B5EF4-FFF2-40B4-BE49-F238E27FC236}">
              <a16:creationId xmlns:a16="http://schemas.microsoft.com/office/drawing/2014/main" id="{F34F4093-B8E7-974B-DE54-FCD6507F6B34}"/>
            </a:ext>
          </a:extLst>
        </xdr:cNvPr>
        <xdr:cNvSpPr txBox="1"/>
      </xdr:nvSpPr>
      <xdr:spPr>
        <a:xfrm>
          <a:off x="1228725" y="4305300"/>
          <a:ext cx="6715125" cy="923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The selection was made considering NACE 47., 15., 13., 14., 46. and 32. (Jewelry, watches, clothing, pefumes, textiles, shoes ect ect).</a:t>
          </a:r>
        </a:p>
        <a:p>
          <a:r>
            <a:rPr lang="en-GB" sz="1100" b="0" i="0" u="none" strike="noStrike">
              <a:solidFill>
                <a:schemeClr val="dk1"/>
              </a:solidFill>
              <a:effectLst/>
              <a:latin typeface="+mn-lt"/>
              <a:ea typeface="+mn-ea"/>
              <a:cs typeface="+mn-cs"/>
            </a:rPr>
            <a:t>All these compnaies are also linked by the fact that all off them either offer premium and/or luxury products/services and therefore, like Tiffany, are exposed to highly similar market dynamics and consumistic/spending behaviours.</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533400</xdr:colOff>
      <xdr:row>7</xdr:row>
      <xdr:rowOff>85725</xdr:rowOff>
    </xdr:from>
    <xdr:to>
      <xdr:col>18</xdr:col>
      <xdr:colOff>457200</xdr:colOff>
      <xdr:row>27</xdr:row>
      <xdr:rowOff>133350</xdr:rowOff>
    </xdr:to>
    <xdr:sp macro="" textlink="">
      <xdr:nvSpPr>
        <xdr:cNvPr id="2" name="CasellaDiTesto 1">
          <a:extLst>
            <a:ext uri="{FF2B5EF4-FFF2-40B4-BE49-F238E27FC236}">
              <a16:creationId xmlns:a16="http://schemas.microsoft.com/office/drawing/2014/main" id="{76646EC7-1D67-71E1-3796-35638750845C}"/>
            </a:ext>
          </a:extLst>
        </xdr:cNvPr>
        <xdr:cNvSpPr txBox="1"/>
      </xdr:nvSpPr>
      <xdr:spPr>
        <a:xfrm>
          <a:off x="10182225" y="1419225"/>
          <a:ext cx="5133975" cy="3857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Stand-alone valuation</a:t>
          </a:r>
          <a:r>
            <a:rPr lang="en-GB" sz="1100" baseline="0"/>
            <a:t> of Tiffany based on October 2020 </a:t>
          </a:r>
          <a:r>
            <a:rPr lang="en-GB" sz="1100" b="1" i="0" u="sng" baseline="0"/>
            <a:t>management</a:t>
          </a:r>
          <a:r>
            <a:rPr lang="en-GB" sz="1100" baseline="0"/>
            <a:t> projections.</a:t>
          </a:r>
        </a:p>
        <a:p>
          <a:r>
            <a:rPr lang="en-GB" sz="1100" baseline="0"/>
            <a:t>These are the projections upon which Goldman Sachs e Centerview relied to carry out their valuation. The projections assume Tifany to continue being an indipendent public listed company. </a:t>
          </a:r>
        </a:p>
        <a:p>
          <a:endParaRPr lang="en-GB" sz="1100" baseline="0"/>
        </a:p>
        <a:p>
          <a:r>
            <a:rPr lang="en-GB" sz="1100" baseline="0"/>
            <a:t>Growth rate as well as Discount Rate are extrapolated from the SEC filing at the following link (sames as projections):</a:t>
          </a:r>
        </a:p>
        <a:p>
          <a:endParaRPr lang="en-GB" sz="1100" baseline="0"/>
        </a:p>
        <a:p>
          <a:r>
            <a:rPr lang="en-GB" sz="1100" baseline="0"/>
            <a:t>https://sec.report/Document/0001193125-20-304075/</a:t>
          </a:r>
        </a:p>
        <a:p>
          <a:endParaRPr lang="en-GB" sz="1100" baseline="0"/>
        </a:p>
        <a:p>
          <a:r>
            <a:rPr lang="en-GB" sz="1100" b="0" i="0" u="none" strike="noStrike" baseline="0">
              <a:solidFill>
                <a:schemeClr val="dk1"/>
              </a:solidFill>
              <a:latin typeface="+mn-lt"/>
              <a:ea typeface="+mn-ea"/>
              <a:cs typeface="+mn-cs"/>
            </a:rPr>
            <a:t>According to this projections, Tiffany was set to experiment a growth in sales of almost 45% from 2019 to 2025, implying a CAGR of 6,21%, which is well above Tiffany's last 3 years performance. " Furthermore </a:t>
          </a:r>
          <a:r>
            <a:rPr lang="en-GB" sz="1100" b="0" i="0" baseline="0">
              <a:solidFill>
                <a:schemeClr val="dk1"/>
              </a:solidFill>
              <a:effectLst/>
              <a:latin typeface="+mn-lt"/>
              <a:ea typeface="+mn-ea"/>
              <a:cs typeface="+mn-cs"/>
            </a:rPr>
            <a:t>[In 2018] </a:t>
          </a:r>
          <a:r>
            <a:rPr lang="en-GB" sz="1100" b="0" i="0" u="none" strike="noStrike" baseline="0">
              <a:solidFill>
                <a:schemeClr val="dk1"/>
              </a:solidFill>
              <a:latin typeface="+mn-lt"/>
              <a:ea typeface="+mn-ea"/>
              <a:cs typeface="+mn-cs"/>
            </a:rPr>
            <a:t>, Tiffany announced the first-ever large-scale renovation of the Flagship store in NY, expected to reach completion by 2022/24." </a:t>
          </a:r>
        </a:p>
        <a:p>
          <a:r>
            <a:rPr lang="en-GB" sz="1100" b="0" i="0" u="none" strike="noStrike" baseline="0">
              <a:solidFill>
                <a:schemeClr val="dk1"/>
              </a:solidFill>
              <a:latin typeface="+mn-lt"/>
              <a:ea typeface="+mn-ea"/>
              <a:cs typeface="+mn-cs"/>
            </a:rPr>
            <a:t>It could be that on the basis of these efforts as well as the launch of new product lines, Tiffany expects to achieve such an improvement in terms of turnover.</a:t>
          </a:r>
        </a:p>
        <a:p>
          <a:endParaRPr lang="en-GB" sz="1100" b="0" i="0" u="none" strike="noStrike" baseline="0">
            <a:solidFill>
              <a:schemeClr val="dk1"/>
            </a:solidFill>
            <a:latin typeface="+mn-lt"/>
            <a:ea typeface="+mn-ea"/>
            <a:cs typeface="+mn-cs"/>
          </a:endParaRPr>
        </a:p>
        <a:p>
          <a:r>
            <a:rPr lang="en-GB" sz="1300" b="1" i="0" u="none" strike="noStrike" baseline="0">
              <a:solidFill>
                <a:schemeClr val="dk1"/>
              </a:solidFill>
              <a:latin typeface="+mn-lt"/>
              <a:ea typeface="+mn-ea"/>
              <a:cs typeface="+mn-cs"/>
            </a:rPr>
            <a:t>PS: As these are management projections, it should be taken into account a possible overly optimistic view of the management in defining them.</a:t>
          </a:r>
        </a:p>
        <a:p>
          <a:endParaRPr lang="en-GB" sz="1100" b="0" i="0" u="none" strike="noStrike" baseline="0">
            <a:solidFill>
              <a:schemeClr val="dk1"/>
            </a:solidFill>
            <a:latin typeface="+mn-lt"/>
            <a:ea typeface="+mn-ea"/>
            <a:cs typeface="+mn-cs"/>
          </a:endParaRPr>
        </a:p>
        <a:p>
          <a:endParaRPr lang="en-GB" sz="1100" b="0" i="0" u="none" strike="noStrike" baseline="0">
            <a:solidFill>
              <a:schemeClr val="dk1"/>
            </a:solidFill>
            <a:latin typeface="+mn-lt"/>
            <a:ea typeface="+mn-ea"/>
            <a:cs typeface="+mn-cs"/>
          </a:endParaRPr>
        </a:p>
        <a:p>
          <a:endParaRPr lang="en-GB" sz="1100" b="0" i="0" u="none" strike="noStrike" baseline="0">
            <a:solidFill>
              <a:schemeClr val="dk1"/>
            </a:solidFill>
            <a:latin typeface="+mn-lt"/>
            <a:ea typeface="+mn-ea"/>
            <a:cs typeface="+mn-cs"/>
          </a:endParaRPr>
        </a:p>
        <a:p>
          <a:endParaRPr lang="en-GB" sz="1100" b="0" i="0" u="none" strike="noStrike" baseline="0">
            <a:solidFill>
              <a:schemeClr val="dk1"/>
            </a:solidFill>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179973</xdr:colOff>
      <xdr:row>4</xdr:row>
      <xdr:rowOff>170948</xdr:rowOff>
    </xdr:from>
    <xdr:to>
      <xdr:col>26</xdr:col>
      <xdr:colOff>158917</xdr:colOff>
      <xdr:row>54</xdr:row>
      <xdr:rowOff>10028</xdr:rowOff>
    </xdr:to>
    <xdr:sp macro="" textlink="">
      <xdr:nvSpPr>
        <xdr:cNvPr id="2" name="TextBox 1">
          <a:extLst>
            <a:ext uri="{FF2B5EF4-FFF2-40B4-BE49-F238E27FC236}">
              <a16:creationId xmlns:a16="http://schemas.microsoft.com/office/drawing/2014/main" id="{92E55D7F-C071-198B-CD17-C4C5B2329499}"/>
            </a:ext>
          </a:extLst>
        </xdr:cNvPr>
        <xdr:cNvSpPr txBox="1"/>
      </xdr:nvSpPr>
      <xdr:spPr>
        <a:xfrm>
          <a:off x="9003131" y="932948"/>
          <a:ext cx="10416339" cy="9364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ASSUMPTIONS:</a:t>
          </a:r>
        </a:p>
        <a:p>
          <a:endParaRPr lang="en-GB" sz="1100"/>
        </a:p>
        <a:p>
          <a:r>
            <a:rPr lang="en-GB" sz="1100"/>
            <a:t>-</a:t>
          </a:r>
          <a:r>
            <a:rPr lang="en-GB" sz="1100" baseline="0"/>
            <a:t> </a:t>
          </a:r>
          <a:r>
            <a:rPr lang="en-GB" sz="1100" b="1" baseline="0"/>
            <a:t>Revenues</a:t>
          </a:r>
          <a:r>
            <a:rPr lang="en-GB" sz="1100" baseline="0"/>
            <a:t>: the results for 2020 and 2021 are assumed to be in line with management projections (See link below). For the remaining years we defined growth based on the following:</a:t>
          </a:r>
        </a:p>
        <a:p>
          <a:endParaRPr lang="en-GB" sz="1100" baseline="0"/>
        </a:p>
        <a:p>
          <a:r>
            <a:rPr lang="en-GB" sz="1100" baseline="0"/>
            <a:t>1) "</a:t>
          </a:r>
          <a:r>
            <a:rPr lang="en-GB"/>
            <a:t>we expect the global fine jewellery market to be more branded, more digital, and more sustainability-focused than ever before. For a market that has often historically been known as the opposite of those attributes, the path to 2025 is poised to send waves of change throughout the industry. On the forefront, branded fine jewellery will be on the rise, with an </a:t>
          </a:r>
          <a:r>
            <a:rPr lang="en-GB" b="1"/>
            <a:t>expected compound </a:t>
          </a:r>
          <a:r>
            <a:rPr lang="en-GB" b="1">
              <a:solidFill>
                <a:sysClr val="windowText" lastClr="000000"/>
              </a:solidFill>
            </a:rPr>
            <a:t>annual</a:t>
          </a:r>
          <a:r>
            <a:rPr lang="en-GB" b="1"/>
            <a:t> growth rate (CAGR) of 8 to 12 percent from 2019 to 2025. </a:t>
          </a:r>
          <a:r>
            <a:rPr lang="en-GB"/>
            <a:t>This means that branded fine jewellery will grow approximately three times faster than the total market."  </a:t>
          </a:r>
          <a:r>
            <a:rPr lang="en-GB" sz="1100" i="1">
              <a:solidFill>
                <a:schemeClr val="dk1"/>
              </a:solidFill>
              <a:latin typeface="+mn-lt"/>
              <a:ea typeface="+mn-ea"/>
              <a:cs typeface="+mn-cs"/>
            </a:rPr>
            <a:t>Mckinsey</a:t>
          </a:r>
          <a:r>
            <a:rPr lang="en-GB" i="1">
              <a:solidFill>
                <a:schemeClr val="accent1"/>
              </a:solidFill>
            </a:rPr>
            <a:t> https://www.mckinsey.com/industries/retail/our-insights/state-of-fashion-watches-and-jewellery</a:t>
          </a:r>
        </a:p>
        <a:p>
          <a:r>
            <a:rPr lang="en-GB" sz="1100">
              <a:solidFill>
                <a:schemeClr val="dk1"/>
              </a:solidFill>
              <a:latin typeface="+mn-lt"/>
              <a:ea typeface="+mn-ea"/>
              <a:cs typeface="+mn-cs"/>
            </a:rPr>
            <a:t>2) </a:t>
          </a:r>
          <a:r>
            <a:rPr lang="en-GB"/>
            <a:t>The global jewelry market size was valued at USD 249.02 billion in 2021 and is </a:t>
          </a:r>
          <a:r>
            <a:rPr lang="en-GB" b="1"/>
            <a:t>expected to expand at a compound annual growth rate (CAGR) of 8.5% from 2022 to 2030. </a:t>
          </a:r>
          <a:r>
            <a:rPr lang="en-GB"/>
            <a:t>Increasing disposable income and innovative jewelry designs offered by manufacturers are expected to drive the product demand. Changing lifestyles and perceptions of jewelry as a status symbol are expected to boost the growth of this market. COVID-19 has had a positive effect on jewelry sales, with 30% of consumers in a recent poll reporting they purchased more jewelry during the pandemic, according to a study from the supplier group, the Plumb Club. </a:t>
          </a:r>
          <a:r>
            <a:rPr lang="en-GB" i="1"/>
            <a:t>Grand</a:t>
          </a:r>
          <a:r>
            <a:rPr lang="en-GB" i="1" baseline="0"/>
            <a:t> View Research </a:t>
          </a:r>
          <a:r>
            <a:rPr lang="en-GB" sz="1100" i="1">
              <a:solidFill>
                <a:schemeClr val="accent1"/>
              </a:solidFill>
              <a:latin typeface="+mn-lt"/>
              <a:ea typeface="+mn-ea"/>
              <a:cs typeface="+mn-cs"/>
            </a:rPr>
            <a:t>https://www.grandviewresearch.com/industry-analysis/jewelry-market</a:t>
          </a:r>
        </a:p>
        <a:p>
          <a:endParaRPr lang="en-GB" sz="1100" i="1">
            <a:solidFill>
              <a:schemeClr val="accent1"/>
            </a:solidFill>
            <a:latin typeface="+mn-lt"/>
            <a:ea typeface="+mn-ea"/>
            <a:cs typeface="+mn-cs"/>
          </a:endParaRPr>
        </a:p>
        <a:p>
          <a:r>
            <a:rPr lang="en-GB" sz="1100" i="0">
              <a:solidFill>
                <a:sysClr val="windowText" lastClr="000000"/>
              </a:solidFill>
              <a:latin typeface="+mn-lt"/>
              <a:ea typeface="+mn-ea"/>
              <a:cs typeface="+mn-cs"/>
            </a:rPr>
            <a:t>These</a:t>
          </a:r>
          <a:r>
            <a:rPr lang="en-GB" sz="1100" i="0" baseline="0">
              <a:solidFill>
                <a:sysClr val="windowText" lastClr="000000"/>
              </a:solidFill>
              <a:latin typeface="+mn-lt"/>
              <a:ea typeface="+mn-ea"/>
              <a:cs typeface="+mn-cs"/>
            </a:rPr>
            <a:t> expectations are in our opinion reasonable and applicable to this case given the synergies that are likely to arise thanks to the acquisition. Briefly:</a:t>
          </a:r>
        </a:p>
        <a:p>
          <a:endParaRPr lang="en-GB" sz="1100" i="0" baseline="0">
            <a:solidFill>
              <a:sysClr val="windowText" lastClr="000000"/>
            </a:solidFill>
            <a:latin typeface="+mn-lt"/>
            <a:ea typeface="+mn-ea"/>
            <a:cs typeface="+mn-cs"/>
          </a:endParaRPr>
        </a:p>
        <a:p>
          <a:r>
            <a:rPr lang="en-GB" sz="1100" i="0" baseline="0">
              <a:solidFill>
                <a:sysClr val="windowText" lastClr="000000"/>
              </a:solidFill>
              <a:latin typeface="+mn-lt"/>
              <a:ea typeface="+mn-ea"/>
              <a:cs typeface="+mn-cs"/>
            </a:rPr>
            <a:t>	- Tiffany integration within the group will imply the access to the established and wide network of distributors LVMH has built over the years. Significant 	improvements can be easily expected in Europe, historically a weak market for Tiffany, and China, which the leading geographic market with expected 	CAGR OF 20% over the next years. Tiffany has great margins of improvement there.</a:t>
          </a:r>
        </a:p>
        <a:p>
          <a:r>
            <a:rPr lang="en-GB" sz="1100" i="0" baseline="0">
              <a:solidFill>
                <a:sysClr val="windowText" lastClr="000000"/>
              </a:solidFill>
              <a:latin typeface="+mn-lt"/>
              <a:ea typeface="+mn-ea"/>
              <a:cs typeface="+mn-cs"/>
            </a:rPr>
            <a:t>	- Brands that before the acquisition were competitors will now be part of the same group. Marketing efforts, geographical expansion, products development 	and launch will be </a:t>
          </a:r>
          <a:r>
            <a:rPr lang="en-GB" sz="1100" b="1" i="0" baseline="0">
              <a:solidFill>
                <a:sysClr val="windowText" lastClr="000000"/>
              </a:solidFill>
              <a:latin typeface="+mn-lt"/>
              <a:ea typeface="+mn-ea"/>
              <a:cs typeface="+mn-cs"/>
            </a:rPr>
            <a:t>coordinated</a:t>
          </a:r>
          <a:r>
            <a:rPr lang="en-GB" sz="1100" i="0" baseline="0">
              <a:solidFill>
                <a:sysClr val="windowText" lastClr="000000"/>
              </a:solidFill>
              <a:latin typeface="+mn-lt"/>
              <a:ea typeface="+mn-ea"/>
              <a:cs typeface="+mn-cs"/>
            </a:rPr>
            <a:t> in order </a:t>
          </a:r>
          <a:r>
            <a:rPr lang="en-GB" sz="1100" b="1" i="0" baseline="0">
              <a:solidFill>
                <a:sysClr val="windowText" lastClr="000000"/>
              </a:solidFill>
              <a:latin typeface="+mn-lt"/>
              <a:ea typeface="+mn-ea"/>
              <a:cs typeface="+mn-cs"/>
            </a:rPr>
            <a:t>to avoid cannibalization </a:t>
          </a:r>
          <a:r>
            <a:rPr lang="en-GB" sz="1100" i="0" baseline="0">
              <a:solidFill>
                <a:sysClr val="windowText" lastClr="000000"/>
              </a:solidFill>
              <a:latin typeface="+mn-lt"/>
              <a:ea typeface="+mn-ea"/>
              <a:cs typeface="+mn-cs"/>
            </a:rPr>
            <a:t>and enable each brand to focus on their specific type of customers and markets.</a:t>
          </a:r>
        </a:p>
        <a:p>
          <a:r>
            <a:rPr lang="en-GB" sz="1100" i="0" baseline="0">
              <a:solidFill>
                <a:sysClr val="windowText" lastClr="000000"/>
              </a:solidFill>
              <a:latin typeface="+mn-lt"/>
              <a:ea typeface="+mn-ea"/>
              <a:cs typeface="+mn-cs"/>
            </a:rPr>
            <a:t>These operating synergies, if they occur, are for us hard to quantify, therefore we simply considered the CAGR indicated by the reports quoted above. It is not out of question that sales growth exeeds these figures.</a:t>
          </a:r>
        </a:p>
        <a:p>
          <a:r>
            <a:rPr lang="en-GB" sz="1100" baseline="0"/>
            <a:t>F</a:t>
          </a:r>
          <a:r>
            <a:rPr lang="en-GB" sz="1100"/>
            <a:t>rom</a:t>
          </a:r>
          <a:r>
            <a:rPr lang="en-GB" sz="1100" baseline="0"/>
            <a:t> 2019 to 2025 increase in sales of roughly 50%, implying a CAGR of 7,17% from 2019 to 2025, in line with Mckinsey forecast for "Fine Jewelry subsector". The increase of 44% in sales is also conceivable considering LVMH previous experience with Bulgari, another company in Jewelry and watches sector acquired in 2011. In that case LVMH managed to double Bulgari's sales in roughly 10 years. </a:t>
          </a:r>
          <a:r>
            <a:rPr lang="en-GB" sz="1100" i="1" baseline="0">
              <a:solidFill>
                <a:schemeClr val="dk1"/>
              </a:solidFill>
              <a:latin typeface="+mn-lt"/>
              <a:ea typeface="+mn-ea"/>
              <a:cs typeface="+mn-cs"/>
            </a:rPr>
            <a:t>SOURCE: </a:t>
          </a:r>
          <a:r>
            <a:rPr lang="en-GB" sz="1100" i="1" u="sng">
              <a:solidFill>
                <a:schemeClr val="accent1"/>
              </a:solidFill>
              <a:effectLst/>
              <a:latin typeface="+mn-lt"/>
              <a:ea typeface="+mn-ea"/>
              <a:cs typeface="+mn-cs"/>
            </a:rPr>
            <a:t>https://sec.report/Document/0001193125-20-304075/</a:t>
          </a:r>
        </a:p>
        <a:p>
          <a:endParaRPr lang="en-GB" sz="1100" baseline="0"/>
        </a:p>
        <a:p>
          <a:r>
            <a:rPr lang="en-GB" sz="1100" baseline="0"/>
            <a:t>-  </a:t>
          </a:r>
          <a:r>
            <a:rPr lang="en-GB" sz="1100" b="1" baseline="0"/>
            <a:t>Gross margin</a:t>
          </a:r>
          <a:r>
            <a:rPr lang="en-GB" sz="1100" baseline="0"/>
            <a:t>: inferred from historical records, although we expect an improvment over time thanks to intergration within LVMH. We assume a gradual improvment from 62% to 65% over the years projected. </a:t>
          </a:r>
        </a:p>
        <a:p>
          <a:r>
            <a:rPr lang="en-GB" sz="1100" baseline="0"/>
            <a:t>The basis for the assumption are the operating synergies expected to be gnerated:</a:t>
          </a:r>
        </a:p>
        <a:p>
          <a:r>
            <a:rPr lang="en-GB" sz="1100" baseline="0"/>
            <a:t>	- Access of tiffany to the worldwide network of suppliers of LVMH</a:t>
          </a:r>
        </a:p>
        <a:p>
          <a:r>
            <a:rPr lang="en-GB" sz="1100" baseline="0"/>
            <a:t>	- Benefits from Intragroup transactions. Among LVMH Maisons there also diamonds extractors (i.e. </a:t>
          </a:r>
        </a:p>
        <a:p>
          <a:r>
            <a:rPr lang="en-GB" sz="1100" baseline="0"/>
            <a:t>	- Benefits from optimisation of the portfolio of products of Tiffany to better align it and coodinate it to the rest of the Jewelry&amp; Watches division.</a:t>
          </a:r>
        </a:p>
        <a:p>
          <a:r>
            <a:rPr lang="en-GB" sz="1100" baseline="0"/>
            <a:t>To quantify the assumption we considered the estimation of an analyst in </a:t>
          </a:r>
          <a:r>
            <a:rPr lang="en-GB" sz="1100" i="1" baseline="0">
              <a:solidFill>
                <a:schemeClr val="accent1"/>
              </a:solidFill>
              <a:latin typeface="+mn-lt"/>
              <a:ea typeface="+mn-ea"/>
              <a:cs typeface="+mn-cs"/>
            </a:rPr>
            <a:t>" Tiffant &amp; Co.:The LVMH proposal". </a:t>
          </a:r>
          <a:r>
            <a:rPr lang="en-GB" sz="1100" baseline="0"/>
            <a:t>The pdf is attached and indicated in the Sources.</a:t>
          </a:r>
        </a:p>
        <a:p>
          <a:endParaRPr lang="en-GB" sz="1100" baseline="0"/>
        </a:p>
        <a:p>
          <a:r>
            <a:rPr lang="en-GB" sz="1100" baseline="0"/>
            <a:t>- </a:t>
          </a:r>
          <a:r>
            <a:rPr lang="en-GB" sz="1100" b="1" baseline="0"/>
            <a:t>Operating profit</a:t>
          </a:r>
          <a:r>
            <a:rPr lang="en-GB" sz="1100" baseline="0"/>
            <a:t>:Analysts expect an improvment from 16-17% to 23%-25% within 2025. Such an improvemente would imply a CAGR of 23,36 % over the four yar period 2022 - 2025</a:t>
          </a:r>
        </a:p>
        <a:p>
          <a:r>
            <a:rPr lang="en-GB" sz="1100" i="1" baseline="0"/>
            <a:t>SOURCE: </a:t>
          </a:r>
          <a:r>
            <a:rPr lang="en-GB" sz="1100" i="1" baseline="0">
              <a:solidFill>
                <a:schemeClr val="accent1"/>
              </a:solidFill>
            </a:rPr>
            <a:t>https://www.bscapitalmarkets.com/lvmhrsquos-tiffany-acquisition-a-golden-opportunity.html</a:t>
          </a:r>
        </a:p>
        <a:p>
          <a:r>
            <a:rPr lang="en-GB" sz="1100" i="1" baseline="0">
              <a:solidFill>
                <a:sysClr val="windowText" lastClr="000000"/>
              </a:solidFill>
            </a:rPr>
            <a:t>HOW? We expect the following synergies to </a:t>
          </a:r>
        </a:p>
        <a:p>
          <a:r>
            <a:rPr lang="en-GB" sz="1100" i="1" baseline="0">
              <a:solidFill>
                <a:sysClr val="windowText" lastClr="000000"/>
              </a:solidFill>
            </a:rPr>
            <a:t>	- </a:t>
          </a:r>
          <a:r>
            <a:rPr lang="en-GB" sz="1100" i="0" baseline="0">
              <a:solidFill>
                <a:sysClr val="windowText" lastClr="000000"/>
              </a:solidFill>
            </a:rPr>
            <a:t>Access to LVMH's net of distributors</a:t>
          </a:r>
        </a:p>
        <a:p>
          <a:r>
            <a:rPr lang="en-GB" sz="1100" i="0" baseline="0">
              <a:solidFill>
                <a:sysClr val="windowText" lastClr="000000"/>
              </a:solidFill>
            </a:rPr>
            <a:t>	- Pooling of Marketing expenses</a:t>
          </a:r>
        </a:p>
        <a:p>
          <a:r>
            <a:rPr lang="en-GB" sz="1100" i="0" baseline="0">
              <a:solidFill>
                <a:sysClr val="windowText" lastClr="000000"/>
              </a:solidFill>
            </a:rPr>
            <a:t>	- Becoming part of the group will allow to reduce the weight of corporate overheads. LVMH leverages its size to do so, thus benefiting its Maisons.</a:t>
          </a:r>
        </a:p>
        <a:p>
          <a:r>
            <a:rPr lang="en-GB" sz="1100" i="0" baseline="0">
              <a:solidFill>
                <a:sysClr val="windowText" lastClr="000000"/>
              </a:solidFill>
            </a:rPr>
            <a:t>This combined is expected to have notable impact of the weight of SG&amp;A expenses over time. Bulgari saw its operating margins improved up to 25%.</a:t>
          </a:r>
          <a:endParaRPr lang="en-GB" sz="1100" i="1" baseline="0">
            <a:solidFill>
              <a:sysClr val="windowText" lastClr="000000"/>
            </a:solidFill>
          </a:endParaRPr>
        </a:p>
        <a:p>
          <a:endParaRPr lang="en-GB" sz="1100" i="1" baseline="0">
            <a:solidFill>
              <a:schemeClr val="accent1"/>
            </a:solidFill>
          </a:endParaRPr>
        </a:p>
        <a:p>
          <a:r>
            <a:rPr lang="en-GB" sz="1100" baseline="0"/>
            <a:t>- </a:t>
          </a:r>
          <a:r>
            <a:rPr lang="en-GB" sz="1100" b="1" baseline="0"/>
            <a:t>Depreciation</a:t>
          </a:r>
          <a:r>
            <a:rPr lang="en-GB" sz="1100" baseline="0"/>
            <a:t>: inferred from historical financial data of the company. Average computed from the years 2016 to 2019 (5,30% of revenues)</a:t>
          </a:r>
        </a:p>
        <a:p>
          <a:r>
            <a:rPr lang="en-GB" sz="1100" baseline="0"/>
            <a:t>- </a:t>
          </a:r>
          <a:r>
            <a:rPr lang="en-GB" sz="1100" b="1" baseline="0"/>
            <a:t>Working capital</a:t>
          </a:r>
          <a:r>
            <a:rPr lang="en-GB" sz="1100" baseline="0"/>
            <a:t>: Based on historical performance and analyst expectations, we forecast a 50% improvment in WC turnover within 2025 (Gradual). </a:t>
          </a:r>
        </a:p>
        <a:p>
          <a:r>
            <a:rPr lang="en-GB" sz="1100" baseline="0"/>
            <a:t>SOURCE: </a:t>
          </a:r>
          <a:r>
            <a:rPr lang="en-GB" sz="1100" i="1" baseline="0">
              <a:solidFill>
                <a:schemeClr val="accent1"/>
              </a:solidFill>
              <a:latin typeface="+mn-lt"/>
              <a:ea typeface="+mn-ea"/>
              <a:cs typeface="+mn-cs"/>
            </a:rPr>
            <a:t>" Tiffant &amp; Co.:The LVMH proposal"</a:t>
          </a:r>
        </a:p>
        <a:p>
          <a:r>
            <a:rPr lang="en-GB" sz="1100" baseline="0"/>
            <a:t>- </a:t>
          </a:r>
          <a:r>
            <a:rPr lang="en-GB" sz="1100" b="1" baseline="0"/>
            <a:t>Capex</a:t>
          </a:r>
          <a:r>
            <a:rPr lang="en-GB" sz="1100" baseline="0"/>
            <a:t> is inferred from historical records which show an average expediture of 6% (of revenues), from 2021 to 2025</a:t>
          </a:r>
        </a:p>
        <a:p>
          <a:r>
            <a:rPr lang="en-GB" sz="1100" baseline="0"/>
            <a:t>In 2020 a drop of 32% must be accounted for. Reported by both Tiffany and LVMH</a:t>
          </a:r>
        </a:p>
        <a:p>
          <a:r>
            <a:rPr lang="en-GB" sz="1100" baseline="0"/>
            <a:t>In 2021 a "dramatic increase" is expected due to renovation of FLAGSHIP STORE in NY. We assume up to 7,5% or more.</a:t>
          </a:r>
        </a:p>
        <a:p>
          <a:endParaRPr lang="en-GB" sz="1100" baseline="0"/>
        </a:p>
        <a:p>
          <a:r>
            <a:rPr lang="en-GB" sz="1100" baseline="0"/>
            <a:t>WACC: considering this is a valuation of the company including the possible synergies arising from its successful acquisition by LVMH, the discount rate we utilize for the DCF consists in the Group's Weighted average Cost of Capital.</a:t>
          </a:r>
        </a:p>
        <a:p>
          <a:r>
            <a:rPr lang="en-GB" sz="1100" i="0" baseline="0"/>
            <a:t>SOURCE: </a:t>
          </a:r>
          <a:r>
            <a:rPr lang="en-GB" sz="1100" i="0" u="sng">
              <a:solidFill>
                <a:schemeClr val="accent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https://finbox.com/DB:MOHF/models/wacc</a:t>
          </a:r>
          <a:endParaRPr lang="en-GB" sz="1100" i="0" baseline="0">
            <a:solidFill>
              <a:schemeClr val="accent1"/>
            </a:solidFill>
          </a:endParaRPr>
        </a:p>
        <a:p>
          <a:endParaRPr lang="en-GB" sz="1100" baseline="0"/>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200025</xdr:colOff>
      <xdr:row>26</xdr:row>
      <xdr:rowOff>0</xdr:rowOff>
    </xdr:from>
    <xdr:to>
      <xdr:col>14</xdr:col>
      <xdr:colOff>390525</xdr:colOff>
      <xdr:row>40</xdr:row>
      <xdr:rowOff>76200</xdr:rowOff>
    </xdr:to>
    <xdr:graphicFrame macro="">
      <xdr:nvGraphicFramePr>
        <xdr:cNvPr id="2" name="Grafico 1">
          <a:extLst>
            <a:ext uri="{FF2B5EF4-FFF2-40B4-BE49-F238E27FC236}">
              <a16:creationId xmlns:a16="http://schemas.microsoft.com/office/drawing/2014/main" id="{F20F1EC4-9BBA-4039-B1B8-AB579A886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80A2D4-88EC-41ED-9E8E-C631D5E8E86B}" name="Tabella1" displayName="Tabella1" ref="J16:N21" totalsRowShown="0" headerRowBorderDxfId="2" tableBorderDxfId="1">
  <autoFilter ref="J16:N21" xr:uid="{9D80A2D4-88EC-41ED-9E8E-C631D5E8E86B}"/>
  <tableColumns count="5">
    <tableColumn id="1" xr3:uid="{8A71C95E-CC37-461E-88AC-E7CF82839B57}" name="TIFFANY &amp; CO" dataDxfId="0"/>
    <tableColumn id="2" xr3:uid="{44DDAB7C-9079-4481-8BF8-A00CA29569F5}" name="2016"/>
    <tableColumn id="3" xr3:uid="{464C894C-366B-4125-8F1F-89E9DE3CE0D2}" name="2017"/>
    <tableColumn id="4" xr3:uid="{E66CA463-B462-48CD-86F7-54EBEDE459DA}" name="2018"/>
    <tableColumn id="5" xr3:uid="{5F1D2AEC-A2E0-402A-B992-644B3CB067C4}" name="2019"/>
  </tableColumns>
  <tableStyleInfo name="TableStyleMedium2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EAA25-09BD-44B8-9A72-B11947A45666}">
  <dimension ref="A1:P32"/>
  <sheetViews>
    <sheetView tabSelected="1" topLeftCell="A2" workbookViewId="0">
      <selection activeCell="D30" sqref="D30"/>
    </sheetView>
  </sheetViews>
  <sheetFormatPr defaultColWidth="9.109375" defaultRowHeight="13.8" x14ac:dyDescent="0.25"/>
  <cols>
    <col min="1" max="1" width="31.5546875" style="24" bestFit="1" customWidth="1"/>
    <col min="2" max="2" width="17.44140625" style="24" bestFit="1" customWidth="1"/>
    <col min="3" max="3" width="16.88671875" style="24" bestFit="1" customWidth="1"/>
    <col min="4" max="6" width="15.88671875" style="24" bestFit="1" customWidth="1"/>
    <col min="7" max="7" width="19.109375" style="24" customWidth="1"/>
    <col min="8" max="8" width="11.5546875" style="24" customWidth="1"/>
    <col min="9" max="9" width="12.44140625" style="24" customWidth="1"/>
    <col min="10" max="10" width="9.109375" style="24"/>
    <col min="11" max="11" width="13.5546875" style="24" bestFit="1" customWidth="1"/>
    <col min="12" max="12" width="18.88671875" style="24" bestFit="1" customWidth="1"/>
    <col min="13" max="13" width="13.6640625" style="24" bestFit="1" customWidth="1"/>
    <col min="14" max="14" width="9.109375" style="24"/>
    <col min="15" max="15" width="10" style="24" bestFit="1" customWidth="1"/>
    <col min="16" max="16" width="10.33203125" style="24" bestFit="1" customWidth="1"/>
    <col min="17" max="16384" width="9.109375" style="24"/>
  </cols>
  <sheetData>
    <row r="1" spans="1:16" x14ac:dyDescent="0.25">
      <c r="A1" s="121" t="s">
        <v>61</v>
      </c>
      <c r="B1" s="121"/>
      <c r="C1" s="121"/>
    </row>
    <row r="3" spans="1:16" ht="33" x14ac:dyDescent="0.25">
      <c r="A3" s="59" t="s">
        <v>30</v>
      </c>
      <c r="B3" s="59" t="s">
        <v>46</v>
      </c>
      <c r="C3" s="60" t="s">
        <v>57</v>
      </c>
      <c r="D3" s="60" t="s">
        <v>58</v>
      </c>
      <c r="E3" s="60" t="s">
        <v>59</v>
      </c>
      <c r="F3" s="60" t="s">
        <v>60</v>
      </c>
      <c r="G3" s="60" t="s">
        <v>62</v>
      </c>
      <c r="H3" s="60" t="s">
        <v>3</v>
      </c>
      <c r="I3" s="60" t="s">
        <v>2</v>
      </c>
    </row>
    <row r="4" spans="1:16" x14ac:dyDescent="0.25">
      <c r="A4" s="61" t="s">
        <v>31</v>
      </c>
      <c r="B4" s="62" t="s">
        <v>47</v>
      </c>
      <c r="C4" s="63">
        <v>209349644.417</v>
      </c>
      <c r="D4" s="63">
        <v>53670000</v>
      </c>
      <c r="E4" s="63">
        <v>15807000</v>
      </c>
      <c r="F4" s="63">
        <v>18850000</v>
      </c>
      <c r="G4" s="63">
        <f>C4+F4</f>
        <v>228199644.417</v>
      </c>
      <c r="H4" s="64">
        <f>G4/D4</f>
        <v>4.2519031939072107</v>
      </c>
      <c r="I4" s="64">
        <f>G4/E4</f>
        <v>14.436619498766369</v>
      </c>
    </row>
    <row r="5" spans="1:16" x14ac:dyDescent="0.25">
      <c r="A5" s="65" t="s">
        <v>32</v>
      </c>
      <c r="B5" s="66" t="s">
        <v>48</v>
      </c>
      <c r="C5" s="67">
        <v>73898660.775999993</v>
      </c>
      <c r="D5" s="67">
        <v>15883500</v>
      </c>
      <c r="E5" s="67">
        <v>5950400</v>
      </c>
      <c r="F5" s="67">
        <v>2812200</v>
      </c>
      <c r="G5" s="67">
        <f t="shared" ref="G5:G19" si="0">C5+F5</f>
        <v>76710860.775999993</v>
      </c>
      <c r="H5" s="68">
        <f t="shared" ref="H5:H19" si="1">G5/D5</f>
        <v>4.8295942818648276</v>
      </c>
      <c r="I5" s="68">
        <f t="shared" ref="I5:I19" si="2">G5/E5</f>
        <v>12.89171497311105</v>
      </c>
      <c r="K5" s="122" t="s">
        <v>63</v>
      </c>
      <c r="L5" s="123"/>
      <c r="O5" s="44" t="s">
        <v>72</v>
      </c>
      <c r="P5" s="31">
        <v>2019</v>
      </c>
    </row>
    <row r="6" spans="1:16" ht="21.6" x14ac:dyDescent="0.25">
      <c r="A6" s="61" t="s">
        <v>33</v>
      </c>
      <c r="B6" s="62" t="s">
        <v>49</v>
      </c>
      <c r="C6" s="63">
        <v>26227312.138999999</v>
      </c>
      <c r="D6" s="63">
        <v>14238000</v>
      </c>
      <c r="E6" s="63">
        <v>3055000</v>
      </c>
      <c r="F6" s="63">
        <v>5281000</v>
      </c>
      <c r="G6" s="63">
        <f t="shared" si="0"/>
        <v>31508312.138999999</v>
      </c>
      <c r="H6" s="64">
        <f t="shared" si="1"/>
        <v>2.2129731801517067</v>
      </c>
      <c r="I6" s="64">
        <f t="shared" si="2"/>
        <v>10.313686461211129</v>
      </c>
      <c r="K6" s="124" t="s">
        <v>5</v>
      </c>
      <c r="L6" s="125"/>
      <c r="M6" s="72" t="s">
        <v>0</v>
      </c>
      <c r="O6" s="39" t="s">
        <v>73</v>
      </c>
      <c r="P6" s="23">
        <f>4424</f>
        <v>4424</v>
      </c>
    </row>
    <row r="7" spans="1:16" x14ac:dyDescent="0.25">
      <c r="A7" s="65" t="s">
        <v>34</v>
      </c>
      <c r="B7" s="66" t="s">
        <v>47</v>
      </c>
      <c r="C7" s="67">
        <v>70330343.562999994</v>
      </c>
      <c r="D7" s="67">
        <v>6883400</v>
      </c>
      <c r="E7" s="67">
        <v>2835700</v>
      </c>
      <c r="F7" s="67">
        <v>-3242500</v>
      </c>
      <c r="G7" s="67">
        <f t="shared" si="0"/>
        <v>67087843.562999994</v>
      </c>
      <c r="H7" s="68">
        <f t="shared" si="1"/>
        <v>9.7463235556556338</v>
      </c>
      <c r="I7" s="68">
        <f t="shared" si="2"/>
        <v>23.658300794512815</v>
      </c>
      <c r="K7" s="117" t="s">
        <v>3</v>
      </c>
      <c r="L7" s="52">
        <f>MEDIAN(H4:H19)</f>
        <v>2.2265566652723887</v>
      </c>
      <c r="M7" s="70">
        <f>L7*P6</f>
        <v>9850.2866871650476</v>
      </c>
      <c r="O7" s="39" t="s">
        <v>74</v>
      </c>
      <c r="P7" s="23">
        <f>992.3</f>
        <v>992.3</v>
      </c>
    </row>
    <row r="8" spans="1:16" x14ac:dyDescent="0.25">
      <c r="A8" s="61" t="s">
        <v>35</v>
      </c>
      <c r="B8" s="62" t="s">
        <v>50</v>
      </c>
      <c r="C8" s="63">
        <v>7182949.3867087299</v>
      </c>
      <c r="D8" s="63">
        <v>7578545.2178806001</v>
      </c>
      <c r="E8" s="63">
        <v>1383684.4053027199</v>
      </c>
      <c r="F8" s="63">
        <v>-1233823.56937957</v>
      </c>
      <c r="G8" s="63">
        <f t="shared" si="0"/>
        <v>5949125.8173291599</v>
      </c>
      <c r="H8" s="64">
        <f t="shared" si="1"/>
        <v>0.78499575397306665</v>
      </c>
      <c r="I8" s="64">
        <f t="shared" si="2"/>
        <v>4.2994817275747366</v>
      </c>
      <c r="K8" s="117" t="s">
        <v>2</v>
      </c>
      <c r="L8" s="52">
        <f>MEDIAN(I4:I19)</f>
        <v>10.592258849846257</v>
      </c>
      <c r="M8" s="70">
        <f>L8*P7</f>
        <v>10510.698456702439</v>
      </c>
    </row>
    <row r="9" spans="1:16" x14ac:dyDescent="0.25">
      <c r="A9" s="65" t="s">
        <v>36</v>
      </c>
      <c r="B9" s="66" t="s">
        <v>51</v>
      </c>
      <c r="C9" s="67">
        <v>1151417.8979950999</v>
      </c>
      <c r="D9" s="67">
        <v>5552933.7293171501</v>
      </c>
      <c r="E9" s="67">
        <v>347448.55910084298</v>
      </c>
      <c r="F9" s="67">
        <v>1821300.0120158501</v>
      </c>
      <c r="G9" s="67">
        <f t="shared" si="0"/>
        <v>2972717.9100109497</v>
      </c>
      <c r="H9" s="68">
        <f t="shared" si="1"/>
        <v>0.53534186700558872</v>
      </c>
      <c r="I9" s="68">
        <f t="shared" si="2"/>
        <v>8.5558504479166722</v>
      </c>
      <c r="K9" s="126"/>
      <c r="L9" s="127"/>
      <c r="M9" s="71"/>
    </row>
    <row r="10" spans="1:16" x14ac:dyDescent="0.25">
      <c r="A10" s="61" t="s">
        <v>37</v>
      </c>
      <c r="B10" s="62" t="s">
        <v>52</v>
      </c>
      <c r="C10" s="63">
        <v>8089646.2951364601</v>
      </c>
      <c r="D10" s="63">
        <v>5296223.6070525004</v>
      </c>
      <c r="E10" s="63">
        <v>975483.70297306799</v>
      </c>
      <c r="F10" s="63">
        <v>324165.334678646</v>
      </c>
      <c r="G10" s="63">
        <f t="shared" si="0"/>
        <v>8413811.6298151053</v>
      </c>
      <c r="H10" s="64">
        <f t="shared" si="1"/>
        <v>1.5886435796651781</v>
      </c>
      <c r="I10" s="64">
        <f t="shared" si="2"/>
        <v>8.6252713440230604</v>
      </c>
      <c r="K10" s="126" t="s">
        <v>4</v>
      </c>
      <c r="L10" s="127"/>
      <c r="M10" s="71"/>
    </row>
    <row r="11" spans="1:16" x14ac:dyDescent="0.25">
      <c r="A11" s="65" t="s">
        <v>38</v>
      </c>
      <c r="B11" s="66" t="s">
        <v>53</v>
      </c>
      <c r="C11" s="67">
        <v>27302656.256999999</v>
      </c>
      <c r="D11" s="67">
        <v>3766615</v>
      </c>
      <c r="E11" s="67">
        <v>1467893</v>
      </c>
      <c r="F11" s="67">
        <v>1191791</v>
      </c>
      <c r="G11" s="67">
        <f t="shared" si="0"/>
        <v>28494447.256999999</v>
      </c>
      <c r="H11" s="68">
        <f t="shared" si="1"/>
        <v>7.5650012695749362</v>
      </c>
      <c r="I11" s="68">
        <f t="shared" si="2"/>
        <v>19.411801307724744</v>
      </c>
      <c r="K11" s="117" t="s">
        <v>3</v>
      </c>
      <c r="L11" s="52">
        <f>AVERAGE(H4:H18)</f>
        <v>3.1498875360957497</v>
      </c>
      <c r="M11" s="70">
        <f>L11*P6</f>
        <v>13935.102459687596</v>
      </c>
    </row>
    <row r="12" spans="1:16" x14ac:dyDescent="0.25">
      <c r="A12" s="61" t="s">
        <v>39</v>
      </c>
      <c r="B12" s="62" t="s">
        <v>51</v>
      </c>
      <c r="C12" s="63">
        <v>14688805.955946101</v>
      </c>
      <c r="D12" s="63">
        <v>4002896.9413076299</v>
      </c>
      <c r="E12" s="63">
        <v>897846.88853064203</v>
      </c>
      <c r="F12" s="63">
        <v>142327.23527750699</v>
      </c>
      <c r="G12" s="63">
        <f t="shared" si="0"/>
        <v>14831133.191223608</v>
      </c>
      <c r="H12" s="64">
        <f t="shared" si="1"/>
        <v>3.7050999335443069</v>
      </c>
      <c r="I12" s="64">
        <f t="shared" si="2"/>
        <v>16.518554979340941</v>
      </c>
      <c r="K12" s="118" t="s">
        <v>2</v>
      </c>
      <c r="L12" s="69">
        <f>AVERAGE(I4:I18)</f>
        <v>11.252325118944769</v>
      </c>
      <c r="M12" s="70">
        <f>L12*P7</f>
        <v>11165.682215528894</v>
      </c>
    </row>
    <row r="13" spans="1:16" x14ac:dyDescent="0.25">
      <c r="A13" s="65" t="s">
        <v>40</v>
      </c>
      <c r="B13" s="66" t="s">
        <v>54</v>
      </c>
      <c r="C13" s="67">
        <v>2980499.7394892802</v>
      </c>
      <c r="D13" s="67">
        <v>5622307.9772087801</v>
      </c>
      <c r="E13" s="67">
        <v>615370.63512356905</v>
      </c>
      <c r="F13" s="67">
        <v>-680996.78265454597</v>
      </c>
      <c r="G13" s="67">
        <f t="shared" si="0"/>
        <v>2299502.9568347344</v>
      </c>
      <c r="H13" s="68">
        <f t="shared" si="1"/>
        <v>0.40899626383973597</v>
      </c>
      <c r="I13" s="68">
        <f t="shared" si="2"/>
        <v>3.7367771966775507</v>
      </c>
    </row>
    <row r="14" spans="1:16" x14ac:dyDescent="0.25">
      <c r="A14" s="61" t="s">
        <v>41</v>
      </c>
      <c r="B14" s="62" t="s">
        <v>47</v>
      </c>
      <c r="C14" s="63">
        <v>1471022.9921253801</v>
      </c>
      <c r="D14" s="63">
        <v>5066630.6668213196</v>
      </c>
      <c r="E14" s="63">
        <v>736582.76853266102</v>
      </c>
      <c r="F14" s="63">
        <v>1448521.50391739</v>
      </c>
      <c r="G14" s="63">
        <f t="shared" si="0"/>
        <v>2919544.4960427703</v>
      </c>
      <c r="H14" s="64">
        <f t="shared" si="1"/>
        <v>0.57622998162493289</v>
      </c>
      <c r="I14" s="64">
        <f t="shared" si="2"/>
        <v>3.9636339876084326</v>
      </c>
      <c r="L14" s="17" t="s">
        <v>82</v>
      </c>
      <c r="M14" s="23">
        <f>AVERAGE(M7:M8,M11:M12)</f>
        <v>11365.442454770993</v>
      </c>
    </row>
    <row r="15" spans="1:16" x14ac:dyDescent="0.25">
      <c r="A15" s="65" t="s">
        <v>42</v>
      </c>
      <c r="B15" s="66" t="s">
        <v>52</v>
      </c>
      <c r="C15" s="67">
        <v>9418717.3059999999</v>
      </c>
      <c r="D15" s="67">
        <v>3225594</v>
      </c>
      <c r="E15" s="67">
        <v>985249</v>
      </c>
      <c r="F15" s="67">
        <v>404536</v>
      </c>
      <c r="G15" s="67">
        <f t="shared" si="0"/>
        <v>9823253.3059999999</v>
      </c>
      <c r="H15" s="68">
        <f t="shared" si="1"/>
        <v>3.0454090955030297</v>
      </c>
      <c r="I15" s="68">
        <f t="shared" si="2"/>
        <v>9.970325578610078</v>
      </c>
      <c r="L15" s="30" t="s">
        <v>105</v>
      </c>
      <c r="M15" s="42">
        <f>1032 - 874.7</f>
        <v>157.29999999999995</v>
      </c>
    </row>
    <row r="16" spans="1:16" x14ac:dyDescent="0.25">
      <c r="A16" s="61" t="s">
        <v>43</v>
      </c>
      <c r="B16" s="62" t="s">
        <v>47</v>
      </c>
      <c r="C16" s="63">
        <v>6047475.1027554898</v>
      </c>
      <c r="D16" s="63">
        <v>2970648.65502183</v>
      </c>
      <c r="E16" s="63">
        <v>612158.27739730501</v>
      </c>
      <c r="F16" s="63">
        <v>607194.22207008698</v>
      </c>
      <c r="G16" s="63">
        <f t="shared" si="0"/>
        <v>6654669.3248255765</v>
      </c>
      <c r="H16" s="64">
        <f t="shared" si="1"/>
        <v>2.2401401503930711</v>
      </c>
      <c r="I16" s="64">
        <f t="shared" si="2"/>
        <v>10.870831238481385</v>
      </c>
    </row>
    <row r="17" spans="1:13" x14ac:dyDescent="0.25">
      <c r="A17" s="65" t="s">
        <v>44</v>
      </c>
      <c r="B17" s="66" t="s">
        <v>55</v>
      </c>
      <c r="C17" s="67">
        <v>3164812.5</v>
      </c>
      <c r="D17" s="67">
        <v>1377261</v>
      </c>
      <c r="E17" s="67">
        <v>347835</v>
      </c>
      <c r="F17" s="67">
        <v>-174272</v>
      </c>
      <c r="G17" s="67">
        <f t="shared" si="0"/>
        <v>2990540.5</v>
      </c>
      <c r="H17" s="68">
        <f t="shared" si="1"/>
        <v>2.1713680268300632</v>
      </c>
      <c r="I17" s="68">
        <f t="shared" si="2"/>
        <v>8.5975836244196238</v>
      </c>
      <c r="L17" s="24" t="s">
        <v>79</v>
      </c>
      <c r="M17" s="23">
        <f>M14-M15</f>
        <v>11208.142454770994</v>
      </c>
    </row>
    <row r="18" spans="1:13" x14ac:dyDescent="0.25">
      <c r="A18" s="61" t="s">
        <v>45</v>
      </c>
      <c r="B18" s="62" t="s">
        <v>56</v>
      </c>
      <c r="C18" s="63">
        <v>2146079.9640000002</v>
      </c>
      <c r="D18" s="63">
        <v>607761</v>
      </c>
      <c r="E18" s="63">
        <v>168512</v>
      </c>
      <c r="F18" s="63">
        <v>33529</v>
      </c>
      <c r="G18" s="63">
        <f t="shared" si="0"/>
        <v>2179608.9640000002</v>
      </c>
      <c r="H18" s="64">
        <f t="shared" si="1"/>
        <v>3.5862929079029424</v>
      </c>
      <c r="I18" s="64">
        <f t="shared" si="2"/>
        <v>12.934443624192937</v>
      </c>
      <c r="L18" s="24" t="s">
        <v>81</v>
      </c>
      <c r="M18" s="23">
        <f>(M17*1000000)/M20</f>
        <v>92.315582034448084</v>
      </c>
    </row>
    <row r="19" spans="1:13" ht="22.8" x14ac:dyDescent="0.25">
      <c r="A19" s="84" t="s">
        <v>94</v>
      </c>
      <c r="B19" s="66">
        <v>4777</v>
      </c>
      <c r="C19" s="67">
        <v>118800001</v>
      </c>
      <c r="D19" s="67">
        <v>70795800</v>
      </c>
      <c r="E19" s="67">
        <v>10965900</v>
      </c>
      <c r="F19" s="67">
        <f>(10344400+2524900)-6031900</f>
        <v>6837400</v>
      </c>
      <c r="G19" s="67">
        <f t="shared" si="0"/>
        <v>125637401</v>
      </c>
      <c r="H19" s="68">
        <f t="shared" si="1"/>
        <v>1.7746448376881114</v>
      </c>
      <c r="I19" s="68">
        <f t="shared" si="2"/>
        <v>11.457098915729672</v>
      </c>
    </row>
    <row r="20" spans="1:13" x14ac:dyDescent="0.25">
      <c r="K20" s="121" t="s">
        <v>75</v>
      </c>
      <c r="L20" s="121"/>
      <c r="M20" s="56">
        <f>121411166</f>
        <v>121411166</v>
      </c>
    </row>
    <row r="28" spans="1:13" x14ac:dyDescent="0.25">
      <c r="B28" s="24" t="s">
        <v>124</v>
      </c>
    </row>
    <row r="30" spans="1:13" x14ac:dyDescent="0.25">
      <c r="B30" s="24" t="s">
        <v>125</v>
      </c>
    </row>
    <row r="32" spans="1:13" x14ac:dyDescent="0.25">
      <c r="B32" s="24" t="s">
        <v>126</v>
      </c>
    </row>
  </sheetData>
  <mergeCells count="6">
    <mergeCell ref="A1:C1"/>
    <mergeCell ref="K5:L5"/>
    <mergeCell ref="K20:L20"/>
    <mergeCell ref="K6:L6"/>
    <mergeCell ref="K10:L10"/>
    <mergeCell ref="K9:L9"/>
  </mergeCells>
  <pageMargins left="0.7" right="0.7" top="0.75" bottom="0.75" header="0.3" footer="0.3"/>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20AC2-041F-4D8F-85F9-954EAF925FFE}">
  <dimension ref="A2:O42"/>
  <sheetViews>
    <sheetView workbookViewId="0">
      <selection activeCell="G3" sqref="G3"/>
    </sheetView>
  </sheetViews>
  <sheetFormatPr defaultColWidth="9.109375" defaultRowHeight="13.8" x14ac:dyDescent="0.25"/>
  <cols>
    <col min="1" max="1" width="9.109375" style="24"/>
    <col min="2" max="2" width="24.5546875" style="24" bestFit="1" customWidth="1"/>
    <col min="3" max="3" width="19.44140625" style="24" bestFit="1" customWidth="1"/>
    <col min="4" max="4" width="14.44140625" style="24" customWidth="1"/>
    <col min="5" max="5" width="16.5546875" style="24" bestFit="1" customWidth="1"/>
    <col min="6" max="6" width="15.109375" style="24" customWidth="1"/>
    <col min="7" max="7" width="14.109375" style="24" customWidth="1"/>
    <col min="8" max="8" width="13.6640625" style="24" bestFit="1" customWidth="1"/>
    <col min="9" max="9" width="14.33203125" style="24" customWidth="1"/>
    <col min="10" max="10" width="14.109375" style="24" bestFit="1" customWidth="1"/>
    <col min="11" max="11" width="9.109375" style="24"/>
    <col min="12" max="12" width="10.6640625" style="24" customWidth="1"/>
    <col min="13" max="13" width="11.44140625" style="24" customWidth="1"/>
    <col min="14" max="14" width="10.33203125" style="24" bestFit="1" customWidth="1"/>
    <col min="15" max="18" width="9.109375" style="24"/>
    <col min="19" max="19" width="10.88671875" style="24" bestFit="1" customWidth="1"/>
    <col min="20" max="20" width="12" style="24" bestFit="1" customWidth="1"/>
    <col min="21" max="16384" width="9.109375" style="24"/>
  </cols>
  <sheetData>
    <row r="2" spans="2:15" x14ac:dyDescent="0.25">
      <c r="B2" s="37"/>
      <c r="C2" s="103" t="s">
        <v>120</v>
      </c>
      <c r="D2" s="128" t="s">
        <v>27</v>
      </c>
      <c r="E2" s="128"/>
      <c r="F2" s="128"/>
      <c r="G2" s="128"/>
      <c r="H2" s="128"/>
      <c r="I2" s="129"/>
    </row>
    <row r="3" spans="2:15" x14ac:dyDescent="0.25">
      <c r="B3" s="38" t="s">
        <v>14</v>
      </c>
      <c r="C3" s="104">
        <v>2019</v>
      </c>
      <c r="D3" s="96" t="s">
        <v>12</v>
      </c>
      <c r="E3" s="96" t="s">
        <v>6</v>
      </c>
      <c r="F3" s="96" t="s">
        <v>16</v>
      </c>
      <c r="G3" s="96" t="s">
        <v>7</v>
      </c>
      <c r="H3" s="96" t="s">
        <v>8</v>
      </c>
      <c r="I3" s="97" t="s">
        <v>13</v>
      </c>
      <c r="L3" s="130"/>
      <c r="M3" s="131"/>
      <c r="N3" s="32" t="s">
        <v>66</v>
      </c>
      <c r="O3" s="33" t="s">
        <v>67</v>
      </c>
    </row>
    <row r="4" spans="2:15" x14ac:dyDescent="0.25">
      <c r="B4" s="21" t="s">
        <v>9</v>
      </c>
      <c r="C4" s="105">
        <f>4424</f>
        <v>4424</v>
      </c>
      <c r="D4" s="23">
        <f>3599</f>
        <v>3599</v>
      </c>
      <c r="E4" s="23">
        <v>4259</v>
      </c>
      <c r="F4" s="23">
        <v>4950</v>
      </c>
      <c r="G4" s="23">
        <v>5511</v>
      </c>
      <c r="H4" s="23">
        <v>6015</v>
      </c>
      <c r="I4" s="49">
        <f>6376</f>
        <v>6376</v>
      </c>
      <c r="L4" s="45" t="s">
        <v>64</v>
      </c>
      <c r="M4" s="46"/>
      <c r="N4" s="35">
        <f>((I4/D4)^(1/5))-1</f>
        <v>0.12117470844593892</v>
      </c>
      <c r="O4" s="35">
        <f>((I4/C4)^(1/6))-1</f>
        <v>6.2809754396017325E-2</v>
      </c>
    </row>
    <row r="5" spans="2:15" x14ac:dyDescent="0.25">
      <c r="B5" s="21" t="s">
        <v>1</v>
      </c>
      <c r="C5" s="105">
        <f>1019.3</f>
        <v>1019.3</v>
      </c>
      <c r="D5" s="23">
        <v>726</v>
      </c>
      <c r="E5" s="23">
        <f>839</f>
        <v>839</v>
      </c>
      <c r="F5" s="23">
        <v>1136</v>
      </c>
      <c r="G5" s="23">
        <v>1361</v>
      </c>
      <c r="H5" s="23">
        <v>1543</v>
      </c>
      <c r="I5" s="49">
        <v>1655</v>
      </c>
      <c r="L5" s="47" t="s">
        <v>65</v>
      </c>
      <c r="M5" s="15"/>
      <c r="N5" s="35">
        <f>(I4-D4)/D4</f>
        <v>0.7716032231175326</v>
      </c>
      <c r="O5" s="35">
        <f>(I4-C4)/C4</f>
        <v>0.44122965641952983</v>
      </c>
    </row>
    <row r="6" spans="2:15" x14ac:dyDescent="0.25">
      <c r="B6" s="39"/>
      <c r="C6" s="37"/>
      <c r="J6" s="9" t="s">
        <v>77</v>
      </c>
    </row>
    <row r="7" spans="2:15" x14ac:dyDescent="0.25">
      <c r="B7" s="37"/>
      <c r="C7" s="37" t="s">
        <v>15</v>
      </c>
      <c r="D7" s="23">
        <f>340</f>
        <v>340</v>
      </c>
      <c r="E7" s="23">
        <f>-12</f>
        <v>-12</v>
      </c>
      <c r="F7" s="23">
        <f>369</f>
        <v>369</v>
      </c>
      <c r="G7" s="23">
        <f>605</f>
        <v>605</v>
      </c>
      <c r="H7" s="23">
        <f>769</f>
        <v>769</v>
      </c>
      <c r="I7" s="23">
        <f>890</f>
        <v>890</v>
      </c>
      <c r="J7" s="40">
        <f>(I7*(1+E24))/(C24-E24)</f>
        <v>18949.583333333332</v>
      </c>
    </row>
    <row r="8" spans="2:15" x14ac:dyDescent="0.25">
      <c r="B8" s="37"/>
      <c r="C8" s="37"/>
      <c r="D8" s="37"/>
      <c r="M8" s="23"/>
    </row>
    <row r="9" spans="2:15" x14ac:dyDescent="0.25">
      <c r="D9" s="41"/>
      <c r="G9" s="136" t="s">
        <v>78</v>
      </c>
      <c r="H9" s="137"/>
      <c r="I9" s="29">
        <f>NPV(C24,D7:I7)</f>
        <v>2211.3722156876297</v>
      </c>
      <c r="M9" s="23"/>
    </row>
    <row r="10" spans="2:15" x14ac:dyDescent="0.25">
      <c r="D10" s="41"/>
      <c r="G10" s="136" t="s">
        <v>28</v>
      </c>
      <c r="H10" s="137"/>
      <c r="I10" s="29">
        <f>J7/(1+C24)^6</f>
        <v>12626.907498729655</v>
      </c>
      <c r="M10" s="23"/>
    </row>
    <row r="11" spans="2:15" x14ac:dyDescent="0.25">
      <c r="D11" s="23"/>
      <c r="H11" s="39"/>
      <c r="I11" s="37"/>
      <c r="N11" s="25"/>
    </row>
    <row r="12" spans="2:15" x14ac:dyDescent="0.25">
      <c r="D12" s="23"/>
      <c r="G12" s="136" t="s">
        <v>24</v>
      </c>
      <c r="H12" s="137"/>
      <c r="I12" s="48">
        <f>SUM(I9:I10)</f>
        <v>14838.279714417286</v>
      </c>
      <c r="N12" s="25"/>
    </row>
    <row r="13" spans="2:15" x14ac:dyDescent="0.25">
      <c r="D13" s="23"/>
      <c r="G13" s="136" t="s">
        <v>25</v>
      </c>
      <c r="H13" s="137"/>
      <c r="I13" s="23">
        <v>1032</v>
      </c>
      <c r="N13" s="25"/>
    </row>
    <row r="14" spans="2:15" x14ac:dyDescent="0.25">
      <c r="C14" s="120">
        <f>131.5*H19</f>
        <v>15965568329</v>
      </c>
      <c r="F14" s="43"/>
      <c r="G14" s="134" t="s">
        <v>26</v>
      </c>
      <c r="H14" s="135"/>
      <c r="I14" s="73">
        <v>874.7</v>
      </c>
    </row>
    <row r="15" spans="2:15" x14ac:dyDescent="0.25">
      <c r="F15" s="43"/>
      <c r="G15" s="132" t="s">
        <v>79</v>
      </c>
      <c r="H15" s="133"/>
      <c r="I15" s="23">
        <f>I12-I13+I14</f>
        <v>14680.979714417286</v>
      </c>
    </row>
    <row r="16" spans="2:15" x14ac:dyDescent="0.25">
      <c r="G16" s="121"/>
      <c r="H16" s="121"/>
    </row>
    <row r="17" spans="1:14" x14ac:dyDescent="0.25">
      <c r="B17" s="37"/>
      <c r="C17" s="37"/>
      <c r="D17" s="37"/>
      <c r="G17" s="121" t="s">
        <v>81</v>
      </c>
      <c r="H17" s="121"/>
      <c r="I17" s="23">
        <f>(I15*1000000)/H19</f>
        <v>120.91951834493779</v>
      </c>
    </row>
    <row r="18" spans="1:14" x14ac:dyDescent="0.25">
      <c r="M18" s="9"/>
      <c r="N18" s="9"/>
    </row>
    <row r="19" spans="1:14" x14ac:dyDescent="0.25">
      <c r="F19" s="121" t="s">
        <v>75</v>
      </c>
      <c r="G19" s="121"/>
      <c r="H19" s="56">
        <f>121411166</f>
        <v>121411166</v>
      </c>
      <c r="M19" s="23"/>
      <c r="N19" s="23"/>
    </row>
    <row r="20" spans="1:14" x14ac:dyDescent="0.25">
      <c r="L20" s="17"/>
    </row>
    <row r="21" spans="1:14" x14ac:dyDescent="0.25">
      <c r="B21" s="57" t="s">
        <v>118</v>
      </c>
      <c r="C21" s="26">
        <f>0.055</f>
        <v>5.5E-2</v>
      </c>
      <c r="D21" s="57" t="s">
        <v>119</v>
      </c>
      <c r="E21" s="26">
        <f>0.012</f>
        <v>1.2E-2</v>
      </c>
      <c r="L21" s="17"/>
    </row>
    <row r="22" spans="1:14" x14ac:dyDescent="0.25">
      <c r="B22" s="57"/>
      <c r="C22" s="26">
        <f>0.06</f>
        <v>0.06</v>
      </c>
      <c r="D22" s="39"/>
      <c r="E22" s="26">
        <f>0.014</f>
        <v>1.4E-2</v>
      </c>
      <c r="L22" s="17"/>
    </row>
    <row r="23" spans="1:14" x14ac:dyDescent="0.25">
      <c r="B23" s="57"/>
      <c r="C23" s="26">
        <f>0.065</f>
        <v>6.5000000000000002E-2</v>
      </c>
      <c r="D23" s="39"/>
      <c r="E23" s="26">
        <f>0.018</f>
        <v>1.7999999999999999E-2</v>
      </c>
      <c r="L23" s="17"/>
    </row>
    <row r="24" spans="1:14" x14ac:dyDescent="0.25">
      <c r="B24" s="102"/>
      <c r="C24" s="26">
        <f>0.07</f>
        <v>7.0000000000000007E-2</v>
      </c>
      <c r="D24" s="39"/>
      <c r="E24" s="26">
        <f>0.022</f>
        <v>2.1999999999999999E-2</v>
      </c>
      <c r="F24" s="26"/>
      <c r="G24" s="26"/>
      <c r="H24" s="26"/>
      <c r="L24" s="17"/>
    </row>
    <row r="25" spans="1:14" x14ac:dyDescent="0.25">
      <c r="B25" s="102"/>
      <c r="C25" s="26">
        <f>0.075</f>
        <v>7.4999999999999997E-2</v>
      </c>
      <c r="D25" s="39"/>
      <c r="E25" s="26">
        <f>0.026</f>
        <v>2.5999999999999999E-2</v>
      </c>
      <c r="F25" s="26"/>
      <c r="G25" s="26"/>
      <c r="H25" s="26"/>
      <c r="L25" s="17"/>
    </row>
    <row r="26" spans="1:14" x14ac:dyDescent="0.25">
      <c r="B26" s="102"/>
      <c r="C26" s="26">
        <f>0.08</f>
        <v>0.08</v>
      </c>
      <c r="D26" s="39"/>
      <c r="E26" s="26">
        <f>0.032</f>
        <v>3.2000000000000001E-2</v>
      </c>
    </row>
    <row r="27" spans="1:14" x14ac:dyDescent="0.25">
      <c r="B27" s="39"/>
      <c r="C27" s="26">
        <f>0.085</f>
        <v>8.5000000000000006E-2</v>
      </c>
      <c r="D27" s="39"/>
      <c r="E27" s="26">
        <f>0.035</f>
        <v>3.5000000000000003E-2</v>
      </c>
    </row>
    <row r="28" spans="1:14" x14ac:dyDescent="0.25">
      <c r="B28" s="37"/>
      <c r="C28" s="95"/>
      <c r="D28" s="95"/>
    </row>
    <row r="29" spans="1:14" x14ac:dyDescent="0.25">
      <c r="E29" s="24" t="s">
        <v>122</v>
      </c>
    </row>
    <row r="30" spans="1:14" x14ac:dyDescent="0.25">
      <c r="A30" s="119" t="s">
        <v>123</v>
      </c>
    </row>
    <row r="31" spans="1:14" x14ac:dyDescent="0.25">
      <c r="C31" s="107">
        <f>I17</f>
        <v>120.91951834493779</v>
      </c>
      <c r="D31" s="106">
        <f>0.012</f>
        <v>1.2E-2</v>
      </c>
      <c r="E31" s="106">
        <f>0.014</f>
        <v>1.4E-2</v>
      </c>
      <c r="F31" s="106">
        <f>0.018</f>
        <v>1.7999999999999999E-2</v>
      </c>
      <c r="G31" s="106">
        <f>0.022</f>
        <v>2.1999999999999999E-2</v>
      </c>
      <c r="H31" s="106">
        <f>0.026</f>
        <v>2.5999999999999999E-2</v>
      </c>
      <c r="I31" s="106">
        <f>0.032</f>
        <v>3.2000000000000001E-2</v>
      </c>
      <c r="J31" s="106">
        <f>0.035</f>
        <v>3.5000000000000003E-2</v>
      </c>
    </row>
    <row r="32" spans="1:14" x14ac:dyDescent="0.25">
      <c r="C32" s="51">
        <f>0.055</f>
        <v>5.5E-2</v>
      </c>
      <c r="D32" s="23">
        <f t="dataTable" ref="D32:J38" dt2D="1" dtr="1" r1="E24" r2="C24"/>
        <v>143.1638922296718</v>
      </c>
      <c r="E32" s="23">
        <v>149.52667009897976</v>
      </c>
      <c r="F32" s="23">
        <v>164.31582947088484</v>
      </c>
      <c r="G32" s="23">
        <v>182.69023959961538</v>
      </c>
      <c r="H32" s="23">
        <v>206.13345252247848</v>
      </c>
      <c r="I32" s="23">
        <v>256.58732381298819</v>
      </c>
      <c r="J32" s="23">
        <v>293.16638049860768</v>
      </c>
    </row>
    <row r="33" spans="2:10" x14ac:dyDescent="0.25">
      <c r="B33" s="24" t="s">
        <v>121</v>
      </c>
      <c r="C33" s="51">
        <f>0.06</f>
        <v>0.06</v>
      </c>
      <c r="D33" s="23">
        <v>126.60997285503119</v>
      </c>
      <c r="E33" s="112">
        <v>131.57170113169198</v>
      </c>
      <c r="F33" s="112">
        <v>142.91279433548806</v>
      </c>
      <c r="G33" s="112">
        <v>156.64148610850438</v>
      </c>
      <c r="H33" s="112">
        <v>173.600458298701</v>
      </c>
      <c r="I33" s="112">
        <v>208.12408025731557</v>
      </c>
      <c r="J33" s="23">
        <v>231.60014318917351</v>
      </c>
    </row>
    <row r="34" spans="2:10" x14ac:dyDescent="0.25">
      <c r="C34" s="51">
        <f>0.065</f>
        <v>6.5000000000000002E-2</v>
      </c>
      <c r="D34" s="23">
        <v>113.20946857545133</v>
      </c>
      <c r="E34" s="112">
        <v>117.16830254136056</v>
      </c>
      <c r="F34" s="113">
        <v>126.09673659213456</v>
      </c>
      <c r="G34" s="113">
        <v>136.68627465235488</v>
      </c>
      <c r="H34" s="113">
        <v>149.44802564800497</v>
      </c>
      <c r="I34" s="112">
        <v>174.39144804859387</v>
      </c>
      <c r="J34" s="23">
        <v>190.60467260897661</v>
      </c>
    </row>
    <row r="35" spans="2:10" x14ac:dyDescent="0.25">
      <c r="C35" s="51">
        <f>0.07</f>
        <v>7.0000000000000007E-2</v>
      </c>
      <c r="D35" s="23">
        <v>102.14610435432431</v>
      </c>
      <c r="E35" s="112">
        <v>105.36440389557232</v>
      </c>
      <c r="F35" s="113">
        <v>112.54368748758715</v>
      </c>
      <c r="G35" s="114">
        <v>120.91951834493779</v>
      </c>
      <c r="H35" s="113">
        <v>130.8182275399885</v>
      </c>
      <c r="I35" s="112">
        <v>149.57367654113727</v>
      </c>
      <c r="J35" s="23">
        <v>161.36281591328793</v>
      </c>
    </row>
    <row r="36" spans="2:10" x14ac:dyDescent="0.25">
      <c r="C36" s="51">
        <f>0.075</f>
        <v>7.4999999999999997E-2</v>
      </c>
      <c r="D36" s="23">
        <v>92.862761733839392</v>
      </c>
      <c r="E36" s="112">
        <v>95.520111167449642</v>
      </c>
      <c r="F36" s="113">
        <v>101.39425202069339</v>
      </c>
      <c r="G36" s="113">
        <v>108.15505564423805</v>
      </c>
      <c r="H36" s="113">
        <v>116.0196639410145</v>
      </c>
      <c r="I36" s="112">
        <v>130.56004439668263</v>
      </c>
      <c r="J36" s="23">
        <v>139.46602742577934</v>
      </c>
    </row>
    <row r="37" spans="2:10" x14ac:dyDescent="0.25">
      <c r="C37" s="51">
        <f>0.08</f>
        <v>0.08</v>
      </c>
      <c r="D37" s="23">
        <v>84.966199940531297</v>
      </c>
      <c r="E37" s="112">
        <v>87.189457341200281</v>
      </c>
      <c r="F37" s="112">
        <v>92.066280026538735</v>
      </c>
      <c r="G37" s="112">
        <v>97.615767909854867</v>
      </c>
      <c r="H37" s="112">
        <v>103.98740214625485</v>
      </c>
      <c r="I37" s="112">
        <v>115.53598919972991</v>
      </c>
      <c r="J37" s="23">
        <v>122.46514143181493</v>
      </c>
    </row>
    <row r="38" spans="2:10" x14ac:dyDescent="0.25">
      <c r="C38" s="51">
        <f>0.085</f>
        <v>8.5000000000000006E-2</v>
      </c>
      <c r="D38" s="23">
        <v>78.170932729712831</v>
      </c>
      <c r="E38" s="23">
        <v>80.052117579898663</v>
      </c>
      <c r="F38" s="23">
        <v>84.151415910154327</v>
      </c>
      <c r="G38" s="23">
        <v>88.77126006012503</v>
      </c>
      <c r="H38" s="23">
        <v>94.017523755854427</v>
      </c>
      <c r="I38" s="23">
        <v>103.37171091144747</v>
      </c>
      <c r="J38" s="23">
        <v>108.89068133324736</v>
      </c>
    </row>
    <row r="41" spans="2:10" x14ac:dyDescent="0.25">
      <c r="B41" s="37"/>
      <c r="C41" s="37"/>
      <c r="D41" s="37"/>
    </row>
    <row r="42" spans="2:10" x14ac:dyDescent="0.25">
      <c r="B42" s="37"/>
      <c r="C42" s="37"/>
      <c r="D42" s="37"/>
    </row>
  </sheetData>
  <mergeCells count="11">
    <mergeCell ref="D2:I2"/>
    <mergeCell ref="F19:G19"/>
    <mergeCell ref="G16:H16"/>
    <mergeCell ref="G17:H17"/>
    <mergeCell ref="L3:M3"/>
    <mergeCell ref="G15:H15"/>
    <mergeCell ref="G14:H14"/>
    <mergeCell ref="G13:H13"/>
    <mergeCell ref="G12:H12"/>
    <mergeCell ref="G9:H9"/>
    <mergeCell ref="G10:H10"/>
  </mergeCells>
  <pageMargins left="0.7" right="0.7" top="0.75" bottom="0.75" header="0.3" footer="0.3"/>
  <pageSetup paperSize="9"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76D61-8A8C-432E-9A1F-F3ACC2ED5475}">
  <dimension ref="A1:S70"/>
  <sheetViews>
    <sheetView topLeftCell="A37" zoomScale="95" zoomScaleNormal="95" workbookViewId="0">
      <selection activeCell="H59" sqref="H59"/>
    </sheetView>
  </sheetViews>
  <sheetFormatPr defaultColWidth="9.109375" defaultRowHeight="13.8" x14ac:dyDescent="0.25"/>
  <cols>
    <col min="1" max="1" width="16.33203125" style="24" bestFit="1" customWidth="1"/>
    <col min="2" max="2" width="17.44140625" style="24" bestFit="1" customWidth="1"/>
    <col min="3" max="3" width="14.88671875" style="24" bestFit="1" customWidth="1"/>
    <col min="4" max="4" width="15.6640625" style="24" bestFit="1" customWidth="1"/>
    <col min="5" max="5" width="12" style="24" bestFit="1" customWidth="1"/>
    <col min="6" max="6" width="11" style="24" bestFit="1" customWidth="1"/>
    <col min="7" max="7" width="14.5546875" style="24" bestFit="1" customWidth="1"/>
    <col min="8" max="8" width="11.109375" style="24" bestFit="1" customWidth="1"/>
    <col min="9" max="9" width="14.6640625" style="24" customWidth="1"/>
    <col min="10" max="10" width="14.109375" style="24" bestFit="1" customWidth="1"/>
    <col min="11" max="11" width="19.109375" style="24" bestFit="1" customWidth="1"/>
    <col min="12" max="12" width="11.109375" style="24" bestFit="1" customWidth="1"/>
    <col min="13" max="14" width="8.109375" style="24" bestFit="1" customWidth="1"/>
    <col min="15" max="16384" width="9.109375" style="24"/>
  </cols>
  <sheetData>
    <row r="1" spans="2:19" x14ac:dyDescent="0.25">
      <c r="I1" s="37"/>
      <c r="J1" s="37"/>
    </row>
    <row r="2" spans="2:19" x14ac:dyDescent="0.25">
      <c r="B2" s="122" t="s">
        <v>100</v>
      </c>
      <c r="C2" s="123"/>
      <c r="D2" s="100">
        <f>0.08</f>
        <v>0.08</v>
      </c>
      <c r="E2" s="100">
        <v>0.09</v>
      </c>
      <c r="F2" s="100">
        <f>0.1</f>
        <v>0.1</v>
      </c>
      <c r="G2" s="100">
        <f>0.11</f>
        <v>0.11</v>
      </c>
      <c r="H2" s="101">
        <f>0.12</f>
        <v>0.12</v>
      </c>
      <c r="I2" s="29"/>
      <c r="J2" s="37"/>
      <c r="K2" s="130"/>
      <c r="L2" s="131"/>
      <c r="M2" s="54" t="s">
        <v>66</v>
      </c>
      <c r="N2" s="54" t="s">
        <v>67</v>
      </c>
    </row>
    <row r="3" spans="2:19" x14ac:dyDescent="0.25">
      <c r="F3" s="25"/>
      <c r="G3" s="25"/>
      <c r="I3" s="35">
        <v>0.23336265559967417</v>
      </c>
      <c r="K3" s="45" t="s">
        <v>64</v>
      </c>
      <c r="L3" s="46"/>
      <c r="M3" s="34">
        <f>((I6/D6)^(1/5))-1</f>
        <v>0.13239925981698297</v>
      </c>
      <c r="N3" s="34">
        <f>((I6/C6)^(1/6))-1</f>
        <v>7.1669248282665077E-2</v>
      </c>
    </row>
    <row r="4" spans="2:19" x14ac:dyDescent="0.25">
      <c r="B4" s="36" t="s">
        <v>71</v>
      </c>
      <c r="C4" s="18" t="s">
        <v>120</v>
      </c>
      <c r="D4" s="122" t="s">
        <v>27</v>
      </c>
      <c r="E4" s="139"/>
      <c r="F4" s="139"/>
      <c r="G4" s="139"/>
      <c r="H4" s="139"/>
      <c r="I4" s="123"/>
      <c r="K4" s="47" t="s">
        <v>106</v>
      </c>
      <c r="L4" s="15"/>
      <c r="M4" s="34">
        <f>(I6-D6)/D6</f>
        <v>0.86207806452903679</v>
      </c>
      <c r="N4" s="34">
        <f>(I6-C6)/C6</f>
        <v>0.51483249417721599</v>
      </c>
      <c r="P4" s="24">
        <v>858.61440000000016</v>
      </c>
      <c r="Q4" s="24">
        <v>1068.4979200000005</v>
      </c>
      <c r="R4" s="24">
        <v>1316.3894374400006</v>
      </c>
      <c r="S4" s="24">
        <v>1675.4047385600009</v>
      </c>
    </row>
    <row r="5" spans="2:19" x14ac:dyDescent="0.25">
      <c r="B5" s="15"/>
      <c r="C5" s="15">
        <v>2019</v>
      </c>
      <c r="D5" s="9" t="s">
        <v>12</v>
      </c>
      <c r="E5" s="9" t="s">
        <v>6</v>
      </c>
      <c r="F5" s="9" t="s">
        <v>16</v>
      </c>
      <c r="G5" s="9" t="s">
        <v>7</v>
      </c>
      <c r="H5" s="9" t="s">
        <v>8</v>
      </c>
      <c r="I5" s="46" t="s">
        <v>13</v>
      </c>
    </row>
    <row r="6" spans="2:19" x14ac:dyDescent="0.25">
      <c r="B6" s="21" t="s">
        <v>9</v>
      </c>
      <c r="C6" s="19">
        <f>4424</f>
        <v>4424</v>
      </c>
      <c r="D6" s="23">
        <v>3599</v>
      </c>
      <c r="E6" s="23">
        <v>4259</v>
      </c>
      <c r="F6" s="23">
        <f>E6*(1+$H$2)</f>
        <v>4770.0800000000008</v>
      </c>
      <c r="G6" s="23">
        <f>F6*(1+$H$2)</f>
        <v>5342.4896000000017</v>
      </c>
      <c r="H6" s="23">
        <f>G6*(1+$H$2)</f>
        <v>5983.5883520000025</v>
      </c>
      <c r="I6" s="49">
        <f>H6*(1+$H$2)</f>
        <v>6701.6189542400034</v>
      </c>
      <c r="K6" s="29"/>
      <c r="L6" s="37"/>
    </row>
    <row r="7" spans="2:19" x14ac:dyDescent="0.25">
      <c r="B7" s="21"/>
      <c r="C7" s="15"/>
      <c r="I7" s="50"/>
      <c r="K7" s="35"/>
    </row>
    <row r="8" spans="2:19" x14ac:dyDescent="0.25">
      <c r="B8" s="21" t="s">
        <v>10</v>
      </c>
      <c r="C8" s="19">
        <f>2761.9</f>
        <v>2761.9</v>
      </c>
      <c r="D8" s="23">
        <f>D6*0.62</f>
        <v>2231.38</v>
      </c>
      <c r="E8" s="23">
        <f>E$6*0.625</f>
        <v>2661.875</v>
      </c>
      <c r="F8" s="23">
        <f>F$6*0.635</f>
        <v>3029.0008000000007</v>
      </c>
      <c r="G8" s="23">
        <f>G$6*0.635</f>
        <v>3392.4808960000009</v>
      </c>
      <c r="H8" s="23">
        <f>H$6*0.64</f>
        <v>3829.4965452800016</v>
      </c>
      <c r="I8" s="49">
        <f>I$6*0.65</f>
        <v>4356.0523202560025</v>
      </c>
    </row>
    <row r="9" spans="2:19" x14ac:dyDescent="0.25">
      <c r="B9" s="21" t="s">
        <v>11</v>
      </c>
      <c r="C9" s="20">
        <f t="shared" ref="C9" si="0">C8/C6</f>
        <v>0.62429927667269447</v>
      </c>
      <c r="D9" s="26">
        <f t="shared" ref="D9:E9" si="1">D8/D6</f>
        <v>0.62</v>
      </c>
      <c r="E9" s="26">
        <f t="shared" si="1"/>
        <v>0.625</v>
      </c>
      <c r="F9" s="26">
        <f>F8/F6</f>
        <v>0.63500000000000001</v>
      </c>
      <c r="G9" s="26">
        <f>G8/G6</f>
        <v>0.63500000000000001</v>
      </c>
      <c r="H9" s="26">
        <f>H8/H6</f>
        <v>0.64</v>
      </c>
      <c r="I9" s="51">
        <f>I8/I6</f>
        <v>0.65</v>
      </c>
    </row>
    <row r="10" spans="2:19" x14ac:dyDescent="0.25">
      <c r="B10" s="21"/>
      <c r="C10" s="15"/>
      <c r="I10" s="39"/>
    </row>
    <row r="11" spans="2:19" x14ac:dyDescent="0.25">
      <c r="B11" s="21" t="s">
        <v>17</v>
      </c>
      <c r="C11" s="19">
        <f>732.6</f>
        <v>732.6</v>
      </c>
      <c r="D11" s="23">
        <f>D6*0.16</f>
        <v>575.84</v>
      </c>
      <c r="E11" s="23">
        <f>E6*0.17</f>
        <v>724.03000000000009</v>
      </c>
      <c r="F11" s="23">
        <f>E11*(1+$I$3)</f>
        <v>892.99156353383216</v>
      </c>
      <c r="G11" s="23">
        <f t="shared" ref="G11:I11" si="2">F11*(1+$I$3)</f>
        <v>1101.3824462281923</v>
      </c>
      <c r="H11" s="23">
        <f t="shared" si="2"/>
        <v>1358.4039787108686</v>
      </c>
      <c r="I11" s="23">
        <f t="shared" si="2"/>
        <v>1675.4047385600002</v>
      </c>
    </row>
    <row r="12" spans="2:19" x14ac:dyDescent="0.25">
      <c r="B12" s="21" t="s">
        <v>11</v>
      </c>
      <c r="C12" s="20">
        <f t="shared" ref="C12" si="3">C11/C6</f>
        <v>0.16559674502712479</v>
      </c>
      <c r="D12" s="26">
        <f t="shared" ref="D12:E12" si="4">D11/D6</f>
        <v>0.16</v>
      </c>
      <c r="E12" s="26">
        <f t="shared" si="4"/>
        <v>0.17</v>
      </c>
      <c r="F12" s="26">
        <f>F11/F6</f>
        <v>0.18720683165352195</v>
      </c>
      <c r="G12" s="26">
        <f>G11/G6</f>
        <v>0.20615528128088298</v>
      </c>
      <c r="H12" s="26">
        <f>H11/H6</f>
        <v>0.2270216296307925</v>
      </c>
      <c r="I12" s="51">
        <f>I11/I6</f>
        <v>0.24999999999999989</v>
      </c>
    </row>
    <row r="13" spans="2:19" x14ac:dyDescent="0.25">
      <c r="B13" s="21"/>
      <c r="C13" s="15"/>
      <c r="D13" s="23"/>
      <c r="I13" s="39"/>
      <c r="O13" s="35"/>
    </row>
    <row r="14" spans="2:19" x14ac:dyDescent="0.25">
      <c r="B14" s="21" t="s">
        <v>22</v>
      </c>
      <c r="C14" s="22">
        <f>C6/C15</f>
        <v>1.5228391449519811</v>
      </c>
      <c r="D14" s="27">
        <f>D6/D15</f>
        <v>1.4734299516908214</v>
      </c>
      <c r="E14" s="27">
        <f>$D$14*(1+0.125)</f>
        <v>1.6576086956521741</v>
      </c>
      <c r="F14" s="27">
        <f>$D$14*(1+0.25)</f>
        <v>1.8417874396135268</v>
      </c>
      <c r="G14" s="27">
        <f>$D$14*(1+0.5)</f>
        <v>2.2101449275362319</v>
      </c>
      <c r="H14" s="27">
        <f>$D$14*(1+0.5)</f>
        <v>2.2101449275362319</v>
      </c>
      <c r="I14" s="52">
        <f>$D$14*(1+0.5)</f>
        <v>2.2101449275362319</v>
      </c>
      <c r="O14" s="35"/>
    </row>
    <row r="15" spans="2:19" x14ac:dyDescent="0.25">
      <c r="B15" s="21" t="s">
        <v>21</v>
      </c>
      <c r="C15" s="19">
        <f>2905.1</f>
        <v>2905.1</v>
      </c>
      <c r="D15" s="24">
        <f>2442.6</f>
        <v>2442.6</v>
      </c>
      <c r="E15" s="23">
        <f>E6/E14</f>
        <v>2569.3639344262292</v>
      </c>
      <c r="F15" s="23">
        <f>F6/F14</f>
        <v>2589.9188459016395</v>
      </c>
      <c r="G15" s="23">
        <f>G6/G14</f>
        <v>2417.2575895081973</v>
      </c>
      <c r="H15" s="23">
        <f>H6/H14</f>
        <v>2707.3285002491816</v>
      </c>
      <c r="I15" s="49">
        <f>I6/I14</f>
        <v>3032.2079202790833</v>
      </c>
      <c r="O15" s="35"/>
    </row>
    <row r="16" spans="2:19" x14ac:dyDescent="0.25">
      <c r="B16" s="21" t="s">
        <v>29</v>
      </c>
      <c r="C16" s="15" t="s">
        <v>23</v>
      </c>
      <c r="D16" s="28">
        <f t="shared" ref="D16:I16" si="5">D15-C15</f>
        <v>-462.5</v>
      </c>
      <c r="E16" s="28">
        <f t="shared" si="5"/>
        <v>126.7639344262293</v>
      </c>
      <c r="F16" s="28">
        <f t="shared" si="5"/>
        <v>20.554911475410336</v>
      </c>
      <c r="G16" s="28">
        <f t="shared" si="5"/>
        <v>-172.66125639344227</v>
      </c>
      <c r="H16" s="28">
        <f t="shared" si="5"/>
        <v>290.07091074098435</v>
      </c>
      <c r="I16" s="53">
        <f t="shared" si="5"/>
        <v>324.87942002990167</v>
      </c>
      <c r="O16" s="55"/>
    </row>
    <row r="17" spans="1:18" x14ac:dyDescent="0.25">
      <c r="B17" s="9"/>
      <c r="C17" s="9"/>
    </row>
    <row r="18" spans="1:18" x14ac:dyDescent="0.25">
      <c r="A18" s="26">
        <f>0.075</f>
        <v>7.4999999999999997E-2</v>
      </c>
      <c r="B18" s="74">
        <f>0.06</f>
        <v>0.06</v>
      </c>
      <c r="C18" s="9" t="s">
        <v>18</v>
      </c>
      <c r="D18" s="23">
        <f>(D6*B18)*(1-0.32)</f>
        <v>146.83919999999998</v>
      </c>
      <c r="E18" s="23">
        <f>E6*$A$18</f>
        <v>319.42500000000001</v>
      </c>
      <c r="F18" s="23">
        <f>F6*$B$18</f>
        <v>286.20480000000003</v>
      </c>
      <c r="G18" s="23">
        <f>G6*$B$18</f>
        <v>320.54937600000011</v>
      </c>
      <c r="H18" s="23">
        <f>H6*$B$18</f>
        <v>359.01530112000012</v>
      </c>
      <c r="I18" s="23">
        <f>I6*$B$18</f>
        <v>402.0971372544002</v>
      </c>
      <c r="K18" s="23"/>
    </row>
    <row r="19" spans="1:18" x14ac:dyDescent="0.25">
      <c r="B19" s="74">
        <f>0.053</f>
        <v>5.2999999999999999E-2</v>
      </c>
      <c r="C19" s="9" t="s">
        <v>19</v>
      </c>
      <c r="D19" s="29">
        <f>D6*$B$19</f>
        <v>190.74699999999999</v>
      </c>
      <c r="E19" s="29">
        <f t="shared" ref="E19" si="6">E6*$B$19</f>
        <v>225.727</v>
      </c>
      <c r="F19" s="29">
        <f>F6*$B$19</f>
        <v>252.81424000000004</v>
      </c>
      <c r="G19" s="29">
        <f>G6*$B$19</f>
        <v>283.15194880000007</v>
      </c>
      <c r="H19" s="29">
        <f>H6*$B$19</f>
        <v>317.1301826560001</v>
      </c>
      <c r="I19" s="29">
        <f>I6*$B$19</f>
        <v>355.18580457472018</v>
      </c>
    </row>
    <row r="20" spans="1:18" x14ac:dyDescent="0.25">
      <c r="B20" s="9"/>
      <c r="C20" s="9" t="s">
        <v>20</v>
      </c>
      <c r="D20" s="25">
        <f t="shared" ref="D20:I20" si="7">0.21</f>
        <v>0.21</v>
      </c>
      <c r="E20" s="25">
        <f t="shared" si="7"/>
        <v>0.21</v>
      </c>
      <c r="F20" s="25">
        <f t="shared" si="7"/>
        <v>0.21</v>
      </c>
      <c r="G20" s="25">
        <f t="shared" si="7"/>
        <v>0.21</v>
      </c>
      <c r="H20" s="25">
        <f t="shared" si="7"/>
        <v>0.21</v>
      </c>
      <c r="I20" s="25">
        <f t="shared" si="7"/>
        <v>0.21</v>
      </c>
    </row>
    <row r="21" spans="1:18" x14ac:dyDescent="0.25">
      <c r="B21" s="9"/>
      <c r="D21" s="23"/>
      <c r="E21" s="23"/>
      <c r="F21" s="23"/>
      <c r="G21" s="23"/>
      <c r="H21" s="23"/>
      <c r="I21" s="23"/>
    </row>
    <row r="22" spans="1:18" x14ac:dyDescent="0.25">
      <c r="B22" s="9"/>
      <c r="C22" s="9"/>
      <c r="J22" s="24" t="s">
        <v>77</v>
      </c>
      <c r="N22" s="24">
        <v>2021</v>
      </c>
      <c r="O22" s="24">
        <v>2022</v>
      </c>
      <c r="P22" s="24">
        <v>2023</v>
      </c>
      <c r="Q22" s="24">
        <v>2024</v>
      </c>
      <c r="R22" s="24">
        <v>2025</v>
      </c>
    </row>
    <row r="23" spans="1:18" x14ac:dyDescent="0.25">
      <c r="B23" s="9"/>
      <c r="C23" s="9" t="s">
        <v>68</v>
      </c>
      <c r="D23" s="23">
        <f>D$11*(1-$D$20)-D$16-D$18+D19</f>
        <v>961.32140000000004</v>
      </c>
      <c r="E23" s="23">
        <f t="shared" ref="E23:I23" si="8">E$11*(1-$D$20)-E$16-E$18+E19</f>
        <v>351.52176557377084</v>
      </c>
      <c r="F23" s="23">
        <f t="shared" si="8"/>
        <v>651.51786371631715</v>
      </c>
      <c r="G23" s="23">
        <f t="shared" si="8"/>
        <v>1005.3559617137144</v>
      </c>
      <c r="H23" s="23">
        <f t="shared" si="8"/>
        <v>741.18311397660182</v>
      </c>
      <c r="I23" s="23">
        <f t="shared" si="8"/>
        <v>951.77899075281834</v>
      </c>
      <c r="J23" s="23">
        <f>I23*(1+B37)/(B29-B37)</f>
        <v>20264.961011445423</v>
      </c>
      <c r="N23" s="35">
        <f>3092/4871</f>
        <v>0.63477725313077393</v>
      </c>
      <c r="O23" s="35">
        <f>3255/5123</f>
        <v>0.63536990044895569</v>
      </c>
      <c r="P23" s="35">
        <f>3427/5391</f>
        <v>0.63568911148209983</v>
      </c>
      <c r="Q23" s="35">
        <f>3414/5553</f>
        <v>0.61480280929227449</v>
      </c>
      <c r="R23" s="35">
        <f>3516/5719</f>
        <v>0.61479279594334679</v>
      </c>
    </row>
    <row r="25" spans="1:18" x14ac:dyDescent="0.25">
      <c r="G25" s="136" t="s">
        <v>78</v>
      </c>
      <c r="H25" s="137"/>
      <c r="I25" s="23">
        <f>NPV(B29,D23:I23)</f>
        <v>3666.9416833513546</v>
      </c>
    </row>
    <row r="26" spans="1:18" x14ac:dyDescent="0.25">
      <c r="A26" s="57" t="s">
        <v>69</v>
      </c>
      <c r="B26" s="35">
        <f>0.05</f>
        <v>0.05</v>
      </c>
      <c r="C26" s="26"/>
      <c r="G26" s="136" t="s">
        <v>28</v>
      </c>
      <c r="H26" s="137"/>
      <c r="I26" s="23">
        <f>J23/(1+B29)^6</f>
        <v>13503.399185921466</v>
      </c>
    </row>
    <row r="27" spans="1:18" x14ac:dyDescent="0.25">
      <c r="A27" s="39"/>
      <c r="B27" s="35">
        <f>0.055</f>
        <v>5.5E-2</v>
      </c>
      <c r="G27" s="136"/>
      <c r="H27" s="137"/>
      <c r="I27" s="23"/>
    </row>
    <row r="28" spans="1:18" x14ac:dyDescent="0.25">
      <c r="A28" s="39"/>
      <c r="B28" s="35">
        <f>0.06</f>
        <v>0.06</v>
      </c>
      <c r="G28" s="136" t="s">
        <v>24</v>
      </c>
      <c r="H28" s="137"/>
      <c r="I28" s="23">
        <f>I25+I26</f>
        <v>17170.340869272819</v>
      </c>
    </row>
    <row r="29" spans="1:18" x14ac:dyDescent="0.25">
      <c r="A29" s="39"/>
      <c r="B29" s="35">
        <f>0.07</f>
        <v>7.0000000000000007E-2</v>
      </c>
      <c r="C29" s="26"/>
      <c r="G29" s="136" t="s">
        <v>25</v>
      </c>
      <c r="H29" s="137"/>
      <c r="I29" s="23">
        <f>884.1+147.9</f>
        <v>1032</v>
      </c>
    </row>
    <row r="30" spans="1:18" x14ac:dyDescent="0.25">
      <c r="A30" s="39"/>
      <c r="B30" s="35">
        <f>0.0725</f>
        <v>7.2499999999999995E-2</v>
      </c>
      <c r="C30" s="26"/>
      <c r="G30" s="134" t="s">
        <v>26</v>
      </c>
      <c r="H30" s="135"/>
      <c r="I30" s="23">
        <f>874.7</f>
        <v>874.7</v>
      </c>
    </row>
    <row r="31" spans="1:18" x14ac:dyDescent="0.25">
      <c r="A31" s="39"/>
      <c r="B31" s="35">
        <v>7.4999999999999997E-2</v>
      </c>
      <c r="G31" s="140" t="s">
        <v>79</v>
      </c>
      <c r="H31" s="125"/>
      <c r="I31" s="99">
        <f>I28-I29+I30</f>
        <v>17013.04086927282</v>
      </c>
    </row>
    <row r="32" spans="1:18" x14ac:dyDescent="0.25">
      <c r="A32" s="39"/>
      <c r="B32" s="35">
        <f>0.0775</f>
        <v>7.7499999999999999E-2</v>
      </c>
    </row>
    <row r="33" spans="1:9" x14ac:dyDescent="0.25">
      <c r="G33" s="121" t="s">
        <v>76</v>
      </c>
      <c r="H33" s="121"/>
      <c r="I33" s="23">
        <f>(I31*1000000)/G36</f>
        <v>140.1274811022968</v>
      </c>
    </row>
    <row r="34" spans="1:9" x14ac:dyDescent="0.25">
      <c r="A34" s="57" t="s">
        <v>70</v>
      </c>
      <c r="B34" s="35">
        <f>0.012</f>
        <v>1.2E-2</v>
      </c>
    </row>
    <row r="35" spans="1:9" x14ac:dyDescent="0.25">
      <c r="A35" s="39"/>
      <c r="B35" s="35">
        <f>0.014</f>
        <v>1.4E-2</v>
      </c>
    </row>
    <row r="36" spans="1:9" x14ac:dyDescent="0.25">
      <c r="A36" s="39"/>
      <c r="B36" s="35">
        <f>0.018</f>
        <v>1.7999999999999999E-2</v>
      </c>
      <c r="D36" s="121" t="s">
        <v>75</v>
      </c>
      <c r="E36" s="121"/>
      <c r="F36" s="121"/>
      <c r="G36" s="56">
        <f>121411166</f>
        <v>121411166</v>
      </c>
    </row>
    <row r="37" spans="1:9" x14ac:dyDescent="0.25">
      <c r="A37" s="39"/>
      <c r="B37" s="35">
        <f>0.022</f>
        <v>2.1999999999999999E-2</v>
      </c>
    </row>
    <row r="38" spans="1:9" x14ac:dyDescent="0.25">
      <c r="A38" s="39"/>
      <c r="B38" s="35">
        <f>0.026</f>
        <v>2.5999999999999999E-2</v>
      </c>
    </row>
    <row r="39" spans="1:9" x14ac:dyDescent="0.25">
      <c r="A39" s="39"/>
      <c r="B39" s="35">
        <f>0.032</f>
        <v>3.2000000000000001E-2</v>
      </c>
    </row>
    <row r="40" spans="1:9" x14ac:dyDescent="0.25">
      <c r="A40" s="39"/>
      <c r="B40" s="35">
        <f>0.035</f>
        <v>3.5000000000000003E-2</v>
      </c>
    </row>
    <row r="45" spans="1:9" x14ac:dyDescent="0.25">
      <c r="C45" s="24" t="s">
        <v>122</v>
      </c>
    </row>
    <row r="46" spans="1:9" x14ac:dyDescent="0.25">
      <c r="B46" s="107">
        <f>I33</f>
        <v>140.1274811022968</v>
      </c>
      <c r="C46" s="106">
        <f>0.012</f>
        <v>1.2E-2</v>
      </c>
      <c r="D46" s="106">
        <f>0.014</f>
        <v>1.4E-2</v>
      </c>
      <c r="E46" s="106">
        <f>0.018</f>
        <v>1.7999999999999999E-2</v>
      </c>
      <c r="F46" s="106">
        <f>0.022</f>
        <v>2.1999999999999999E-2</v>
      </c>
      <c r="G46" s="106">
        <f>0.026</f>
        <v>2.5999999999999999E-2</v>
      </c>
      <c r="H46" s="106">
        <f>0.032</f>
        <v>3.2000000000000001E-2</v>
      </c>
      <c r="I46" s="106">
        <f>0.035</f>
        <v>3.5000000000000003E-2</v>
      </c>
    </row>
    <row r="47" spans="1:9" x14ac:dyDescent="0.25">
      <c r="B47" s="108">
        <f>0.05</f>
        <v>0.05</v>
      </c>
      <c r="C47" s="23">
        <f t="dataTable" ref="C47:I53" dt2D="1" dtr="1" r1="B37" r2="B29"/>
        <v>186.7420578907668</v>
      </c>
      <c r="D47" s="23">
        <v>195.7220279167982</v>
      </c>
      <c r="E47" s="23">
        <v>217.04945672862269</v>
      </c>
      <c r="F47" s="23">
        <v>244.47043662953988</v>
      </c>
      <c r="G47" s="23">
        <v>281.0317431640961</v>
      </c>
      <c r="H47" s="23">
        <v>366.34145841139411</v>
      </c>
      <c r="I47" s="23">
        <v>434.58923060923257</v>
      </c>
    </row>
    <row r="48" spans="1:9" x14ac:dyDescent="0.25">
      <c r="A48" s="17" t="s">
        <v>69</v>
      </c>
      <c r="B48" s="109">
        <f>0.055</f>
        <v>5.5E-2</v>
      </c>
      <c r="C48" s="23">
        <v>164.22709555193748</v>
      </c>
      <c r="D48" s="112">
        <v>171.03154307871762</v>
      </c>
      <c r="E48" s="112">
        <v>186.84728597880112</v>
      </c>
      <c r="F48" s="112">
        <v>206.49714836981408</v>
      </c>
      <c r="G48" s="112">
        <v>231.56766245489956</v>
      </c>
      <c r="H48" s="112">
        <v>285.52376885540957</v>
      </c>
      <c r="I48" s="23">
        <v>324.64194599577934</v>
      </c>
    </row>
    <row r="49" spans="1:14" x14ac:dyDescent="0.25">
      <c r="B49" s="109">
        <f>0.06</f>
        <v>0.06</v>
      </c>
      <c r="C49" s="23">
        <v>146.41864218780364</v>
      </c>
      <c r="D49" s="112">
        <v>151.72478682999457</v>
      </c>
      <c r="E49" s="113">
        <v>163.85311744071674</v>
      </c>
      <c r="F49" s="113">
        <v>178.53478081159085</v>
      </c>
      <c r="G49" s="113">
        <v>196.67095321090599</v>
      </c>
      <c r="H49" s="112">
        <v>233.59101845236893</v>
      </c>
      <c r="I49" s="23">
        <v>258.69666281656373</v>
      </c>
    </row>
    <row r="50" spans="1:14" x14ac:dyDescent="0.25">
      <c r="B50" s="109">
        <f>0.07</f>
        <v>7.0000000000000007E-2</v>
      </c>
      <c r="C50" s="23">
        <v>120.05091815738567</v>
      </c>
      <c r="D50" s="112">
        <v>123.49261466222757</v>
      </c>
      <c r="E50" s="113">
        <v>131.17024532687492</v>
      </c>
      <c r="F50" s="114">
        <v>140.1274811022968</v>
      </c>
      <c r="G50" s="113">
        <v>150.71330520052268</v>
      </c>
      <c r="H50" s="112">
        <v>170.77065612347695</v>
      </c>
      <c r="I50" s="23">
        <v>183.3781338464768</v>
      </c>
    </row>
    <row r="51" spans="1:14" x14ac:dyDescent="0.25">
      <c r="B51" s="109">
        <f>0.0725</f>
        <v>7.2499999999999995E-2</v>
      </c>
      <c r="C51" s="23">
        <v>114.82826967975898</v>
      </c>
      <c r="D51" s="112">
        <v>117.95010316612236</v>
      </c>
      <c r="E51" s="113">
        <v>124.88114631933284</v>
      </c>
      <c r="F51" s="113">
        <v>132.91017650671523</v>
      </c>
      <c r="G51" s="113">
        <v>142.32054522095913</v>
      </c>
      <c r="H51" s="112">
        <v>159.92142003834127</v>
      </c>
      <c r="I51" s="23">
        <v>170.83396242511819</v>
      </c>
    </row>
    <row r="52" spans="1:14" x14ac:dyDescent="0.25">
      <c r="B52" s="109">
        <v>7.4999999999999997E-2</v>
      </c>
      <c r="C52" s="23">
        <v>110.02284402311325</v>
      </c>
      <c r="D52" s="112">
        <v>112.86465229502238</v>
      </c>
      <c r="E52" s="112">
        <v>119.14654426450579</v>
      </c>
      <c r="F52" s="112">
        <v>126.37664634259045</v>
      </c>
      <c r="G52" s="112">
        <v>134.78717324975014</v>
      </c>
      <c r="H52" s="112">
        <v>150.33686834554544</v>
      </c>
      <c r="I52" s="23">
        <v>159.86105659172003</v>
      </c>
    </row>
    <row r="53" spans="1:14" x14ac:dyDescent="0.25">
      <c r="B53" s="109">
        <f>0.0775</f>
        <v>7.7499999999999999E-2</v>
      </c>
      <c r="C53" s="23">
        <v>105.58682918052777</v>
      </c>
      <c r="D53" s="23">
        <v>108.18223969877118</v>
      </c>
      <c r="E53" s="23">
        <v>113.89650487339117</v>
      </c>
      <c r="F53" s="23">
        <v>120.43444791101942</v>
      </c>
      <c r="G53" s="23">
        <v>127.98799375060931</v>
      </c>
      <c r="H53" s="23">
        <v>141.80849245711178</v>
      </c>
      <c r="I53" s="23">
        <v>150.18208873222798</v>
      </c>
    </row>
    <row r="58" spans="1:14" x14ac:dyDescent="0.25">
      <c r="A58" s="37"/>
      <c r="B58" s="37"/>
      <c r="C58" s="37"/>
      <c r="D58" s="37"/>
      <c r="E58" s="37"/>
      <c r="F58" s="138"/>
      <c r="G58" s="138"/>
      <c r="H58" s="37"/>
      <c r="I58" s="37"/>
      <c r="J58" s="37"/>
      <c r="K58" s="37"/>
      <c r="L58" s="37"/>
      <c r="M58" s="37"/>
      <c r="N58" s="37"/>
    </row>
    <row r="59" spans="1:14" x14ac:dyDescent="0.25">
      <c r="A59" s="37"/>
      <c r="B59" s="37"/>
      <c r="C59" s="37"/>
      <c r="D59" s="37"/>
      <c r="E59" s="37"/>
      <c r="F59" s="37"/>
      <c r="G59" s="37"/>
      <c r="H59" s="37"/>
      <c r="I59" s="37"/>
      <c r="J59" s="37"/>
      <c r="K59" s="37"/>
      <c r="L59" s="37"/>
      <c r="M59" s="37"/>
      <c r="N59" s="37"/>
    </row>
    <row r="60" spans="1:14" x14ac:dyDescent="0.25">
      <c r="A60" s="37"/>
      <c r="B60" s="115"/>
      <c r="C60" s="37"/>
      <c r="D60" s="37"/>
      <c r="E60" s="29"/>
      <c r="F60" s="115"/>
      <c r="G60" s="115"/>
      <c r="H60" s="115"/>
      <c r="I60" s="115"/>
      <c r="J60" s="115"/>
      <c r="K60" s="111"/>
      <c r="L60" s="111"/>
      <c r="M60" s="37"/>
      <c r="N60" s="37"/>
    </row>
    <row r="61" spans="1:14" x14ac:dyDescent="0.25">
      <c r="A61" s="116"/>
      <c r="B61" s="115"/>
      <c r="C61" s="37"/>
      <c r="D61" s="37"/>
      <c r="E61" s="115"/>
      <c r="F61" s="29"/>
      <c r="G61" s="29"/>
      <c r="H61" s="29"/>
      <c r="I61" s="29"/>
      <c r="J61" s="29"/>
      <c r="K61" s="29"/>
      <c r="L61" s="29"/>
      <c r="M61" s="37"/>
      <c r="N61" s="37"/>
    </row>
    <row r="62" spans="1:14" x14ac:dyDescent="0.25">
      <c r="A62" s="37"/>
      <c r="B62" s="115"/>
      <c r="C62" s="37"/>
      <c r="D62" s="37"/>
      <c r="E62" s="115"/>
      <c r="F62" s="29"/>
      <c r="G62" s="29"/>
      <c r="H62" s="29"/>
      <c r="I62" s="29"/>
      <c r="J62" s="29"/>
      <c r="K62" s="29"/>
      <c r="L62" s="29"/>
      <c r="M62" s="37"/>
      <c r="N62" s="37"/>
    </row>
    <row r="63" spans="1:14" x14ac:dyDescent="0.25">
      <c r="A63" s="37"/>
      <c r="B63" s="115"/>
      <c r="C63" s="37"/>
      <c r="D63" s="37"/>
      <c r="E63" s="115"/>
      <c r="F63" s="29"/>
      <c r="G63" s="29"/>
      <c r="H63" s="29"/>
      <c r="I63" s="29"/>
      <c r="J63" s="29"/>
      <c r="K63" s="23"/>
      <c r="L63" s="23"/>
    </row>
    <row r="64" spans="1:14" x14ac:dyDescent="0.25">
      <c r="A64" s="37"/>
      <c r="B64" s="115"/>
      <c r="C64" s="37"/>
      <c r="D64" s="37"/>
      <c r="E64" s="115"/>
      <c r="F64" s="29"/>
      <c r="G64" s="29"/>
      <c r="H64" s="29"/>
      <c r="I64" s="29"/>
      <c r="J64" s="29"/>
      <c r="K64" s="23"/>
      <c r="L64" s="23"/>
    </row>
    <row r="65" spans="1:12" x14ac:dyDescent="0.25">
      <c r="A65" s="37"/>
      <c r="B65" s="37"/>
      <c r="C65" s="37"/>
      <c r="D65" s="37"/>
      <c r="E65" s="115"/>
      <c r="F65" s="29"/>
      <c r="G65" s="29"/>
      <c r="H65" s="29"/>
      <c r="I65" s="29"/>
      <c r="J65" s="29"/>
      <c r="K65" s="23"/>
      <c r="L65" s="23"/>
    </row>
    <row r="66" spans="1:12" x14ac:dyDescent="0.25">
      <c r="A66" s="37"/>
      <c r="B66" s="115"/>
      <c r="C66" s="37"/>
      <c r="D66" s="37"/>
      <c r="E66" s="110"/>
      <c r="F66" s="29"/>
      <c r="G66" s="29"/>
      <c r="H66" s="29"/>
      <c r="I66" s="29"/>
      <c r="J66" s="29"/>
      <c r="K66" s="23"/>
      <c r="L66" s="23"/>
    </row>
    <row r="67" spans="1:12" x14ac:dyDescent="0.25">
      <c r="A67" s="116"/>
      <c r="B67" s="115"/>
      <c r="C67" s="37"/>
      <c r="D67" s="37"/>
      <c r="E67" s="110"/>
      <c r="F67" s="29"/>
      <c r="G67" s="29"/>
      <c r="H67" s="29"/>
      <c r="I67" s="29"/>
      <c r="J67" s="29"/>
      <c r="K67" s="23"/>
      <c r="L67" s="23"/>
    </row>
    <row r="68" spans="1:12" x14ac:dyDescent="0.25">
      <c r="A68" s="37"/>
      <c r="B68" s="115"/>
      <c r="C68" s="37"/>
      <c r="D68" s="37"/>
      <c r="E68" s="37"/>
      <c r="F68" s="37"/>
      <c r="G68" s="37"/>
      <c r="H68" s="37"/>
      <c r="I68" s="37"/>
      <c r="J68" s="37"/>
    </row>
    <row r="69" spans="1:12" x14ac:dyDescent="0.25">
      <c r="A69" s="37"/>
      <c r="B69" s="115"/>
      <c r="C69" s="37"/>
      <c r="D69" s="37"/>
      <c r="E69" s="37"/>
      <c r="F69" s="37"/>
      <c r="G69" s="37"/>
      <c r="H69" s="37"/>
      <c r="I69" s="37"/>
      <c r="J69" s="37"/>
    </row>
    <row r="70" spans="1:12" x14ac:dyDescent="0.25">
      <c r="A70" s="37"/>
      <c r="B70" s="115"/>
      <c r="C70" s="37"/>
      <c r="D70" s="37"/>
      <c r="E70" s="37"/>
      <c r="F70" s="37"/>
      <c r="G70" s="37"/>
      <c r="H70" s="37"/>
      <c r="I70" s="37"/>
      <c r="J70" s="37"/>
    </row>
  </sheetData>
  <mergeCells count="13">
    <mergeCell ref="F58:G58"/>
    <mergeCell ref="B2:C2"/>
    <mergeCell ref="D36:F36"/>
    <mergeCell ref="D4:I4"/>
    <mergeCell ref="G33:H33"/>
    <mergeCell ref="G31:H31"/>
    <mergeCell ref="G30:H30"/>
    <mergeCell ref="G29:H29"/>
    <mergeCell ref="K2:L2"/>
    <mergeCell ref="G28:H28"/>
    <mergeCell ref="G26:H26"/>
    <mergeCell ref="G25:H25"/>
    <mergeCell ref="G27:H27"/>
  </mergeCells>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8D965-0194-40EF-87A5-613D99850EBD}">
  <dimension ref="A1:O35"/>
  <sheetViews>
    <sheetView workbookViewId="0">
      <selection activeCell="F25" sqref="F25"/>
    </sheetView>
  </sheetViews>
  <sheetFormatPr defaultRowHeight="14.4" x14ac:dyDescent="0.3"/>
  <cols>
    <col min="3" max="3" width="20.5546875" bestFit="1" customWidth="1"/>
    <col min="4" max="7" width="10.33203125" bestFit="1" customWidth="1"/>
    <col min="8" max="9" width="11" bestFit="1" customWidth="1"/>
    <col min="10" max="10" width="19.109375" bestFit="1" customWidth="1"/>
    <col min="11" max="11" width="13.5546875" bestFit="1" customWidth="1"/>
    <col min="12" max="14" width="11" bestFit="1" customWidth="1"/>
  </cols>
  <sheetData>
    <row r="1" spans="1:15" x14ac:dyDescent="0.3">
      <c r="A1" s="8"/>
      <c r="B1" s="8"/>
      <c r="C1" s="8"/>
      <c r="D1" s="8"/>
      <c r="E1" s="8"/>
      <c r="F1" s="8"/>
      <c r="G1" s="8"/>
      <c r="H1" s="8"/>
      <c r="I1" s="8"/>
      <c r="J1" s="8"/>
      <c r="K1" s="8"/>
    </row>
    <row r="2" spans="1:15" x14ac:dyDescent="0.3">
      <c r="A2" s="8"/>
      <c r="B2" s="8"/>
      <c r="C2" s="10"/>
      <c r="D2" s="10"/>
      <c r="E2" s="10"/>
      <c r="F2" s="10"/>
      <c r="G2" s="10"/>
      <c r="H2" s="10"/>
      <c r="I2" s="10"/>
      <c r="J2" s="13"/>
      <c r="K2" s="10"/>
    </row>
    <row r="3" spans="1:15" x14ac:dyDescent="0.3">
      <c r="A3" s="8"/>
      <c r="B3" s="8"/>
      <c r="C3" s="6"/>
      <c r="D3" s="5">
        <v>2016</v>
      </c>
      <c r="E3" s="5">
        <v>2017</v>
      </c>
      <c r="F3" s="5">
        <v>2018</v>
      </c>
      <c r="G3" s="6">
        <v>2019</v>
      </c>
      <c r="H3" s="14" t="s">
        <v>80</v>
      </c>
      <c r="J3" s="98" t="s">
        <v>96</v>
      </c>
      <c r="K3" s="5">
        <v>2016</v>
      </c>
      <c r="L3" s="5">
        <v>2017</v>
      </c>
      <c r="M3" s="5">
        <v>2018</v>
      </c>
      <c r="N3" s="6">
        <v>2019</v>
      </c>
      <c r="O3" t="s">
        <v>4</v>
      </c>
    </row>
    <row r="4" spans="1:15" x14ac:dyDescent="0.3">
      <c r="A4" s="8"/>
      <c r="B4" s="8"/>
      <c r="C4" s="3" t="s">
        <v>89</v>
      </c>
      <c r="D4" s="2">
        <f>4001.8</f>
        <v>4001.8</v>
      </c>
      <c r="E4" s="2">
        <f>4169.8</f>
        <v>4169.8</v>
      </c>
      <c r="F4" s="2">
        <f>4442.1</f>
        <v>4442.1000000000004</v>
      </c>
      <c r="G4" s="87">
        <f>4424</f>
        <v>4424</v>
      </c>
      <c r="H4" s="92">
        <f>((G4/D4)^(1/3))-1</f>
        <v>3.3998509683454747E-2</v>
      </c>
      <c r="J4" s="87" t="s">
        <v>95</v>
      </c>
      <c r="K4" s="58">
        <v>5927</v>
      </c>
      <c r="L4" s="58">
        <v>6452</v>
      </c>
      <c r="M4" s="58">
        <v>7083</v>
      </c>
      <c r="N4" s="85">
        <v>7217</v>
      </c>
    </row>
    <row r="5" spans="1:15" x14ac:dyDescent="0.3">
      <c r="A5" s="8"/>
      <c r="B5" s="8"/>
      <c r="C5" s="7" t="s">
        <v>90</v>
      </c>
      <c r="D5" s="82" t="s">
        <v>23</v>
      </c>
      <c r="E5" s="75">
        <f>(E4-D4)/D4</f>
        <v>4.1981108501174466E-2</v>
      </c>
      <c r="F5" s="75">
        <f t="shared" ref="F5:G5" si="0">(F4-E4)/E4</f>
        <v>6.5302892225046802E-2</v>
      </c>
      <c r="G5" s="89">
        <f t="shared" si="0"/>
        <v>-4.0746493775467374E-3</v>
      </c>
      <c r="H5" s="77"/>
      <c r="I5" s="76"/>
      <c r="J5" s="7" t="s">
        <v>98</v>
      </c>
      <c r="K5" s="14" t="s">
        <v>23</v>
      </c>
      <c r="L5" s="1">
        <f>(L4-K4)/K4</f>
        <v>8.8577695292728187E-2</v>
      </c>
      <c r="M5" s="1">
        <f t="shared" ref="M5:N5" si="1">(M4-L4)/L4</f>
        <v>9.7799132052076881E-2</v>
      </c>
      <c r="N5" s="86">
        <f t="shared" si="1"/>
        <v>1.8918537342933785E-2</v>
      </c>
      <c r="O5" s="76">
        <f>AVERAGE(L5:N5)</f>
        <v>6.8431788229246282E-2</v>
      </c>
    </row>
    <row r="6" spans="1:15" x14ac:dyDescent="0.3">
      <c r="A6" s="8"/>
      <c r="B6" s="8"/>
      <c r="C6" s="3" t="s">
        <v>83</v>
      </c>
      <c r="D6" s="2">
        <f>208.5</f>
        <v>208.5</v>
      </c>
      <c r="E6" s="2">
        <f>206.9</f>
        <v>206.9</v>
      </c>
      <c r="F6" s="2">
        <f>229</f>
        <v>229</v>
      </c>
      <c r="G6" s="87">
        <f>259.7</f>
        <v>259.7</v>
      </c>
      <c r="H6" s="77"/>
      <c r="J6" s="3"/>
      <c r="N6" s="3"/>
      <c r="O6" s="76"/>
    </row>
    <row r="7" spans="1:15" x14ac:dyDescent="0.3">
      <c r="A7" s="8"/>
      <c r="B7" s="8"/>
      <c r="C7" s="3"/>
      <c r="G7" s="3"/>
      <c r="H7" s="77"/>
      <c r="J7" s="3" t="s">
        <v>97</v>
      </c>
      <c r="K7" s="58">
        <v>3648</v>
      </c>
      <c r="L7" s="58">
        <f>3805</f>
        <v>3805</v>
      </c>
      <c r="M7" s="58">
        <v>4123</v>
      </c>
      <c r="N7" s="85">
        <f>4405</f>
        <v>4405</v>
      </c>
      <c r="O7" s="76"/>
    </row>
    <row r="8" spans="1:15" x14ac:dyDescent="0.3">
      <c r="A8" s="8"/>
      <c r="B8" s="8"/>
      <c r="C8" s="3" t="s">
        <v>86</v>
      </c>
      <c r="D8" s="2">
        <f>721.2</f>
        <v>721.2</v>
      </c>
      <c r="E8" s="2">
        <f>809.4</f>
        <v>809.4</v>
      </c>
      <c r="F8" s="2">
        <f>790.3</f>
        <v>790.3</v>
      </c>
      <c r="G8" s="87">
        <f>732.6</f>
        <v>732.6</v>
      </c>
      <c r="H8" s="77"/>
      <c r="J8" s="88" t="s">
        <v>98</v>
      </c>
      <c r="K8" s="14" t="s">
        <v>23</v>
      </c>
      <c r="L8" s="1">
        <f>(L7-K7)/K7</f>
        <v>4.3037280701754388E-2</v>
      </c>
      <c r="M8" s="1">
        <f t="shared" ref="M8:N8" si="2">(M7-L7)/L7</f>
        <v>8.3574244415243096E-2</v>
      </c>
      <c r="N8" s="86">
        <f t="shared" si="2"/>
        <v>6.8396798447732235E-2</v>
      </c>
      <c r="O8" s="76">
        <f>AVERAGE(L8:N8)</f>
        <v>6.5002774521576559E-2</v>
      </c>
    </row>
    <row r="9" spans="1:15" x14ac:dyDescent="0.3">
      <c r="A9" s="8"/>
      <c r="B9" s="8"/>
      <c r="C9" s="3" t="s">
        <v>92</v>
      </c>
      <c r="D9" s="83">
        <f>5097.6</f>
        <v>5097.6000000000004</v>
      </c>
      <c r="E9" s="83">
        <f>5468.1</f>
        <v>5468.1</v>
      </c>
      <c r="F9" s="83">
        <f>5333</f>
        <v>5333</v>
      </c>
      <c r="G9" s="90">
        <f>6600.1</f>
        <v>6600.1</v>
      </c>
      <c r="H9" s="14"/>
    </row>
    <row r="10" spans="1:15" x14ac:dyDescent="0.3">
      <c r="A10" s="8"/>
      <c r="B10" s="8"/>
      <c r="C10" s="3"/>
      <c r="D10" s="80"/>
      <c r="E10" s="80"/>
      <c r="F10" s="80"/>
      <c r="G10" s="91"/>
      <c r="H10" s="14"/>
      <c r="J10" t="s">
        <v>80</v>
      </c>
    </row>
    <row r="11" spans="1:15" x14ac:dyDescent="0.3">
      <c r="A11" s="8"/>
      <c r="B11" s="8"/>
      <c r="C11" s="3" t="s">
        <v>84</v>
      </c>
      <c r="D11" s="75">
        <f>D6/D4</f>
        <v>5.2101554300564741E-2</v>
      </c>
      <c r="E11" s="75">
        <f>E6/E4</f>
        <v>4.9618686747565831E-2</v>
      </c>
      <c r="F11" s="75">
        <f>F6/F4</f>
        <v>5.1552193782220118E-2</v>
      </c>
      <c r="G11" s="89">
        <f>G6/G4</f>
        <v>5.8702531645569621E-2</v>
      </c>
      <c r="H11" s="14"/>
      <c r="J11" t="s">
        <v>117</v>
      </c>
      <c r="K11" s="93">
        <f>((N4/K4)^(1/3))-1</f>
        <v>6.7842641676339355E-2</v>
      </c>
    </row>
    <row r="12" spans="1:15" x14ac:dyDescent="0.3">
      <c r="A12" s="8"/>
      <c r="B12" s="8"/>
      <c r="C12" s="11" t="s">
        <v>82</v>
      </c>
      <c r="D12" s="76">
        <f>AVERAGE(D11:G11)</f>
        <v>5.2993741618980079E-2</v>
      </c>
      <c r="G12" s="3"/>
      <c r="H12" s="78"/>
      <c r="J12" t="s">
        <v>99</v>
      </c>
      <c r="K12" s="94">
        <f>((N7/K7)^(1/3))-1</f>
        <v>6.487106814567567E-2</v>
      </c>
    </row>
    <row r="13" spans="1:15" x14ac:dyDescent="0.3">
      <c r="A13" s="8"/>
      <c r="B13" s="8"/>
      <c r="C13" s="3"/>
      <c r="G13" s="3"/>
      <c r="J13" s="10"/>
      <c r="K13" s="8"/>
    </row>
    <row r="14" spans="1:15" x14ac:dyDescent="0.3">
      <c r="A14" s="8"/>
      <c r="B14" s="8"/>
      <c r="C14" s="3" t="s">
        <v>85</v>
      </c>
      <c r="D14" s="2">
        <f>3013.5</f>
        <v>3013.5</v>
      </c>
      <c r="E14" s="2">
        <f>3233.4</f>
        <v>3233.4</v>
      </c>
      <c r="F14" s="2">
        <f>3117.4</f>
        <v>3117.4</v>
      </c>
      <c r="G14" s="87">
        <f>3322.9</f>
        <v>3322.9</v>
      </c>
      <c r="J14" s="12"/>
      <c r="K14" s="8"/>
    </row>
    <row r="15" spans="1:15" x14ac:dyDescent="0.3">
      <c r="A15" s="8"/>
      <c r="B15" s="8"/>
      <c r="C15" s="3" t="s">
        <v>91</v>
      </c>
      <c r="D15" s="2">
        <f>D9-D14</f>
        <v>2084.1000000000004</v>
      </c>
      <c r="E15" s="2">
        <f>E9-E14</f>
        <v>2234.7000000000003</v>
      </c>
      <c r="F15" s="2">
        <f>F9-F14</f>
        <v>2215.6</v>
      </c>
      <c r="G15" s="87">
        <f>G9-G14</f>
        <v>3277.2000000000003</v>
      </c>
      <c r="J15" s="141" t="s">
        <v>108</v>
      </c>
      <c r="K15" s="141"/>
      <c r="L15" s="141"/>
      <c r="M15" s="141"/>
      <c r="N15" s="141"/>
    </row>
    <row r="16" spans="1:15" x14ac:dyDescent="0.3">
      <c r="A16" s="8"/>
      <c r="B16" s="8"/>
      <c r="C16" s="11"/>
      <c r="D16" s="10"/>
      <c r="E16" s="10"/>
      <c r="F16" s="10"/>
      <c r="G16" s="87"/>
      <c r="J16" s="6" t="s">
        <v>39</v>
      </c>
      <c r="K16" s="5" t="s">
        <v>101</v>
      </c>
      <c r="L16" s="5" t="s">
        <v>102</v>
      </c>
      <c r="M16" s="5" t="s">
        <v>103</v>
      </c>
      <c r="N16" s="5" t="s">
        <v>104</v>
      </c>
    </row>
    <row r="17" spans="1:14" x14ac:dyDescent="0.3">
      <c r="A17" s="8"/>
      <c r="B17" s="8"/>
      <c r="C17" s="11" t="s">
        <v>107</v>
      </c>
      <c r="D17" s="81">
        <f>D9/D14</f>
        <v>1.6915878546540568</v>
      </c>
      <c r="E17" s="81">
        <f>E9/E14</f>
        <v>1.6911300797921693</v>
      </c>
      <c r="F17" s="81">
        <f>F9/F14</f>
        <v>1.710720472188362</v>
      </c>
      <c r="G17" s="16">
        <f>G9/G14</f>
        <v>1.9862469529627735</v>
      </c>
      <c r="J17" s="4" t="s">
        <v>89</v>
      </c>
      <c r="K17" s="2">
        <f>4001.8</f>
        <v>4001.8</v>
      </c>
      <c r="L17" s="2">
        <f>4169.8</f>
        <v>4169.8</v>
      </c>
      <c r="M17" s="2">
        <f>4442.1</f>
        <v>4442.1000000000004</v>
      </c>
      <c r="N17" s="10">
        <f>4424</f>
        <v>4424</v>
      </c>
    </row>
    <row r="18" spans="1:14" x14ac:dyDescent="0.3">
      <c r="A18" s="8"/>
      <c r="B18" s="8"/>
      <c r="C18" s="7" t="s">
        <v>88</v>
      </c>
      <c r="D18" s="79">
        <f>0.9</f>
        <v>0.9</v>
      </c>
      <c r="E18" s="79">
        <f>0.88</f>
        <v>0.88</v>
      </c>
      <c r="F18" s="79">
        <f>0.96</f>
        <v>0.96</v>
      </c>
      <c r="G18" s="16">
        <f>0.78</f>
        <v>0.78</v>
      </c>
      <c r="J18" s="3" t="s">
        <v>107</v>
      </c>
      <c r="K18" s="79">
        <v>1.6915878546540568</v>
      </c>
      <c r="L18" s="79">
        <v>1.6911300797921693</v>
      </c>
      <c r="M18" s="79">
        <v>1.710720472188362</v>
      </c>
      <c r="N18" s="81">
        <v>1.9862469529627735</v>
      </c>
    </row>
    <row r="19" spans="1:14" x14ac:dyDescent="0.3">
      <c r="A19" s="8"/>
      <c r="B19" s="8"/>
      <c r="C19" s="11" t="s">
        <v>93</v>
      </c>
      <c r="D19" s="13">
        <f>D8/D9</f>
        <v>0.1414783427495292</v>
      </c>
      <c r="E19" s="13">
        <f>E8/E9</f>
        <v>0.14802216492017337</v>
      </c>
      <c r="F19" s="13">
        <f>F8/F9</f>
        <v>0.14819051190699417</v>
      </c>
      <c r="G19" s="89">
        <f>G8/G9</f>
        <v>0.11099831820729988</v>
      </c>
      <c r="H19" s="12"/>
      <c r="I19" s="12"/>
      <c r="J19" s="3" t="s">
        <v>88</v>
      </c>
      <c r="K19">
        <v>0.9</v>
      </c>
      <c r="L19">
        <v>0.88</v>
      </c>
      <c r="M19">
        <v>0.96</v>
      </c>
      <c r="N19" s="8">
        <v>0.78</v>
      </c>
    </row>
    <row r="20" spans="1:14" x14ac:dyDescent="0.3">
      <c r="A20" s="8"/>
      <c r="B20" s="8"/>
      <c r="C20" s="7" t="s">
        <v>87</v>
      </c>
      <c r="D20" s="75">
        <f>D8/D4</f>
        <v>0.18021890149432757</v>
      </c>
      <c r="E20" s="75">
        <f>E8/E4</f>
        <v>0.19411002925799797</v>
      </c>
      <c r="F20" s="75">
        <f>F8/F4</f>
        <v>0.17791134823619456</v>
      </c>
      <c r="G20" s="89">
        <f>G8/G4</f>
        <v>0.16559674502712479</v>
      </c>
      <c r="H20" s="8"/>
      <c r="I20" s="8"/>
      <c r="J20" s="3" t="s">
        <v>93</v>
      </c>
      <c r="K20" s="75">
        <v>0.1414783427495292</v>
      </c>
      <c r="L20" s="75">
        <v>0.14802216492017337</v>
      </c>
      <c r="M20" s="75">
        <v>0.14819051190699417</v>
      </c>
      <c r="N20" s="13">
        <v>0.11099831820729988</v>
      </c>
    </row>
    <row r="21" spans="1:14" x14ac:dyDescent="0.3">
      <c r="A21" s="8"/>
      <c r="B21" s="8"/>
      <c r="H21" s="10"/>
      <c r="I21" s="10"/>
      <c r="J21" s="3" t="s">
        <v>87</v>
      </c>
      <c r="K21" s="75">
        <v>0.18021890149432757</v>
      </c>
      <c r="L21" s="75">
        <v>0.19411002925799797</v>
      </c>
      <c r="M21" s="75">
        <v>0.17791134823619456</v>
      </c>
      <c r="N21" s="13">
        <v>0.16559674502712479</v>
      </c>
    </row>
    <row r="22" spans="1:14" x14ac:dyDescent="0.3">
      <c r="A22" s="8"/>
      <c r="B22" s="8"/>
      <c r="H22" s="10"/>
      <c r="I22" s="10"/>
      <c r="J22" s="10"/>
      <c r="K22" s="8"/>
    </row>
    <row r="23" spans="1:14" x14ac:dyDescent="0.3">
      <c r="A23" s="8"/>
      <c r="B23" s="8"/>
      <c r="H23" s="13"/>
      <c r="I23" s="13"/>
      <c r="J23" s="13"/>
      <c r="K23" s="8"/>
    </row>
    <row r="24" spans="1:14" x14ac:dyDescent="0.3">
      <c r="A24" s="8"/>
      <c r="B24" s="8"/>
      <c r="H24" s="10"/>
      <c r="I24" s="10"/>
      <c r="J24" s="10"/>
      <c r="K24" s="8"/>
    </row>
    <row r="25" spans="1:14" x14ac:dyDescent="0.3">
      <c r="A25" s="8"/>
      <c r="B25" s="8"/>
      <c r="H25" s="10"/>
      <c r="I25" s="10"/>
      <c r="J25" s="10"/>
      <c r="K25" s="8"/>
    </row>
    <row r="26" spans="1:14" x14ac:dyDescent="0.3">
      <c r="A26" s="8"/>
      <c r="B26" s="8"/>
      <c r="H26" s="12"/>
      <c r="I26" s="12"/>
      <c r="J26" s="12"/>
      <c r="K26" s="8"/>
    </row>
    <row r="27" spans="1:14" x14ac:dyDescent="0.3">
      <c r="A27" s="8"/>
      <c r="B27" s="8"/>
      <c r="C27" s="8"/>
      <c r="D27" s="8"/>
      <c r="E27" s="10"/>
      <c r="F27" s="10"/>
      <c r="G27" s="10"/>
      <c r="H27" s="10"/>
      <c r="I27" s="10"/>
      <c r="J27" s="10"/>
      <c r="K27" s="8"/>
    </row>
    <row r="28" spans="1:14" x14ac:dyDescent="0.3">
      <c r="C28" s="8"/>
      <c r="D28" s="8"/>
      <c r="E28" s="8"/>
      <c r="F28" s="8"/>
    </row>
    <row r="29" spans="1:14" x14ac:dyDescent="0.3">
      <c r="C29" s="8"/>
      <c r="D29" s="8"/>
      <c r="E29" s="8"/>
      <c r="F29" s="8"/>
    </row>
    <row r="32" spans="1:14" x14ac:dyDescent="0.3">
      <c r="C32">
        <v>2019</v>
      </c>
      <c r="D32" s="14" t="s">
        <v>116</v>
      </c>
      <c r="E32" s="14" t="s">
        <v>115</v>
      </c>
      <c r="F32" s="14" t="s">
        <v>114</v>
      </c>
      <c r="G32" s="14" t="s">
        <v>113</v>
      </c>
      <c r="H32" s="14" t="s">
        <v>112</v>
      </c>
    </row>
    <row r="33" spans="3:8" x14ac:dyDescent="0.3">
      <c r="C33" s="14" t="s">
        <v>111</v>
      </c>
      <c r="D33" s="1">
        <f>0.08</f>
        <v>0.08</v>
      </c>
      <c r="E33" s="1">
        <f>0.28</f>
        <v>0.28000000000000003</v>
      </c>
      <c r="F33" s="1">
        <f>0.38</f>
        <v>0.38</v>
      </c>
      <c r="G33" s="1">
        <f>0.12</f>
        <v>0.12</v>
      </c>
      <c r="H33" s="1">
        <f>0.14</f>
        <v>0.14000000000000001</v>
      </c>
    </row>
    <row r="34" spans="3:8" x14ac:dyDescent="0.3">
      <c r="C34" s="14" t="s">
        <v>110</v>
      </c>
      <c r="D34" s="1">
        <f>0.2</f>
        <v>0.2</v>
      </c>
      <c r="E34" s="1">
        <f>0.3</f>
        <v>0.3</v>
      </c>
      <c r="F34" s="1">
        <f>0.35</f>
        <v>0.35</v>
      </c>
      <c r="G34" s="1">
        <f>0.08</f>
        <v>0.08</v>
      </c>
      <c r="H34" s="1">
        <f>0.07</f>
        <v>7.0000000000000007E-2</v>
      </c>
    </row>
    <row r="35" spans="3:8" x14ac:dyDescent="0.3">
      <c r="C35" s="14" t="s">
        <v>109</v>
      </c>
      <c r="D35" s="1">
        <f>0.44</f>
        <v>0.44</v>
      </c>
      <c r="E35" s="1">
        <f>0.11</f>
        <v>0.11</v>
      </c>
      <c r="F35" s="1">
        <f>0.28</f>
        <v>0.28000000000000003</v>
      </c>
      <c r="G35" s="1">
        <f>0.15</f>
        <v>0.15</v>
      </c>
      <c r="H35" s="1">
        <f>0.02</f>
        <v>0.02</v>
      </c>
    </row>
  </sheetData>
  <mergeCells count="1">
    <mergeCell ref="J15:N15"/>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Trading multiples</vt:lpstr>
      <vt:lpstr>Stand-alone valuation</vt:lpstr>
      <vt:lpstr>Valuation with Synerigies</vt:lpstr>
      <vt:lpstr>Tiffany's past performance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Utente</dc:creator>
  <cp:lastModifiedBy>Damiano Caponio</cp:lastModifiedBy>
  <dcterms:created xsi:type="dcterms:W3CDTF">2022-05-18T15:22:18Z</dcterms:created>
  <dcterms:modified xsi:type="dcterms:W3CDTF">2022-05-27T12:53:50Z</dcterms:modified>
</cp:coreProperties>
</file>