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tinkec/Desktop/"/>
    </mc:Choice>
  </mc:AlternateContent>
  <xr:revisionPtr revIDLastSave="0" documentId="8_{37FFB28D-A92E-924E-B639-1FD32B30A8B9}" xr6:coauthVersionLast="46" xr6:coauthVersionMax="46" xr10:uidLastSave="{00000000-0000-0000-0000-000000000000}"/>
  <bookViews>
    <workbookView xWindow="0" yWindow="500" windowWidth="28800" windowHeight="16100" xr2:uid="{00000000-000D-0000-FFFF-FFFF00000000}"/>
  </bookViews>
  <sheets>
    <sheet name="Financial statements" sheetId="6" r:id="rId1"/>
    <sheet name="Ratios" sheetId="5" r:id="rId2"/>
    <sheet name="Analysis"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 l="1"/>
  <c r="L17" i="5"/>
  <c r="L14" i="5"/>
  <c r="K18" i="5"/>
  <c r="L18" i="5"/>
  <c r="J18" i="5"/>
  <c r="K15" i="5"/>
  <c r="J15" i="5"/>
  <c r="L15" i="5"/>
  <c r="J6" i="6"/>
  <c r="J7" i="6"/>
  <c r="J8" i="6"/>
  <c r="J9" i="6"/>
  <c r="J10" i="6"/>
  <c r="J13" i="6"/>
  <c r="J14" i="6"/>
  <c r="J15" i="6"/>
  <c r="J16" i="6"/>
  <c r="J17" i="6"/>
  <c r="J18" i="6"/>
  <c r="J19" i="6"/>
  <c r="J20" i="6"/>
  <c r="J21" i="6"/>
  <c r="J22" i="6"/>
  <c r="J23" i="6"/>
  <c r="J24" i="6"/>
  <c r="J25" i="6"/>
  <c r="J30" i="6"/>
  <c r="J31" i="6"/>
  <c r="J32" i="6"/>
  <c r="J33" i="6"/>
  <c r="J34" i="6"/>
  <c r="J35" i="6"/>
  <c r="J36" i="6"/>
  <c r="J5" i="6"/>
  <c r="B86" i="3"/>
  <c r="C86" i="3"/>
  <c r="D86" i="3"/>
  <c r="E86" i="3"/>
  <c r="B87" i="3"/>
  <c r="C87" i="3"/>
  <c r="D87" i="3"/>
  <c r="E87" i="3"/>
  <c r="B88" i="3"/>
  <c r="C88" i="3"/>
  <c r="D88" i="3"/>
  <c r="E88" i="3"/>
  <c r="B91" i="3"/>
  <c r="C91" i="3"/>
  <c r="D91" i="3"/>
  <c r="E91" i="3"/>
  <c r="F91" i="3"/>
  <c r="G91" i="3"/>
  <c r="H91" i="3"/>
  <c r="B92" i="3"/>
  <c r="C92" i="3"/>
  <c r="D92" i="3"/>
  <c r="E92" i="3"/>
  <c r="F92" i="3"/>
  <c r="G92" i="3"/>
  <c r="B93" i="3"/>
  <c r="C93" i="3"/>
  <c r="D93" i="3"/>
  <c r="E93" i="3"/>
  <c r="F93" i="3"/>
  <c r="G93" i="3"/>
  <c r="B94" i="3"/>
  <c r="C94" i="3"/>
  <c r="D94" i="3"/>
  <c r="E94" i="3"/>
  <c r="F94" i="3"/>
  <c r="B97" i="3"/>
  <c r="C97" i="3"/>
  <c r="D97" i="3"/>
  <c r="E97" i="3"/>
  <c r="F97" i="3"/>
  <c r="G97" i="3"/>
  <c r="B98" i="3"/>
  <c r="C98" i="3"/>
  <c r="D98" i="3"/>
  <c r="E98" i="3"/>
  <c r="F98" i="3"/>
  <c r="G98" i="3"/>
  <c r="B99" i="3"/>
  <c r="C99" i="3"/>
  <c r="D99" i="3"/>
  <c r="E99" i="3"/>
  <c r="F99" i="3"/>
  <c r="G99" i="3"/>
  <c r="H99" i="3"/>
  <c r="B100" i="3"/>
  <c r="C100" i="3"/>
  <c r="D100" i="3"/>
  <c r="E100" i="3"/>
  <c r="F100" i="3"/>
  <c r="G100" i="3"/>
  <c r="B103" i="3"/>
  <c r="C103" i="3"/>
  <c r="D103" i="3"/>
  <c r="E103" i="3"/>
  <c r="F103" i="3"/>
  <c r="G103" i="3"/>
  <c r="H103" i="3"/>
  <c r="B104" i="3"/>
  <c r="C104" i="3"/>
  <c r="D104" i="3"/>
  <c r="E104" i="3"/>
  <c r="F104" i="3"/>
  <c r="G104" i="3"/>
  <c r="H104" i="3"/>
  <c r="B107" i="3"/>
  <c r="C107" i="3"/>
  <c r="D107" i="3"/>
  <c r="E107" i="3"/>
  <c r="F107" i="3"/>
  <c r="G107" i="3"/>
  <c r="B108" i="3"/>
  <c r="C108" i="3"/>
  <c r="D108" i="3"/>
  <c r="E108" i="3"/>
  <c r="F108" i="3"/>
  <c r="G108" i="3"/>
  <c r="B112" i="3"/>
  <c r="C112" i="3"/>
  <c r="D112" i="3"/>
  <c r="E112" i="3"/>
  <c r="F112" i="3"/>
  <c r="G112" i="3"/>
  <c r="B113" i="3"/>
  <c r="C113" i="3"/>
  <c r="D113" i="3"/>
  <c r="E113" i="3"/>
  <c r="F113" i="3"/>
  <c r="G113" i="3"/>
  <c r="B114" i="3"/>
  <c r="C114" i="3"/>
  <c r="D114" i="3"/>
  <c r="E114" i="3"/>
  <c r="F114" i="3"/>
  <c r="G114" i="3"/>
  <c r="B8" i="5"/>
  <c r="C8" i="5"/>
  <c r="J14" i="5"/>
  <c r="B16" i="5"/>
  <c r="D16" i="5"/>
  <c r="J16" i="5"/>
  <c r="L16" i="5"/>
  <c r="D17" i="5"/>
  <c r="C18" i="5"/>
  <c r="C23" i="5"/>
  <c r="B34" i="5"/>
  <c r="C5" i="6"/>
  <c r="C22" i="6"/>
  <c r="G5" i="6"/>
  <c r="B24" i="5"/>
  <c r="D6" i="6"/>
  <c r="G6" i="6"/>
  <c r="H6" i="6"/>
  <c r="D7" i="6"/>
  <c r="I7" i="6"/>
  <c r="D8" i="6"/>
  <c r="I8" i="6"/>
  <c r="B9" i="6"/>
  <c r="B11" i="6"/>
  <c r="C9" i="6"/>
  <c r="I9" i="6"/>
  <c r="D10" i="6"/>
  <c r="C11" i="6"/>
  <c r="D12" i="6"/>
  <c r="D13" i="6"/>
  <c r="G13" i="6"/>
  <c r="H13" i="6"/>
  <c r="I13" i="6"/>
  <c r="I14" i="6"/>
  <c r="B16" i="6"/>
  <c r="C16" i="6"/>
  <c r="D16" i="6"/>
  <c r="I16" i="6"/>
  <c r="D17" i="6"/>
  <c r="I17" i="6"/>
  <c r="D18" i="6"/>
  <c r="I18" i="6"/>
  <c r="D19" i="6"/>
  <c r="D20" i="6"/>
  <c r="D21" i="6"/>
  <c r="G21" i="6"/>
  <c r="H21" i="6"/>
  <c r="I21" i="6"/>
  <c r="I22" i="6"/>
  <c r="D23" i="6"/>
  <c r="I23" i="6"/>
  <c r="D24" i="6"/>
  <c r="I24" i="6"/>
  <c r="D25" i="6"/>
  <c r="I25" i="6"/>
  <c r="D26" i="6"/>
  <c r="I26" i="6"/>
  <c r="B27" i="6"/>
  <c r="D27" i="6"/>
  <c r="C27" i="6"/>
  <c r="D29" i="6"/>
  <c r="G31" i="6"/>
  <c r="G30" i="6"/>
  <c r="I30" i="6"/>
  <c r="H31" i="6"/>
  <c r="H30" i="6"/>
  <c r="I31" i="6"/>
  <c r="I32" i="6"/>
  <c r="I33" i="6"/>
  <c r="I34" i="6"/>
  <c r="I35" i="6"/>
  <c r="I36" i="6"/>
  <c r="G39" i="6"/>
  <c r="I40" i="6"/>
  <c r="I41" i="6"/>
  <c r="I42" i="6"/>
  <c r="I43" i="6"/>
  <c r="I44" i="6"/>
  <c r="I45" i="6"/>
  <c r="G47" i="6"/>
  <c r="I47" i="6"/>
  <c r="H47" i="6"/>
  <c r="C34" i="5"/>
  <c r="I48" i="6"/>
  <c r="I49" i="6"/>
  <c r="I50" i="6"/>
  <c r="I51" i="6"/>
  <c r="I52" i="6"/>
  <c r="B5" i="6"/>
  <c r="D11" i="6"/>
  <c r="C19" i="5"/>
  <c r="C14" i="5"/>
  <c r="C28" i="6"/>
  <c r="C30" i="6"/>
  <c r="C7" i="5"/>
  <c r="C22" i="5"/>
  <c r="D9" i="6"/>
  <c r="H5" i="6"/>
  <c r="C24" i="5"/>
  <c r="C10" i="5"/>
  <c r="B10" i="5"/>
  <c r="C13" i="5"/>
  <c r="I6" i="6"/>
  <c r="B18" i="5"/>
  <c r="B22" i="6"/>
  <c r="C9" i="5"/>
  <c r="B25" i="5"/>
  <c r="B19" i="5"/>
  <c r="D22" i="6"/>
  <c r="B28" i="6"/>
  <c r="B9" i="5"/>
  <c r="D18" i="5"/>
  <c r="B23" i="5"/>
  <c r="B22" i="5"/>
  <c r="B13" i="5"/>
  <c r="D19" i="5"/>
  <c r="B14" i="5"/>
  <c r="D28" i="6"/>
  <c r="B30" i="6"/>
  <c r="D30" i="6"/>
  <c r="B7" i="5"/>
</calcChain>
</file>

<file path=xl/sharedStrings.xml><?xml version="1.0" encoding="utf-8"?>
<sst xmlns="http://schemas.openxmlformats.org/spreadsheetml/2006/main" count="238" uniqueCount="168">
  <si>
    <t>HILTON WORLDWIDE HOLDINGS INC.</t>
  </si>
  <si>
    <t>Business description</t>
  </si>
  <si>
    <t>Hilton Worldwide Holdings Inc. is a hospitality company. The Company is engaged in owning, leasing, managing and franchising hotels and resorts. The Company's segments include ownership, and management and franchise. Its global portfolio of owned and leased properties includes a range of hotels in gateway cities, such as New York City, London, San Francisco, Chicago, Sao Paolo and Tokyo. The Company's management and franchise segment manages hotels and licenses its brands to franchisees. Its brand portfolio includes Hilton Hotels &amp; Resorts, Waldorf Astoria Hotels &amp; Resorts, Conrad Hotels &amp; Resorts, Canopy by Hilton, Curio-A Collection by Hilton, DoubleTree by Hilton, Embassy Suites by Hilton, Hilton Garden Inn, Hampton by Hilton, Tru by Hilton, Homewood Suites by Hilton and Home2 Suites by Hilton. As of December 31, 2016, the Company owned, leased, managed or franchised 4,875 hotel and resort properties, totaling 796,440 rooms in 104 countries and territories.</t>
  </si>
  <si>
    <t>Assets</t>
  </si>
  <si>
    <t>n.a.</t>
  </si>
  <si>
    <t>Consolidated data</t>
  </si>
  <si>
    <t>Cons</t>
  </si>
  <si>
    <t>31/12/2016</t>
  </si>
  <si>
    <t>31/12/2015</t>
  </si>
  <si>
    <t>31/12/2014</t>
  </si>
  <si>
    <t>31/12/2013</t>
  </si>
  <si>
    <t>31/12/2012</t>
  </si>
  <si>
    <t>31/12/2011</t>
  </si>
  <si>
    <t>31/12/2010</t>
  </si>
  <si>
    <t>m USD</t>
  </si>
  <si>
    <t>12 months</t>
  </si>
  <si>
    <t xml:space="preserve">  Total Assets</t>
  </si>
  <si>
    <t xml:space="preserve">  Shareholders Funds</t>
  </si>
  <si>
    <t xml:space="preserve">  Market Cap.</t>
  </si>
  <si>
    <t>Global standard format</t>
  </si>
  <si>
    <t>Balance sheet</t>
  </si>
  <si>
    <t xml:space="preserve">  Current Assets</t>
  </si>
  <si>
    <t xml:space="preserve">   Stock</t>
  </si>
  <si>
    <t xml:space="preserve">   Debtors</t>
  </si>
  <si>
    <t xml:space="preserve">   Others</t>
  </si>
  <si>
    <t xml:space="preserve">    Cash &amp; Cash Equivalent</t>
  </si>
  <si>
    <t xml:space="preserve">  Fixed Assets</t>
  </si>
  <si>
    <t xml:space="preserve">   Tangible Fixed Assets</t>
  </si>
  <si>
    <t xml:space="preserve">   Intangible Fixed Assets</t>
  </si>
  <si>
    <t xml:space="preserve">   Other Fixed Assets</t>
  </si>
  <si>
    <t>Liabilities &amp; Equity</t>
  </si>
  <si>
    <t xml:space="preserve">  Current Liabilities</t>
  </si>
  <si>
    <t xml:space="preserve">   Loans</t>
  </si>
  <si>
    <t xml:space="preserve">   Creditors</t>
  </si>
  <si>
    <t xml:space="preserve">   Other</t>
  </si>
  <si>
    <t xml:space="preserve">  Non Current Liabilities</t>
  </si>
  <si>
    <t xml:space="preserve">   Long Term Debt</t>
  </si>
  <si>
    <t xml:space="preserve">   Other Non Current Liabilities</t>
  </si>
  <si>
    <t xml:space="preserve">    Provisions</t>
  </si>
  <si>
    <t xml:space="preserve">   Capital</t>
  </si>
  <si>
    <t xml:space="preserve">  Total Shareh. Funds &amp; Liab.</t>
  </si>
  <si>
    <t>Memo lines</t>
  </si>
  <si>
    <t xml:space="preserve">  Enterprise Value</t>
  </si>
  <si>
    <t xml:space="preserve">  Number of Employees</t>
  </si>
  <si>
    <t>Income statement</t>
  </si>
  <si>
    <t xml:space="preserve">  Operating Revenue / Turnover</t>
  </si>
  <si>
    <t xml:space="preserve">   Sales</t>
  </si>
  <si>
    <t xml:space="preserve">  Costs of Goods Sold</t>
  </si>
  <si>
    <t xml:space="preserve">  Gross Profit</t>
  </si>
  <si>
    <t xml:space="preserve">  Other Operating Items</t>
  </si>
  <si>
    <t xml:space="preserve">  Depreciation/Amortization</t>
  </si>
  <si>
    <t xml:space="preserve">  Operating P/L</t>
  </si>
  <si>
    <t xml:space="preserve">   Financial Revenue</t>
  </si>
  <si>
    <t xml:space="preserve">   Financial Expenses</t>
  </si>
  <si>
    <t xml:space="preserve">  Financial P/L</t>
  </si>
  <si>
    <t xml:space="preserve">  Other non Oper./Financial Items</t>
  </si>
  <si>
    <t xml:space="preserve">  P/L before Tax</t>
  </si>
  <si>
    <t xml:space="preserve">  Taxation</t>
  </si>
  <si>
    <t xml:space="preserve">  P/L after Tax</t>
  </si>
  <si>
    <t xml:space="preserve">  Extraord. &amp; Oth. Items</t>
  </si>
  <si>
    <t xml:space="preserve">  P/L  for Period</t>
  </si>
  <si>
    <t>Value creation</t>
  </si>
  <si>
    <t>M/B    (Enterprise value / Net Assets)</t>
  </si>
  <si>
    <t>M/S   (Enterprise value / Sales)</t>
  </si>
  <si>
    <t>MVA (Market Value Added, Enterprise Value - Net Assets)</t>
  </si>
  <si>
    <t>Financial Ratio</t>
  </si>
  <si>
    <t>Sales</t>
  </si>
  <si>
    <t>Sales growth</t>
  </si>
  <si>
    <t>Net assets</t>
  </si>
  <si>
    <t>Net assets growth</t>
  </si>
  <si>
    <t>Profitability</t>
  </si>
  <si>
    <t>ROE</t>
  </si>
  <si>
    <t>RONA (gross of taxes)</t>
  </si>
  <si>
    <t xml:space="preserve">   ROS</t>
  </si>
  <si>
    <t xml:space="preserve">   Assets turnover</t>
  </si>
  <si>
    <t>Drivers of ROS</t>
  </si>
  <si>
    <t>Gross margin</t>
  </si>
  <si>
    <t>Residual margin</t>
  </si>
  <si>
    <t>Drivers of Assets turnover</t>
  </si>
  <si>
    <t>WC turnover</t>
  </si>
  <si>
    <t>FA turnover</t>
  </si>
  <si>
    <t>Financial policy</t>
  </si>
  <si>
    <t>Quick ratio</t>
  </si>
  <si>
    <t>Leverage (rapporto di indebitamento)</t>
  </si>
  <si>
    <t>Assets coverage</t>
  </si>
  <si>
    <t>Nine months ended</t>
  </si>
  <si>
    <t>Sep 30, 2020</t>
  </si>
  <si>
    <t>Sep 30, 2019</t>
  </si>
  <si>
    <t>Net. assets</t>
  </si>
  <si>
    <t>ROA</t>
  </si>
  <si>
    <t>Gross profit</t>
  </si>
  <si>
    <t>COGS</t>
  </si>
  <si>
    <t>Revenues</t>
  </si>
  <si>
    <t>Operating Income</t>
  </si>
  <si>
    <t>ROS</t>
  </si>
  <si>
    <t>Assets turnover</t>
  </si>
  <si>
    <t>DELTA%</t>
  </si>
  <si>
    <t>Operating costs</t>
  </si>
  <si>
    <t>30 sep 2020</t>
  </si>
  <si>
    <t>30 sep 2019</t>
  </si>
  <si>
    <t>Base Management fees</t>
  </si>
  <si>
    <t>Franchises fees</t>
  </si>
  <si>
    <t>Gross fee revenues</t>
  </si>
  <si>
    <t>Sep. 30, 2020</t>
  </si>
  <si>
    <t>Sep. 30 2019</t>
  </si>
  <si>
    <t>Contract Inv. Amortization</t>
  </si>
  <si>
    <t>Net fee revenues</t>
  </si>
  <si>
    <t>Owned, leased and other revenue</t>
  </si>
  <si>
    <t>Cost reimbursement revenue</t>
  </si>
  <si>
    <t>Incentive Mngmnt. Fees</t>
  </si>
  <si>
    <t>Operating Costs &amp; Exepenses</t>
  </si>
  <si>
    <t>Owned, leased and other direct</t>
  </si>
  <si>
    <t>depreciation, amortization</t>
  </si>
  <si>
    <t>SG&amp;A</t>
  </si>
  <si>
    <t>Restructuring and merger-related charges</t>
  </si>
  <si>
    <t>Reimbursed expenses</t>
  </si>
  <si>
    <t>Gains and other income , net</t>
  </si>
  <si>
    <t>Interest Expense</t>
  </si>
  <si>
    <t>Interest Income</t>
  </si>
  <si>
    <t>Equity in Losses</t>
  </si>
  <si>
    <t>Provision for income taxes</t>
  </si>
  <si>
    <t>NET INCOME/LOSS</t>
  </si>
  <si>
    <t>Cash &amp; Equivalents</t>
  </si>
  <si>
    <t>Assets held for sale</t>
  </si>
  <si>
    <t>Account and Notes receivable, net</t>
  </si>
  <si>
    <t>Prepaid Expanses and other</t>
  </si>
  <si>
    <t>PP&amp;E</t>
  </si>
  <si>
    <t>Brand</t>
  </si>
  <si>
    <t>Goodwill</t>
  </si>
  <si>
    <t>Contract acquisition costs</t>
  </si>
  <si>
    <t>Equity method investments</t>
  </si>
  <si>
    <t>Notes receivable, net</t>
  </si>
  <si>
    <t>Deferred tax assets</t>
  </si>
  <si>
    <t>Operating lease assets</t>
  </si>
  <si>
    <t>Other non-current assets</t>
  </si>
  <si>
    <t>Current Liabilities</t>
  </si>
  <si>
    <t>Current portion of Long term debt</t>
  </si>
  <si>
    <t>Account Payable</t>
  </si>
  <si>
    <t>Accrued payroll and benefits</t>
  </si>
  <si>
    <t>Liability for guest loyalty program</t>
  </si>
  <si>
    <t>Accrued expenses and other</t>
  </si>
  <si>
    <t>Non Current Liabilities</t>
  </si>
  <si>
    <t>Fixed Assets</t>
  </si>
  <si>
    <t>Intangible Assets</t>
  </si>
  <si>
    <t>Current Assets</t>
  </si>
  <si>
    <t>Financial and other Assets</t>
  </si>
  <si>
    <t>Long term debt</t>
  </si>
  <si>
    <t>Liability for guests loyalty program</t>
  </si>
  <si>
    <t>Deferred tax liabilities</t>
  </si>
  <si>
    <t>Deferred revenue</t>
  </si>
  <si>
    <t>Operating lease liabilities</t>
  </si>
  <si>
    <t>Other non current</t>
  </si>
  <si>
    <t>Shareholders' Equity</t>
  </si>
  <si>
    <t>Class A Common Stock</t>
  </si>
  <si>
    <t>Additional paid-in capital</t>
  </si>
  <si>
    <t>Retained earnings</t>
  </si>
  <si>
    <t>Treasury stock at cost</t>
  </si>
  <si>
    <t>AOCI</t>
  </si>
  <si>
    <t>September 30, 2020</t>
  </si>
  <si>
    <t>Balance sheet (m USD)</t>
  </si>
  <si>
    <t>Operating income</t>
  </si>
  <si>
    <t>Tot no-operating income</t>
  </si>
  <si>
    <t>Income (loss) before tax</t>
  </si>
  <si>
    <t>Income statement (m USD)</t>
  </si>
  <si>
    <t>September 30, 2019</t>
  </si>
  <si>
    <t>Gross Profit</t>
  </si>
  <si>
    <t>Net Income</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</si>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</sst>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
  </numFmts>
  <fonts count="18" x14ac:knownFonts="1">
    <font>
      <sz val="10"/>
      <color indexed="8"/>
      <name val="Arial"/>
    </font>
    <font>
      <b/>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b/>
      <sz val="11"/>
      <color indexed="8"/>
      <name val="Arial"/>
      <family val="2"/>
    </font>
    <font>
      <sz val="11"/>
      <color indexed="8"/>
      <name val="Arial"/>
      <family val="2"/>
    </font>
    <font>
      <i/>
      <sz val="11"/>
      <color indexed="8"/>
      <name val="Arial"/>
      <family val="2"/>
    </font>
    <font>
      <sz val="14"/>
      <color indexed="8"/>
      <name val="Arial"/>
      <family val="2"/>
    </font>
    <font>
      <b/>
      <sz val="10"/>
      <color indexed="8"/>
      <name val="Arial"/>
      <family val="2"/>
    </font>
    <font>
      <sz val="10"/>
      <color indexed="8"/>
      <name val="Arial"/>
      <family val="2"/>
    </font>
    <font>
      <sz val="10"/>
      <color indexed="8"/>
      <name val="Arial"/>
      <family val="2"/>
    </font>
    <font>
      <b/>
      <sz val="12"/>
      <color theme="1"/>
      <name val="Calibri"/>
      <family val="2"/>
      <scheme val="minor"/>
    </font>
    <font>
      <b/>
      <sz val="14"/>
      <color theme="1"/>
      <name val="Calibri"/>
      <family val="2"/>
      <scheme val="minor"/>
    </font>
    <font>
      <i/>
      <u/>
      <sz val="14"/>
      <color theme="1"/>
      <name val="Calibri"/>
      <family val="2"/>
      <scheme val="minor"/>
    </font>
    <font>
      <b/>
      <i/>
      <u/>
      <sz val="12"/>
      <color theme="1"/>
      <name val="Calibri"/>
      <family val="2"/>
      <scheme val="minor"/>
    </font>
    <font>
      <b/>
      <sz val="10"/>
      <color rgb="FF000000"/>
      <name val="Arial"/>
      <family val="2"/>
    </font>
  </fonts>
  <fills count="4">
    <fill>
      <patternFill patternType="none"/>
    </fill>
    <fill>
      <patternFill patternType="gray125"/>
    </fill>
    <fill>
      <patternFill patternType="solid">
        <fgColor rgb="FFFF0000"/>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3" fillId="0" borderId="0" xfId="0" applyFont="1"/>
    <xf numFmtId="0" fontId="0" fillId="0" borderId="0" xfId="0" applyAlignment="1">
      <alignment vertical="center"/>
    </xf>
    <xf numFmtId="0" fontId="4" fillId="0" borderId="0" xfId="0" applyFont="1"/>
    <xf numFmtId="0" fontId="5" fillId="0" borderId="0" xfId="0" applyFont="1"/>
    <xf numFmtId="3" fontId="0" fillId="0" borderId="0" xfId="0" applyNumberFormat="1" applyAlignment="1">
      <alignment horizontal="right"/>
    </xf>
    <xf numFmtId="0" fontId="6" fillId="0" borderId="0" xfId="0" applyFont="1"/>
    <xf numFmtId="0" fontId="7" fillId="0" borderId="0" xfId="0" applyFont="1"/>
    <xf numFmtId="3" fontId="7" fillId="0" borderId="0" xfId="0" applyNumberFormat="1" applyFont="1" applyAlignment="1">
      <alignment horizontal="right"/>
    </xf>
    <xf numFmtId="0" fontId="8" fillId="0" borderId="0" xfId="0" applyFont="1"/>
    <xf numFmtId="0" fontId="14" fillId="0" borderId="0" xfId="0" applyFont="1" applyAlignment="1">
      <alignment horizontal="left"/>
    </xf>
    <xf numFmtId="0" fontId="14" fillId="0" borderId="0" xfId="1" applyNumberFormat="1" applyFont="1" applyAlignment="1">
      <alignment horizontal="center"/>
    </xf>
    <xf numFmtId="0" fontId="9" fillId="0" borderId="0" xfId="0" applyFont="1"/>
    <xf numFmtId="165" fontId="9" fillId="0" borderId="0" xfId="0" applyNumberFormat="1" applyFont="1"/>
    <xf numFmtId="3" fontId="9" fillId="0" borderId="0" xfId="0" applyNumberFormat="1" applyFont="1"/>
    <xf numFmtId="0" fontId="14" fillId="0" borderId="0" xfId="0" applyFont="1"/>
    <xf numFmtId="166" fontId="9" fillId="0" borderId="0" xfId="2" applyNumberFormat="1" applyFont="1"/>
    <xf numFmtId="0" fontId="15" fillId="0" borderId="0" xfId="0" applyFont="1"/>
    <xf numFmtId="0" fontId="10" fillId="0" borderId="0" xfId="0" applyFont="1"/>
    <xf numFmtId="0" fontId="16" fillId="0" borderId="0" xfId="0" applyFont="1"/>
    <xf numFmtId="0" fontId="0" fillId="0" borderId="0" xfId="0" applyAlignment="1">
      <alignment horizontal="left"/>
    </xf>
    <xf numFmtId="0" fontId="11" fillId="0" borderId="0" xfId="0" applyFont="1"/>
    <xf numFmtId="0" fontId="0" fillId="0" borderId="0" xfId="0" applyFont="1" applyAlignment="1">
      <alignment horizontal="left"/>
    </xf>
    <xf numFmtId="0" fontId="11" fillId="0" borderId="0" xfId="0" applyFont="1" applyAlignment="1">
      <alignment horizontal="left"/>
    </xf>
    <xf numFmtId="9" fontId="0" fillId="0" borderId="0" xfId="2" applyFont="1"/>
    <xf numFmtId="0" fontId="0" fillId="0" borderId="1" xfId="0" applyBorder="1"/>
    <xf numFmtId="9" fontId="0" fillId="0" borderId="1" xfId="2" applyFont="1" applyBorder="1"/>
    <xf numFmtId="0" fontId="0" fillId="0" borderId="0" xfId="0" applyBorder="1"/>
    <xf numFmtId="0" fontId="0" fillId="0" borderId="2" xfId="0" applyBorder="1"/>
    <xf numFmtId="0" fontId="11" fillId="0" borderId="0" xfId="0" applyFont="1" applyBorder="1"/>
    <xf numFmtId="0" fontId="0" fillId="0" borderId="3" xfId="0" applyFont="1" applyBorder="1" applyAlignment="1">
      <alignment horizontal="left"/>
    </xf>
    <xf numFmtId="0" fontId="11" fillId="0" borderId="3" xfId="0" applyFont="1" applyBorder="1"/>
    <xf numFmtId="0" fontId="0" fillId="0" borderId="0" xfId="0" applyAlignment="1">
      <alignment horizontal="right"/>
    </xf>
    <xf numFmtId="0" fontId="10" fillId="0" borderId="0" xfId="0" applyFont="1" applyBorder="1" applyAlignment="1">
      <alignment horizontal="center"/>
    </xf>
    <xf numFmtId="0" fontId="0" fillId="0" borderId="0" xfId="0" applyBorder="1" applyAlignment="1">
      <alignment horizontal="right"/>
    </xf>
    <xf numFmtId="0" fontId="11" fillId="0" borderId="0" xfId="0" applyFont="1" applyBorder="1" applyAlignment="1">
      <alignment horizontal="right"/>
    </xf>
    <xf numFmtId="0" fontId="10" fillId="0" borderId="0" xfId="0" applyFont="1" applyBorder="1" applyAlignment="1"/>
    <xf numFmtId="9" fontId="0" fillId="0" borderId="5" xfId="2" applyFont="1" applyFill="1" applyBorder="1"/>
    <xf numFmtId="2" fontId="0" fillId="0" borderId="5" xfId="0" applyNumberFormat="1" applyFill="1" applyBorder="1"/>
    <xf numFmtId="0" fontId="0" fillId="0" borderId="5" xfId="0" applyFill="1" applyBorder="1"/>
    <xf numFmtId="0" fontId="0" fillId="0" borderId="3" xfId="0" applyFill="1" applyBorder="1"/>
    <xf numFmtId="0" fontId="13" fillId="0" borderId="12" xfId="0" applyFont="1" applyBorder="1"/>
    <xf numFmtId="0" fontId="0" fillId="0" borderId="13" xfId="0" applyBorder="1"/>
    <xf numFmtId="0" fontId="0" fillId="0" borderId="14" xfId="0" applyBorder="1"/>
    <xf numFmtId="0" fontId="0" fillId="0" borderId="1" xfId="0" applyBorder="1" applyAlignment="1"/>
    <xf numFmtId="0" fontId="0" fillId="0" borderId="0" xfId="0" applyBorder="1" applyAlignment="1"/>
    <xf numFmtId="0" fontId="11" fillId="0" borderId="1" xfId="0" applyFont="1" applyBorder="1"/>
    <xf numFmtId="0" fontId="2" fillId="0" borderId="1" xfId="0" applyFont="1" applyBorder="1"/>
    <xf numFmtId="0" fontId="2" fillId="0" borderId="1" xfId="0" applyFont="1" applyFill="1" applyBorder="1"/>
    <xf numFmtId="0" fontId="2" fillId="0" borderId="1" xfId="0" applyFont="1" applyBorder="1" applyAlignment="1"/>
    <xf numFmtId="0" fontId="0" fillId="0" borderId="5" xfId="0" applyBorder="1"/>
    <xf numFmtId="0" fontId="0" fillId="0" borderId="4" xfId="0" applyBorder="1" applyAlignment="1">
      <alignment horizontal="right"/>
    </xf>
    <xf numFmtId="9" fontId="0" fillId="0" borderId="5" xfId="2" applyFont="1" applyBorder="1"/>
    <xf numFmtId="0" fontId="10" fillId="0" borderId="4" xfId="0" applyFont="1" applyBorder="1" applyAlignment="1">
      <alignment horizontal="right"/>
    </xf>
    <xf numFmtId="0" fontId="0" fillId="0" borderId="4" xfId="0" applyBorder="1"/>
    <xf numFmtId="0" fontId="3" fillId="0" borderId="4" xfId="0" applyFont="1" applyBorder="1" applyAlignment="1">
      <alignment horizontal="right"/>
    </xf>
    <xf numFmtId="0" fontId="11" fillId="0" borderId="4" xfId="0" applyFont="1" applyBorder="1" applyAlignment="1">
      <alignment horizontal="right"/>
    </xf>
    <xf numFmtId="9" fontId="12" fillId="2" borderId="5" xfId="2" applyFont="1" applyFill="1" applyBorder="1"/>
    <xf numFmtId="0" fontId="2" fillId="0" borderId="4" xfId="0" applyFont="1" applyBorder="1" applyAlignment="1">
      <alignment horizontal="right"/>
    </xf>
    <xf numFmtId="9" fontId="0" fillId="0" borderId="3" xfId="2" applyFont="1" applyBorder="1"/>
    <xf numFmtId="0" fontId="3" fillId="0" borderId="1" xfId="0" applyFont="1" applyBorder="1" applyAlignment="1">
      <alignment horizontal="left"/>
    </xf>
    <xf numFmtId="0" fontId="3" fillId="0" borderId="6" xfId="0" applyFont="1" applyBorder="1" applyAlignment="1">
      <alignment horizontal="left"/>
    </xf>
    <xf numFmtId="0" fontId="0" fillId="0" borderId="8" xfId="0" applyBorder="1"/>
    <xf numFmtId="0" fontId="3" fillId="0" borderId="9" xfId="0" applyFont="1" applyBorder="1" applyAlignment="1">
      <alignment horizontal="left"/>
    </xf>
    <xf numFmtId="0" fontId="10" fillId="0" borderId="10" xfId="0" applyFont="1" applyBorder="1" applyAlignment="1">
      <alignment horizontal="left"/>
    </xf>
    <xf numFmtId="0" fontId="3" fillId="0" borderId="10" xfId="0" applyFont="1" applyBorder="1" applyAlignment="1">
      <alignment horizontal="left"/>
    </xf>
    <xf numFmtId="9" fontId="0" fillId="0" borderId="11" xfId="2" applyFont="1" applyBorder="1"/>
    <xf numFmtId="0" fontId="17" fillId="0" borderId="10" xfId="0" applyFont="1" applyBorder="1"/>
    <xf numFmtId="0" fontId="0" fillId="0" borderId="10" xfId="0" applyBorder="1"/>
    <xf numFmtId="0" fontId="10" fillId="0" borderId="2" xfId="0" applyFont="1" applyBorder="1" applyAlignment="1">
      <alignment horizontal="center"/>
    </xf>
    <xf numFmtId="0" fontId="11" fillId="0" borderId="4" xfId="0" applyFont="1" applyBorder="1" applyAlignment="1">
      <alignment horizontal="left"/>
    </xf>
    <xf numFmtId="9" fontId="12" fillId="3" borderId="5" xfId="2" applyFont="1" applyFill="1" applyBorder="1"/>
    <xf numFmtId="0" fontId="11" fillId="0" borderId="6" xfId="0" applyFont="1" applyBorder="1" applyAlignment="1">
      <alignment horizontal="right"/>
    </xf>
    <xf numFmtId="0" fontId="3" fillId="0" borderId="10" xfId="0" applyFont="1" applyBorder="1"/>
    <xf numFmtId="0" fontId="0" fillId="0" borderId="8" xfId="0" applyBorder="1" applyAlignment="1">
      <alignment horizontal="right"/>
    </xf>
    <xf numFmtId="0" fontId="0" fillId="0" borderId="9" xfId="0" applyBorder="1"/>
    <xf numFmtId="9" fontId="12" fillId="0" borderId="0" xfId="2" applyFont="1" applyFill="1"/>
    <xf numFmtId="0" fontId="0" fillId="0" borderId="15" xfId="0" applyBorder="1"/>
    <xf numFmtId="2" fontId="0" fillId="0" borderId="16" xfId="0" applyNumberFormat="1" applyBorder="1"/>
    <xf numFmtId="9" fontId="0" fillId="0" borderId="8" xfId="2" applyFont="1" applyFill="1" applyBorder="1"/>
    <xf numFmtId="0" fontId="0" fillId="0" borderId="8" xfId="0" applyFill="1" applyBorder="1"/>
    <xf numFmtId="2" fontId="0" fillId="0" borderId="8" xfId="0" applyNumberFormat="1" applyFill="1" applyBorder="1"/>
    <xf numFmtId="10" fontId="0" fillId="0" borderId="9" xfId="2" applyNumberFormat="1" applyFont="1" applyFill="1" applyBorder="1"/>
    <xf numFmtId="0" fontId="11" fillId="0" borderId="17" xfId="0" applyFont="1" applyBorder="1" applyAlignment="1">
      <alignment horizontal="center" vertical="center"/>
    </xf>
    <xf numFmtId="0" fontId="0" fillId="0" borderId="8" xfId="0" applyBorder="1" applyAlignment="1">
      <alignment horizontal="center" vertical="center"/>
    </xf>
    <xf numFmtId="0" fontId="11" fillId="0" borderId="2" xfId="0" applyFont="1" applyBorder="1" applyAlignment="1">
      <alignment horizontal="center" vertical="center"/>
    </xf>
    <xf numFmtId="0" fontId="0" fillId="0" borderId="5" xfId="0" applyBorder="1" applyAlignment="1">
      <alignment horizontal="center" vertical="center"/>
    </xf>
    <xf numFmtId="0" fontId="11" fillId="0" borderId="7" xfId="0" applyFont="1" applyBorder="1" applyAlignment="1">
      <alignment horizontal="center"/>
    </xf>
    <xf numFmtId="0" fontId="0" fillId="0" borderId="2" xfId="0" applyBorder="1" applyAlignment="1">
      <alignment horizontal="center"/>
    </xf>
    <xf numFmtId="0" fontId="0" fillId="0" borderId="0" xfId="0" applyAlignment="1">
      <alignment horizontal="left" vertical="center" wrapText="1"/>
    </xf>
  </cellXfs>
  <cellStyles count="3">
    <cellStyle name="Comma" xfId="1" builtinId="3"/>
    <cellStyle name="Normal" xfId="0" builtinId="0"/>
    <cellStyle name="Per 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1D6DC"/>
      <rgbColor rgb="00858585"/>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2F2F2"/>
      <rgbColor rgb="00CCFFCC"/>
      <rgbColor rgb="00FFFF99"/>
      <rgbColor rgb="00B2CBEA"/>
      <rgbColor rgb="00FF99CC"/>
      <rgbColor rgb="00CC99FF"/>
      <rgbColor rgb="00FFCC99"/>
      <rgbColor rgb="003366FF"/>
      <rgbColor rgb="0033CCCC"/>
      <rgbColor rgb="0099CC00"/>
      <rgbColor rgb="00FFCC00"/>
      <rgbColor rgb="00FF9900"/>
      <rgbColor rgb="00FF6600"/>
      <rgbColor rgb="006390C9"/>
      <rgbColor rgb="0096A3B5"/>
      <rgbColor rgb="00003366"/>
      <rgbColor rgb="006666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60"/>
  <sheetViews>
    <sheetView tabSelected="1" zoomScale="141" workbookViewId="0">
      <selection activeCell="A2" sqref="A2"/>
    </sheetView>
  </sheetViews>
  <sheetFormatPr baseColWidth="10" defaultColWidth="8.83203125" defaultRowHeight="13" x14ac:dyDescent="0.15"/>
  <cols>
    <col min="1" max="1" width="36" bestFit="1" customWidth="1"/>
    <col min="2" max="2" width="12.5" bestFit="1" customWidth="1"/>
    <col min="3" max="3" width="12" bestFit="1" customWidth="1"/>
    <col min="4" max="5" width="8.83203125" customWidth="1"/>
    <col min="6" max="6" width="36.1640625" customWidth="1"/>
    <col min="7" max="8" width="18.5" bestFit="1" customWidth="1"/>
    <col min="9" max="9" width="13" customWidth="1"/>
    <col min="10" max="12" width="12.5" bestFit="1" customWidth="1"/>
  </cols>
  <sheetData>
    <row r="2" spans="1:12" x14ac:dyDescent="0.15">
      <c r="F2" s="27"/>
      <c r="G2" s="27"/>
      <c r="H2" s="27"/>
      <c r="I2" s="27"/>
      <c r="J2" s="27"/>
      <c r="K2" s="27"/>
      <c r="L2" s="27"/>
    </row>
    <row r="3" spans="1:12" x14ac:dyDescent="0.15">
      <c r="A3" s="36"/>
      <c r="B3" s="36"/>
      <c r="C3" s="36"/>
      <c r="F3" s="27"/>
      <c r="G3" s="27"/>
      <c r="H3" s="27"/>
      <c r="I3" s="27"/>
      <c r="J3" s="27"/>
      <c r="K3" s="27"/>
      <c r="L3" s="27"/>
    </row>
    <row r="4" spans="1:12" x14ac:dyDescent="0.15">
      <c r="A4" s="67" t="s">
        <v>163</v>
      </c>
      <c r="B4" s="68" t="s">
        <v>103</v>
      </c>
      <c r="C4" s="47" t="s">
        <v>104</v>
      </c>
      <c r="D4" s="28"/>
      <c r="F4" s="65" t="s">
        <v>159</v>
      </c>
      <c r="G4" s="48" t="s">
        <v>158</v>
      </c>
      <c r="H4" s="48" t="s">
        <v>164</v>
      </c>
      <c r="I4" s="69"/>
      <c r="J4" s="33"/>
      <c r="K4" s="33"/>
      <c r="L4" s="27"/>
    </row>
    <row r="5" spans="1:12" x14ac:dyDescent="0.15">
      <c r="A5" s="61" t="s">
        <v>92</v>
      </c>
      <c r="B5" s="61">
        <f>SUM(B11:B13)</f>
        <v>8399</v>
      </c>
      <c r="C5" s="63">
        <f>SUM(C11:C13)</f>
        <v>15601</v>
      </c>
      <c r="D5" s="52">
        <f>(B5-C5)/C5</f>
        <v>-0.46163707454650343</v>
      </c>
      <c r="F5" s="73" t="s">
        <v>3</v>
      </c>
      <c r="G5" s="60">
        <f>SUM(G6,G13,G21)</f>
        <v>25148</v>
      </c>
      <c r="H5" s="60">
        <f>SUM(H6,H13,H21)</f>
        <v>24812</v>
      </c>
      <c r="I5" s="50"/>
      <c r="J5" s="27">
        <f>G5-H5</f>
        <v>336</v>
      </c>
      <c r="K5" s="27"/>
      <c r="L5" s="27"/>
    </row>
    <row r="6" spans="1:12" x14ac:dyDescent="0.15">
      <c r="A6" s="51" t="s">
        <v>100</v>
      </c>
      <c r="B6" s="54">
        <v>341</v>
      </c>
      <c r="C6" s="62">
        <v>882</v>
      </c>
      <c r="D6" s="52">
        <f>(B6-C6)/C6</f>
        <v>-0.61337868480725621</v>
      </c>
      <c r="E6" s="24"/>
      <c r="F6" s="70" t="s">
        <v>144</v>
      </c>
      <c r="G6" s="74">
        <f>SUM(G7:G10)</f>
        <v>3540</v>
      </c>
      <c r="H6" s="74">
        <f>SUM(H7:H10)</f>
        <v>2900</v>
      </c>
      <c r="I6" s="52">
        <f>(G6-H6)/H6</f>
        <v>0.22068965517241379</v>
      </c>
      <c r="J6" s="27">
        <f t="shared" ref="J6:J36" si="0">G6-H6</f>
        <v>640</v>
      </c>
      <c r="K6" s="27"/>
      <c r="L6" s="27"/>
    </row>
    <row r="7" spans="1:12" x14ac:dyDescent="0.15">
      <c r="A7" s="51" t="s">
        <v>101</v>
      </c>
      <c r="B7" s="54">
        <v>876</v>
      </c>
      <c r="C7" s="62">
        <v>1505</v>
      </c>
      <c r="D7" s="52">
        <f t="shared" ref="D7:D30" si="1">(B7-C7)/C7</f>
        <v>-0.41794019933554816</v>
      </c>
      <c r="E7" s="24"/>
      <c r="F7" s="56" t="s">
        <v>122</v>
      </c>
      <c r="G7" s="62">
        <v>1577</v>
      </c>
      <c r="H7" s="62">
        <v>276</v>
      </c>
      <c r="I7" s="57">
        <f t="shared" ref="I7:I52" si="2">(G7-H7)/H7</f>
        <v>4.7137681159420293</v>
      </c>
      <c r="J7" s="27">
        <f t="shared" si="0"/>
        <v>1301</v>
      </c>
      <c r="K7" s="27"/>
      <c r="L7" s="27"/>
    </row>
    <row r="8" spans="1:12" x14ac:dyDescent="0.15">
      <c r="A8" s="51" t="s">
        <v>109</v>
      </c>
      <c r="B8" s="54">
        <v>43</v>
      </c>
      <c r="C8" s="62">
        <v>462</v>
      </c>
      <c r="D8" s="52">
        <f t="shared" si="1"/>
        <v>-0.90692640692640691</v>
      </c>
      <c r="E8" s="24"/>
      <c r="F8" s="56" t="s">
        <v>124</v>
      </c>
      <c r="G8" s="62">
        <v>1791</v>
      </c>
      <c r="H8" s="62">
        <v>2394</v>
      </c>
      <c r="I8" s="52">
        <f t="shared" si="2"/>
        <v>-0.25187969924812031</v>
      </c>
      <c r="J8" s="27">
        <f t="shared" si="0"/>
        <v>-603</v>
      </c>
      <c r="K8" s="27"/>
      <c r="L8" s="27"/>
    </row>
    <row r="9" spans="1:12" x14ac:dyDescent="0.15">
      <c r="A9" s="51" t="s">
        <v>102</v>
      </c>
      <c r="B9" s="54">
        <f>SUM(B6:B8)</f>
        <v>1260</v>
      </c>
      <c r="C9" s="62">
        <f>SUM(C6:C8)</f>
        <v>2849</v>
      </c>
      <c r="D9" s="52">
        <f t="shared" si="1"/>
        <v>-0.55773955773955775</v>
      </c>
      <c r="E9" s="24"/>
      <c r="F9" s="56" t="s">
        <v>125</v>
      </c>
      <c r="G9" s="62">
        <v>164</v>
      </c>
      <c r="H9" s="62">
        <v>230</v>
      </c>
      <c r="I9" s="52">
        <f t="shared" si="2"/>
        <v>-0.28695652173913044</v>
      </c>
      <c r="J9" s="27">
        <f t="shared" si="0"/>
        <v>-66</v>
      </c>
      <c r="K9" s="27"/>
      <c r="L9" s="27"/>
    </row>
    <row r="10" spans="1:12" x14ac:dyDescent="0.15">
      <c r="A10" s="51" t="s">
        <v>105</v>
      </c>
      <c r="B10" s="54">
        <v>-94</v>
      </c>
      <c r="C10" s="62">
        <v>-45</v>
      </c>
      <c r="D10" s="52">
        <f t="shared" si="1"/>
        <v>1.0888888888888888</v>
      </c>
      <c r="E10" s="24"/>
      <c r="F10" s="56" t="s">
        <v>123</v>
      </c>
      <c r="G10" s="62">
        <v>8</v>
      </c>
      <c r="H10" s="62"/>
      <c r="I10" s="52"/>
      <c r="J10" s="27">
        <f t="shared" si="0"/>
        <v>8</v>
      </c>
      <c r="K10" s="27"/>
      <c r="L10" s="27"/>
    </row>
    <row r="11" spans="1:12" x14ac:dyDescent="0.15">
      <c r="A11" s="51" t="s">
        <v>106</v>
      </c>
      <c r="B11" s="54">
        <f>SUM(B9:B10)</f>
        <v>1166</v>
      </c>
      <c r="C11" s="62">
        <f>SUM(C9:C10)</f>
        <v>2804</v>
      </c>
      <c r="D11" s="52">
        <f t="shared" si="1"/>
        <v>-0.58416547788873041</v>
      </c>
      <c r="E11" s="24"/>
      <c r="F11" s="53"/>
      <c r="G11" s="62"/>
      <c r="H11" s="62"/>
      <c r="I11" s="52"/>
      <c r="J11" s="27"/>
      <c r="K11" s="27"/>
      <c r="L11" s="27"/>
    </row>
    <row r="12" spans="1:12" x14ac:dyDescent="0.15">
      <c r="A12" s="51" t="s">
        <v>107</v>
      </c>
      <c r="B12" s="54">
        <v>445</v>
      </c>
      <c r="C12" s="62">
        <v>1186</v>
      </c>
      <c r="D12" s="52">
        <f t="shared" si="1"/>
        <v>-0.62478920741989885</v>
      </c>
      <c r="E12" s="24"/>
      <c r="F12" s="51"/>
      <c r="G12" s="62"/>
      <c r="H12" s="62"/>
      <c r="I12" s="52"/>
      <c r="J12" s="27"/>
      <c r="K12" s="27"/>
      <c r="L12" s="27"/>
    </row>
    <row r="13" spans="1:12" x14ac:dyDescent="0.15">
      <c r="A13" s="51" t="s">
        <v>108</v>
      </c>
      <c r="B13" s="54">
        <v>6788</v>
      </c>
      <c r="C13" s="62">
        <v>11611</v>
      </c>
      <c r="D13" s="52">
        <f t="shared" si="1"/>
        <v>-0.41538196537765909</v>
      </c>
      <c r="E13" s="24"/>
      <c r="F13" s="70" t="s">
        <v>142</v>
      </c>
      <c r="G13" s="62">
        <f>SUM(G14:G18)</f>
        <v>19379</v>
      </c>
      <c r="H13" s="62">
        <f>SUM(H14:H18)</f>
        <v>19500</v>
      </c>
      <c r="I13" s="52">
        <f t="shared" si="2"/>
        <v>-6.2051282051282051E-3</v>
      </c>
      <c r="J13" s="27">
        <f t="shared" si="0"/>
        <v>-121</v>
      </c>
      <c r="K13" s="27"/>
      <c r="L13" s="27"/>
    </row>
    <row r="14" spans="1:12" x14ac:dyDescent="0.15">
      <c r="A14" s="53"/>
      <c r="B14" s="54"/>
      <c r="C14" s="62"/>
      <c r="D14" s="52"/>
      <c r="E14" s="24"/>
      <c r="F14" s="56" t="s">
        <v>126</v>
      </c>
      <c r="G14" s="62">
        <v>1790</v>
      </c>
      <c r="H14" s="62">
        <v>1960</v>
      </c>
      <c r="I14" s="52">
        <f t="shared" si="2"/>
        <v>-8.673469387755102E-2</v>
      </c>
      <c r="J14" s="27">
        <f t="shared" si="0"/>
        <v>-170</v>
      </c>
      <c r="K14" s="27"/>
      <c r="L14" s="27"/>
    </row>
    <row r="15" spans="1:12" x14ac:dyDescent="0.15">
      <c r="A15" s="54"/>
      <c r="B15" s="54"/>
      <c r="C15" s="62"/>
      <c r="D15" s="52"/>
      <c r="E15" s="24"/>
      <c r="F15" s="56" t="s">
        <v>143</v>
      </c>
      <c r="G15" s="62"/>
      <c r="H15" s="62"/>
      <c r="I15" s="52"/>
      <c r="J15" s="27">
        <f t="shared" si="0"/>
        <v>0</v>
      </c>
      <c r="K15" s="27"/>
      <c r="L15" s="27"/>
    </row>
    <row r="16" spans="1:12" x14ac:dyDescent="0.15">
      <c r="A16" s="61" t="s">
        <v>110</v>
      </c>
      <c r="B16" s="61">
        <f>SUM(B17:B21)</f>
        <v>8187</v>
      </c>
      <c r="C16" s="63">
        <f>SUM(C17:C21)</f>
        <v>14075</v>
      </c>
      <c r="D16" s="52">
        <f t="shared" si="1"/>
        <v>-0.41833037300177622</v>
      </c>
      <c r="E16" s="24"/>
      <c r="F16" s="56" t="s">
        <v>127</v>
      </c>
      <c r="G16" s="62">
        <v>5947</v>
      </c>
      <c r="H16" s="62">
        <v>5908</v>
      </c>
      <c r="I16" s="52">
        <f t="shared" si="2"/>
        <v>6.6012186865267433E-3</v>
      </c>
      <c r="J16" s="27">
        <f t="shared" si="0"/>
        <v>39</v>
      </c>
      <c r="K16" s="27"/>
      <c r="L16" s="27"/>
    </row>
    <row r="17" spans="1:12" x14ac:dyDescent="0.15">
      <c r="A17" s="51" t="s">
        <v>111</v>
      </c>
      <c r="B17" s="54">
        <v>527</v>
      </c>
      <c r="C17" s="62">
        <v>982</v>
      </c>
      <c r="D17" s="52">
        <f t="shared" si="1"/>
        <v>-0.46334012219959264</v>
      </c>
      <c r="E17" s="24"/>
      <c r="F17" s="56" t="s">
        <v>129</v>
      </c>
      <c r="G17" s="62">
        <v>2607</v>
      </c>
      <c r="H17" s="62">
        <v>2642</v>
      </c>
      <c r="I17" s="52">
        <f t="shared" si="2"/>
        <v>-1.3247539742619227E-2</v>
      </c>
      <c r="J17" s="27">
        <f t="shared" si="0"/>
        <v>-35</v>
      </c>
      <c r="K17" s="27"/>
      <c r="L17" s="27"/>
    </row>
    <row r="18" spans="1:12" x14ac:dyDescent="0.15">
      <c r="A18" s="51" t="s">
        <v>112</v>
      </c>
      <c r="B18" s="54">
        <v>275</v>
      </c>
      <c r="C18" s="62">
        <v>162</v>
      </c>
      <c r="D18" s="52">
        <f t="shared" si="1"/>
        <v>0.69753086419753085</v>
      </c>
      <c r="E18" s="24"/>
      <c r="F18" s="56" t="s">
        <v>128</v>
      </c>
      <c r="G18" s="62">
        <v>9035</v>
      </c>
      <c r="H18" s="62">
        <v>8990</v>
      </c>
      <c r="I18" s="52">
        <f t="shared" si="2"/>
        <v>5.0055617352614016E-3</v>
      </c>
      <c r="J18" s="27">
        <f t="shared" si="0"/>
        <v>45</v>
      </c>
      <c r="K18" s="27"/>
      <c r="L18" s="27"/>
    </row>
    <row r="19" spans="1:12" x14ac:dyDescent="0.15">
      <c r="A19" s="51" t="s">
        <v>113</v>
      </c>
      <c r="B19" s="54">
        <v>579</v>
      </c>
      <c r="C19" s="62">
        <v>671</v>
      </c>
      <c r="D19" s="52">
        <f t="shared" si="1"/>
        <v>-0.13710879284649777</v>
      </c>
      <c r="E19" s="24"/>
      <c r="F19" s="53"/>
      <c r="G19" s="62"/>
      <c r="H19" s="62"/>
      <c r="I19" s="52"/>
      <c r="J19" s="27">
        <f t="shared" si="0"/>
        <v>0</v>
      </c>
      <c r="K19" s="27"/>
      <c r="L19" s="27"/>
    </row>
    <row r="20" spans="1:12" x14ac:dyDescent="0.15">
      <c r="A20" s="51" t="s">
        <v>114</v>
      </c>
      <c r="B20" s="54">
        <v>5</v>
      </c>
      <c r="C20" s="62">
        <v>191</v>
      </c>
      <c r="D20" s="52">
        <f t="shared" si="1"/>
        <v>-0.97382198952879584</v>
      </c>
      <c r="E20" s="24"/>
      <c r="F20" s="51"/>
      <c r="G20" s="62"/>
      <c r="H20" s="62"/>
      <c r="I20" s="52"/>
      <c r="J20" s="27">
        <f t="shared" si="0"/>
        <v>0</v>
      </c>
      <c r="K20" s="27"/>
      <c r="L20" s="27"/>
    </row>
    <row r="21" spans="1:12" x14ac:dyDescent="0.15">
      <c r="A21" s="51" t="s">
        <v>115</v>
      </c>
      <c r="B21" s="54">
        <v>6801</v>
      </c>
      <c r="C21" s="62">
        <v>12069</v>
      </c>
      <c r="D21" s="52">
        <f t="shared" si="1"/>
        <v>-0.43649018145662438</v>
      </c>
      <c r="E21" s="24"/>
      <c r="F21" s="70" t="s">
        <v>145</v>
      </c>
      <c r="G21" s="62">
        <f>SUM(G22:G26)</f>
        <v>2229</v>
      </c>
      <c r="H21" s="62">
        <f>SUM(H22:H26)</f>
        <v>2412</v>
      </c>
      <c r="I21" s="52">
        <f t="shared" si="2"/>
        <v>-7.5870646766169156E-2</v>
      </c>
      <c r="J21" s="27">
        <f t="shared" si="0"/>
        <v>-183</v>
      </c>
      <c r="K21" s="27"/>
      <c r="L21" s="27"/>
    </row>
    <row r="22" spans="1:12" x14ac:dyDescent="0.15">
      <c r="A22" s="55" t="s">
        <v>160</v>
      </c>
      <c r="B22" s="54">
        <f>B5-B16</f>
        <v>212</v>
      </c>
      <c r="C22" s="62">
        <f>C5-C16</f>
        <v>1526</v>
      </c>
      <c r="D22" s="52">
        <f t="shared" si="1"/>
        <v>-0.86107470511140238</v>
      </c>
      <c r="E22" s="24"/>
      <c r="F22" s="56" t="s">
        <v>130</v>
      </c>
      <c r="G22" s="62">
        <v>517</v>
      </c>
      <c r="H22" s="62">
        <v>580</v>
      </c>
      <c r="I22" s="52">
        <f t="shared" si="2"/>
        <v>-0.10862068965517241</v>
      </c>
      <c r="J22" s="27">
        <f t="shared" si="0"/>
        <v>-63</v>
      </c>
      <c r="K22" s="27"/>
      <c r="L22" s="27"/>
    </row>
    <row r="23" spans="1:12" x14ac:dyDescent="0.15">
      <c r="A23" s="56" t="s">
        <v>116</v>
      </c>
      <c r="B23" s="54">
        <v>3</v>
      </c>
      <c r="C23" s="62">
        <v>16</v>
      </c>
      <c r="D23" s="52">
        <f t="shared" si="1"/>
        <v>-0.8125</v>
      </c>
      <c r="E23" s="24"/>
      <c r="F23" s="56" t="s">
        <v>131</v>
      </c>
      <c r="G23" s="62">
        <v>154</v>
      </c>
      <c r="H23" s="62">
        <v>109</v>
      </c>
      <c r="I23" s="52">
        <f t="shared" si="2"/>
        <v>0.41284403669724773</v>
      </c>
      <c r="J23" s="27">
        <f t="shared" si="0"/>
        <v>45</v>
      </c>
      <c r="K23" s="27"/>
      <c r="L23" s="27"/>
    </row>
    <row r="24" spans="1:12" x14ac:dyDescent="0.15">
      <c r="A24" s="56" t="s">
        <v>117</v>
      </c>
      <c r="B24" s="54">
        <v>-333</v>
      </c>
      <c r="C24" s="62">
        <v>-299</v>
      </c>
      <c r="D24" s="52">
        <f t="shared" si="1"/>
        <v>0.11371237458193979</v>
      </c>
      <c r="E24" s="24"/>
      <c r="F24" s="56" t="s">
        <v>132</v>
      </c>
      <c r="G24" s="62">
        <v>202</v>
      </c>
      <c r="H24" s="62">
        <v>169</v>
      </c>
      <c r="I24" s="52">
        <f t="shared" si="2"/>
        <v>0.19526627218934911</v>
      </c>
      <c r="J24" s="27">
        <f t="shared" si="0"/>
        <v>33</v>
      </c>
      <c r="K24" s="27"/>
      <c r="L24" s="27"/>
    </row>
    <row r="25" spans="1:12" x14ac:dyDescent="0.15">
      <c r="A25" s="56" t="s">
        <v>118</v>
      </c>
      <c r="B25" s="54">
        <v>20</v>
      </c>
      <c r="C25" s="62">
        <v>20</v>
      </c>
      <c r="D25" s="52">
        <f t="shared" si="1"/>
        <v>0</v>
      </c>
      <c r="E25" s="24"/>
      <c r="F25" s="56" t="s">
        <v>133</v>
      </c>
      <c r="G25" s="62">
        <v>757</v>
      </c>
      <c r="H25" s="62">
        <v>955</v>
      </c>
      <c r="I25" s="52">
        <f t="shared" si="2"/>
        <v>-0.20732984293193718</v>
      </c>
      <c r="J25" s="27">
        <f t="shared" si="0"/>
        <v>-198</v>
      </c>
      <c r="K25" s="27"/>
      <c r="L25" s="27"/>
    </row>
    <row r="26" spans="1:12" x14ac:dyDescent="0.15">
      <c r="A26" s="56" t="s">
        <v>119</v>
      </c>
      <c r="B26" s="54">
        <v>-54</v>
      </c>
      <c r="C26" s="62">
        <v>10</v>
      </c>
      <c r="D26" s="57">
        <f t="shared" si="1"/>
        <v>-6.4</v>
      </c>
      <c r="E26" s="76"/>
      <c r="F26" s="56" t="s">
        <v>134</v>
      </c>
      <c r="G26" s="62">
        <v>599</v>
      </c>
      <c r="H26" s="62">
        <v>599</v>
      </c>
      <c r="I26" s="52">
        <f t="shared" si="2"/>
        <v>0</v>
      </c>
      <c r="J26" s="27"/>
      <c r="K26" s="27"/>
      <c r="L26" s="27"/>
    </row>
    <row r="27" spans="1:12" x14ac:dyDescent="0.15">
      <c r="A27" s="55" t="s">
        <v>161</v>
      </c>
      <c r="B27" s="54">
        <f>SUM(B23:B26)</f>
        <v>-364</v>
      </c>
      <c r="C27" s="62">
        <f>SUM(C23:C26)</f>
        <v>-253</v>
      </c>
      <c r="D27" s="52">
        <f t="shared" si="1"/>
        <v>0.43873517786561267</v>
      </c>
      <c r="E27" s="24"/>
      <c r="F27" s="53"/>
      <c r="G27" s="62"/>
      <c r="H27" s="62"/>
      <c r="I27" s="52"/>
      <c r="J27" s="27"/>
      <c r="K27" s="27"/>
      <c r="L27" s="27"/>
    </row>
    <row r="28" spans="1:12" x14ac:dyDescent="0.15">
      <c r="A28" s="55" t="s">
        <v>162</v>
      </c>
      <c r="B28" s="54">
        <f>SUM(B22,B27)</f>
        <v>-152</v>
      </c>
      <c r="C28" s="62">
        <f>SUM(C22,C27)</f>
        <v>1273</v>
      </c>
      <c r="D28" s="52">
        <f t="shared" si="1"/>
        <v>-1.1194029850746268</v>
      </c>
      <c r="E28" s="24"/>
      <c r="F28" s="51"/>
      <c r="G28" s="62"/>
      <c r="H28" s="62"/>
      <c r="I28" s="52"/>
      <c r="J28" s="27"/>
      <c r="K28" s="27"/>
      <c r="L28" s="27"/>
    </row>
    <row r="29" spans="1:12" x14ac:dyDescent="0.15">
      <c r="A29" s="58" t="s">
        <v>120</v>
      </c>
      <c r="B29" s="54">
        <v>49</v>
      </c>
      <c r="C29" s="62">
        <v>-279</v>
      </c>
      <c r="D29" s="52">
        <f t="shared" si="1"/>
        <v>-1.1756272401433692</v>
      </c>
      <c r="E29" s="24"/>
      <c r="F29" s="53"/>
      <c r="G29" s="62"/>
      <c r="H29" s="62"/>
      <c r="I29" s="52"/>
      <c r="J29" s="27"/>
      <c r="K29" s="27"/>
      <c r="L29" s="27"/>
    </row>
    <row r="30" spans="1:12" x14ac:dyDescent="0.15">
      <c r="A30" s="64" t="s">
        <v>121</v>
      </c>
      <c r="B30" s="65">
        <f>B28+B29</f>
        <v>-103</v>
      </c>
      <c r="C30" s="60">
        <f>C28+C29</f>
        <v>994</v>
      </c>
      <c r="D30" s="66">
        <f t="shared" si="1"/>
        <v>-1.1036217303822937</v>
      </c>
      <c r="E30" s="24"/>
      <c r="F30" s="65" t="s">
        <v>30</v>
      </c>
      <c r="G30" s="60">
        <f>SUM(G31,G39,G47)</f>
        <v>25148</v>
      </c>
      <c r="H30" s="60">
        <f>SUM(H31,H39,H47)</f>
        <v>6576</v>
      </c>
      <c r="I30" s="71">
        <f t="shared" si="2"/>
        <v>2.8242092457420926</v>
      </c>
      <c r="J30" s="27">
        <f t="shared" si="0"/>
        <v>18572</v>
      </c>
      <c r="K30" s="27"/>
      <c r="L30" s="27"/>
    </row>
    <row r="31" spans="1:12" x14ac:dyDescent="0.15">
      <c r="D31" s="24"/>
      <c r="E31" s="24"/>
      <c r="F31" s="70" t="s">
        <v>135</v>
      </c>
      <c r="G31" s="62">
        <f>SUM(G32:G36)</f>
        <v>6006</v>
      </c>
      <c r="H31" s="62">
        <f>SUM(H32:H36)</f>
        <v>5738</v>
      </c>
      <c r="I31" s="52">
        <f t="shared" si="2"/>
        <v>4.6706169397002437E-2</v>
      </c>
      <c r="J31" s="27">
        <f t="shared" si="0"/>
        <v>268</v>
      </c>
      <c r="K31" s="27"/>
      <c r="L31" s="27"/>
    </row>
    <row r="32" spans="1:12" x14ac:dyDescent="0.15">
      <c r="F32" s="56" t="s">
        <v>136</v>
      </c>
      <c r="G32" s="62">
        <v>1316</v>
      </c>
      <c r="H32" s="62">
        <v>227</v>
      </c>
      <c r="I32" s="57">
        <f t="shared" si="2"/>
        <v>4.7973568281938324</v>
      </c>
      <c r="J32" s="27">
        <f t="shared" si="0"/>
        <v>1089</v>
      </c>
      <c r="K32" s="27"/>
      <c r="L32" s="27"/>
    </row>
    <row r="33" spans="6:12" x14ac:dyDescent="0.15">
      <c r="F33" s="56" t="s">
        <v>137</v>
      </c>
      <c r="G33" s="62">
        <v>486</v>
      </c>
      <c r="H33" s="62">
        <v>813</v>
      </c>
      <c r="I33" s="52">
        <f t="shared" si="2"/>
        <v>-0.40221402214022139</v>
      </c>
      <c r="J33" s="27">
        <f t="shared" si="0"/>
        <v>-327</v>
      </c>
      <c r="K33" s="27"/>
      <c r="L33" s="27"/>
    </row>
    <row r="34" spans="6:12" x14ac:dyDescent="0.15">
      <c r="F34" s="56" t="s">
        <v>138</v>
      </c>
      <c r="G34" s="62">
        <v>1030</v>
      </c>
      <c r="H34" s="62">
        <v>1207</v>
      </c>
      <c r="I34" s="52">
        <f t="shared" si="2"/>
        <v>-0.14664457332228667</v>
      </c>
      <c r="J34" s="27">
        <f t="shared" si="0"/>
        <v>-177</v>
      </c>
      <c r="K34" s="27"/>
      <c r="L34" s="27"/>
    </row>
    <row r="35" spans="6:12" x14ac:dyDescent="0.15">
      <c r="F35" s="56" t="s">
        <v>139</v>
      </c>
      <c r="G35" s="62">
        <v>1724</v>
      </c>
      <c r="H35" s="62">
        <v>2185</v>
      </c>
      <c r="I35" s="52">
        <f t="shared" si="2"/>
        <v>-0.21098398169336385</v>
      </c>
      <c r="J35" s="27">
        <f t="shared" si="0"/>
        <v>-461</v>
      </c>
      <c r="K35" s="27"/>
      <c r="L35" s="27"/>
    </row>
    <row r="36" spans="6:12" x14ac:dyDescent="0.15">
      <c r="F36" s="56" t="s">
        <v>140</v>
      </c>
      <c r="G36" s="62">
        <v>1450</v>
      </c>
      <c r="H36" s="62">
        <v>1306</v>
      </c>
      <c r="I36" s="52">
        <f t="shared" si="2"/>
        <v>0.11026033690658499</v>
      </c>
      <c r="J36" s="27">
        <f t="shared" si="0"/>
        <v>144</v>
      </c>
      <c r="K36" s="27"/>
      <c r="L36" s="27"/>
    </row>
    <row r="37" spans="6:12" x14ac:dyDescent="0.15">
      <c r="F37" s="53"/>
      <c r="G37" s="62"/>
      <c r="H37" s="62"/>
      <c r="I37" s="52"/>
      <c r="J37" s="27"/>
      <c r="K37" s="27"/>
      <c r="L37" s="27"/>
    </row>
    <row r="38" spans="6:12" x14ac:dyDescent="0.15">
      <c r="F38" s="51"/>
      <c r="G38" s="62"/>
      <c r="H38" s="62"/>
      <c r="I38" s="52"/>
      <c r="J38" s="27"/>
      <c r="K38" s="27"/>
      <c r="L38" s="27"/>
    </row>
    <row r="39" spans="6:12" x14ac:dyDescent="0.15">
      <c r="F39" s="70" t="s">
        <v>141</v>
      </c>
      <c r="G39" s="62">
        <f>SUM(G40:G45)</f>
        <v>18913</v>
      </c>
      <c r="H39" s="62"/>
      <c r="I39" s="52"/>
      <c r="J39" s="27"/>
      <c r="K39" s="27"/>
      <c r="L39" s="27"/>
    </row>
    <row r="40" spans="6:12" x14ac:dyDescent="0.15">
      <c r="F40" s="56" t="s">
        <v>146</v>
      </c>
      <c r="G40" s="62">
        <v>9679</v>
      </c>
      <c r="H40" s="62">
        <v>10552</v>
      </c>
      <c r="I40" s="52">
        <f t="shared" si="2"/>
        <v>-8.2733131159969678E-2</v>
      </c>
      <c r="J40" s="27"/>
      <c r="K40" s="27"/>
      <c r="L40" s="27"/>
    </row>
    <row r="41" spans="6:12" x14ac:dyDescent="0.15">
      <c r="F41" s="56" t="s">
        <v>147</v>
      </c>
      <c r="G41" s="62">
        <v>4433</v>
      </c>
      <c r="H41" s="62">
        <v>3439</v>
      </c>
      <c r="I41" s="52">
        <f t="shared" si="2"/>
        <v>0.28903751090433266</v>
      </c>
      <c r="J41" s="27"/>
      <c r="K41" s="27"/>
      <c r="L41" s="27"/>
    </row>
    <row r="42" spans="6:12" x14ac:dyDescent="0.15">
      <c r="F42" s="56" t="s">
        <v>148</v>
      </c>
      <c r="G42" s="62">
        <v>146</v>
      </c>
      <c r="H42" s="62">
        <v>291</v>
      </c>
      <c r="I42" s="52">
        <f t="shared" si="2"/>
        <v>-0.49828178694158076</v>
      </c>
      <c r="J42" s="27"/>
      <c r="K42" s="27"/>
      <c r="L42" s="27"/>
    </row>
    <row r="43" spans="6:12" x14ac:dyDescent="0.15">
      <c r="F43" s="56" t="s">
        <v>149</v>
      </c>
      <c r="G43" s="62">
        <v>1615</v>
      </c>
      <c r="H43" s="62">
        <v>799</v>
      </c>
      <c r="I43" s="52">
        <f t="shared" si="2"/>
        <v>1.0212765957446808</v>
      </c>
      <c r="J43" s="27"/>
      <c r="K43" s="27"/>
      <c r="L43" s="27"/>
    </row>
    <row r="44" spans="6:12" x14ac:dyDescent="0.15">
      <c r="F44" s="56" t="s">
        <v>150</v>
      </c>
      <c r="G44" s="62">
        <v>817</v>
      </c>
      <c r="H44" s="62">
        <v>868</v>
      </c>
      <c r="I44" s="52">
        <f t="shared" si="2"/>
        <v>-5.8755760368663597E-2</v>
      </c>
      <c r="J44" s="27"/>
      <c r="K44" s="27"/>
      <c r="L44" s="27"/>
    </row>
    <row r="45" spans="6:12" x14ac:dyDescent="0.15">
      <c r="F45" s="56" t="s">
        <v>151</v>
      </c>
      <c r="G45" s="62">
        <v>2223</v>
      </c>
      <c r="H45" s="62">
        <v>2287</v>
      </c>
      <c r="I45" s="52">
        <f t="shared" si="2"/>
        <v>-2.7984258854394404E-2</v>
      </c>
      <c r="J45" s="27"/>
      <c r="K45" s="27"/>
      <c r="L45" s="27"/>
    </row>
    <row r="46" spans="6:12" x14ac:dyDescent="0.15">
      <c r="F46" s="53"/>
      <c r="G46" s="62"/>
      <c r="H46" s="62"/>
      <c r="I46" s="52"/>
      <c r="J46" s="27"/>
      <c r="K46" s="27"/>
      <c r="L46" s="27"/>
    </row>
    <row r="47" spans="6:12" x14ac:dyDescent="0.15">
      <c r="F47" s="70" t="s">
        <v>152</v>
      </c>
      <c r="G47" s="62">
        <f>SUM(G48:G52)</f>
        <v>229</v>
      </c>
      <c r="H47" s="62">
        <f>SUM(H48:H52)</f>
        <v>838</v>
      </c>
      <c r="I47" s="52">
        <f t="shared" si="2"/>
        <v>-0.72673031026252988</v>
      </c>
      <c r="J47" s="27"/>
      <c r="K47" s="27"/>
      <c r="L47" s="27"/>
    </row>
    <row r="48" spans="6:12" x14ac:dyDescent="0.15">
      <c r="F48" s="56" t="s">
        <v>153</v>
      </c>
      <c r="G48" s="62">
        <v>5</v>
      </c>
      <c r="H48" s="62">
        <v>5</v>
      </c>
      <c r="I48" s="52">
        <f t="shared" si="2"/>
        <v>0</v>
      </c>
      <c r="J48" s="27"/>
      <c r="K48" s="27"/>
      <c r="L48" s="27"/>
    </row>
    <row r="49" spans="6:12" x14ac:dyDescent="0.15">
      <c r="F49" s="56" t="s">
        <v>154</v>
      </c>
      <c r="G49" s="62">
        <v>5798</v>
      </c>
      <c r="H49" s="62">
        <v>5773</v>
      </c>
      <c r="I49" s="52">
        <f t="shared" si="2"/>
        <v>4.3305040706738268E-3</v>
      </c>
      <c r="J49" s="27"/>
      <c r="K49" s="27"/>
      <c r="L49" s="27"/>
    </row>
    <row r="50" spans="6:12" x14ac:dyDescent="0.15">
      <c r="F50" s="56" t="s">
        <v>155</v>
      </c>
      <c r="G50" s="62">
        <v>9370</v>
      </c>
      <c r="H50" s="62">
        <v>9522</v>
      </c>
      <c r="I50" s="52">
        <f t="shared" si="2"/>
        <v>-1.5963032976265491E-2</v>
      </c>
      <c r="J50" s="27"/>
      <c r="K50" s="27"/>
      <c r="L50" s="27"/>
    </row>
    <row r="51" spans="6:12" x14ac:dyDescent="0.15">
      <c r="F51" s="56" t="s">
        <v>156</v>
      </c>
      <c r="G51" s="62">
        <v>-14498</v>
      </c>
      <c r="H51" s="62">
        <v>-13958</v>
      </c>
      <c r="I51" s="52">
        <f t="shared" si="2"/>
        <v>3.8687491044562261E-2</v>
      </c>
      <c r="J51" s="27"/>
      <c r="K51" s="27"/>
      <c r="L51" s="27"/>
    </row>
    <row r="52" spans="6:12" x14ac:dyDescent="0.15">
      <c r="F52" s="72" t="s">
        <v>157</v>
      </c>
      <c r="G52" s="75">
        <v>-446</v>
      </c>
      <c r="H52" s="75">
        <v>-504</v>
      </c>
      <c r="I52" s="59">
        <f t="shared" si="2"/>
        <v>-0.11507936507936507</v>
      </c>
      <c r="J52" s="27"/>
      <c r="K52" s="27"/>
      <c r="L52" s="27"/>
    </row>
    <row r="53" spans="6:12" x14ac:dyDescent="0.15">
      <c r="F53" s="35"/>
      <c r="G53" s="27"/>
      <c r="H53" s="27"/>
      <c r="I53" s="27"/>
      <c r="J53" s="27"/>
      <c r="K53" s="27"/>
      <c r="L53" s="27"/>
    </row>
    <row r="54" spans="6:12" x14ac:dyDescent="0.15">
      <c r="F54" s="35"/>
      <c r="G54" s="27"/>
      <c r="H54" s="27"/>
      <c r="I54" s="27"/>
      <c r="J54" s="27"/>
      <c r="K54" s="27"/>
      <c r="L54" s="27"/>
    </row>
    <row r="55" spans="6:12" x14ac:dyDescent="0.15">
      <c r="F55" s="34"/>
      <c r="G55" s="27"/>
      <c r="H55" s="27"/>
      <c r="I55" s="27"/>
      <c r="J55" s="27"/>
      <c r="K55" s="27"/>
      <c r="L55" s="27"/>
    </row>
    <row r="56" spans="6:12" x14ac:dyDescent="0.15">
      <c r="F56" s="34"/>
      <c r="G56" s="27"/>
      <c r="H56" s="27"/>
      <c r="I56" s="27"/>
      <c r="J56" s="27"/>
      <c r="K56" s="27"/>
      <c r="L56" s="27"/>
    </row>
    <row r="57" spans="6:12" x14ac:dyDescent="0.15">
      <c r="F57" s="32"/>
    </row>
    <row r="58" spans="6:12" x14ac:dyDescent="0.15">
      <c r="F58" s="32"/>
    </row>
    <row r="59" spans="6:12" x14ac:dyDescent="0.15">
      <c r="F59" s="32"/>
    </row>
    <row r="60" spans="6:12" x14ac:dyDescent="0.15">
      <c r="F60" s="32"/>
    </row>
  </sheetData>
  <pageMargins left="0.7" right="0.7" top="0.75" bottom="0.75" header="0.3" footer="0.3"/>
  <pageSetup paperSize="9"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M34"/>
  <sheetViews>
    <sheetView topLeftCell="A5" zoomScale="112" workbookViewId="0">
      <selection activeCell="D9" sqref="D9"/>
    </sheetView>
  </sheetViews>
  <sheetFormatPr baseColWidth="10" defaultColWidth="8.83203125" defaultRowHeight="13" x14ac:dyDescent="0.15"/>
  <cols>
    <col min="1" max="1" width="31.5" bestFit="1" customWidth="1"/>
    <col min="2" max="2" width="14.6640625" bestFit="1" customWidth="1"/>
    <col min="3" max="3" width="12" bestFit="1" customWidth="1"/>
    <col min="4" max="8" width="8.83203125" customWidth="1"/>
    <col min="9" max="9" width="15.6640625" bestFit="1" customWidth="1"/>
    <col min="10" max="11" width="11" bestFit="1" customWidth="1"/>
  </cols>
  <sheetData>
    <row r="4" spans="1:13" x14ac:dyDescent="0.15">
      <c r="A4" s="28"/>
      <c r="B4" s="87" t="s">
        <v>85</v>
      </c>
      <c r="C4" s="88"/>
    </row>
    <row r="5" spans="1:13" x14ac:dyDescent="0.15">
      <c r="B5" s="83" t="s">
        <v>86</v>
      </c>
      <c r="C5" s="85" t="s">
        <v>87</v>
      </c>
    </row>
    <row r="6" spans="1:13" x14ac:dyDescent="0.15">
      <c r="A6" s="18" t="s">
        <v>70</v>
      </c>
      <c r="B6" s="84"/>
      <c r="C6" s="86"/>
    </row>
    <row r="7" spans="1:13" x14ac:dyDescent="0.15">
      <c r="A7" s="22" t="s">
        <v>71</v>
      </c>
      <c r="B7" s="79">
        <f>'Financial statements'!B30/'Financial statements'!G47</f>
        <v>-0.44978165938864628</v>
      </c>
      <c r="C7" s="37">
        <f>'Financial statements'!C30/'Financial statements'!H47</f>
        <v>1.1861575178997614</v>
      </c>
    </row>
    <row r="8" spans="1:13" x14ac:dyDescent="0.15">
      <c r="A8" s="20" t="s">
        <v>94</v>
      </c>
      <c r="B8" s="79">
        <f>212/8399</f>
        <v>2.5241100130967972E-2</v>
      </c>
      <c r="C8" s="37">
        <f>1526/15601</f>
        <v>9.7814242676751484E-2</v>
      </c>
    </row>
    <row r="9" spans="1:13" x14ac:dyDescent="0.15">
      <c r="A9" s="20" t="s">
        <v>95</v>
      </c>
      <c r="B9" s="81">
        <f>B18/B24</f>
        <v>0.59344308627146192</v>
      </c>
      <c r="C9" s="38">
        <f>C18/C24</f>
        <v>1.1117366208223474</v>
      </c>
    </row>
    <row r="10" spans="1:13" x14ac:dyDescent="0.15">
      <c r="A10" s="23" t="s">
        <v>89</v>
      </c>
      <c r="B10" s="79">
        <f>212/B24</f>
        <v>1.4979156362608635E-2</v>
      </c>
      <c r="C10" s="37">
        <f>1526/C24</f>
        <v>0.10874367562174873</v>
      </c>
    </row>
    <row r="11" spans="1:13" x14ac:dyDescent="0.15">
      <c r="A11" s="30"/>
      <c r="B11" s="80"/>
      <c r="C11" s="39"/>
    </row>
    <row r="12" spans="1:13" ht="16" x14ac:dyDescent="0.2">
      <c r="A12" s="19" t="s">
        <v>75</v>
      </c>
      <c r="B12" s="80"/>
      <c r="C12" s="39"/>
    </row>
    <row r="13" spans="1:13" x14ac:dyDescent="0.15">
      <c r="A13" s="27" t="s">
        <v>76</v>
      </c>
      <c r="B13" s="79">
        <f>B16/B18</f>
        <v>0.12751518037861651</v>
      </c>
      <c r="C13" s="37">
        <f>C16/C18</f>
        <v>0.163451060829434</v>
      </c>
      <c r="J13" s="44" t="s">
        <v>98</v>
      </c>
      <c r="K13" s="44" t="s">
        <v>99</v>
      </c>
      <c r="L13" s="49" t="s">
        <v>167</v>
      </c>
      <c r="M13" s="45"/>
    </row>
    <row r="14" spans="1:13" x14ac:dyDescent="0.15">
      <c r="A14" s="27" t="s">
        <v>77</v>
      </c>
      <c r="B14" s="79">
        <f>B19/B16</f>
        <v>0.19794584500466852</v>
      </c>
      <c r="C14" s="37">
        <f>C19/C16</f>
        <v>0.59843137254901957</v>
      </c>
      <c r="I14" s="46" t="s">
        <v>92</v>
      </c>
      <c r="J14" s="25">
        <f>8399</f>
        <v>8399</v>
      </c>
      <c r="K14" s="25">
        <v>15601</v>
      </c>
      <c r="L14" s="26">
        <f>(J14-K14)/K14</f>
        <v>-0.46163707454650343</v>
      </c>
    </row>
    <row r="15" spans="1:13" x14ac:dyDescent="0.15">
      <c r="A15" s="27"/>
      <c r="B15" s="80"/>
      <c r="C15" s="39"/>
      <c r="D15" t="s">
        <v>96</v>
      </c>
      <c r="I15" s="47" t="s">
        <v>165</v>
      </c>
      <c r="J15" s="25">
        <f>'Financial statements'!B9</f>
        <v>1260</v>
      </c>
      <c r="K15" s="25">
        <f>'Financial statements'!C9</f>
        <v>2849</v>
      </c>
      <c r="L15" s="26">
        <f>(J15-K15)/K15</f>
        <v>-0.55773955773955775</v>
      </c>
    </row>
    <row r="16" spans="1:13" x14ac:dyDescent="0.15">
      <c r="A16" s="29" t="s">
        <v>90</v>
      </c>
      <c r="B16" s="80">
        <f>1071</f>
        <v>1071</v>
      </c>
      <c r="C16" s="39">
        <v>2550</v>
      </c>
      <c r="D16" s="24">
        <f>(B16-C16)/C16</f>
        <v>-0.57999999999999996</v>
      </c>
      <c r="I16" s="47" t="s">
        <v>93</v>
      </c>
      <c r="J16" s="25">
        <f>212</f>
        <v>212</v>
      </c>
      <c r="K16" s="25">
        <v>1526</v>
      </c>
      <c r="L16" s="26">
        <f>(J16-K16)/K16</f>
        <v>-0.86107470511140238</v>
      </c>
    </row>
    <row r="17" spans="1:13" x14ac:dyDescent="0.15">
      <c r="A17" s="29" t="s">
        <v>91</v>
      </c>
      <c r="B17" s="80">
        <v>7328</v>
      </c>
      <c r="C17" s="39">
        <v>13051</v>
      </c>
      <c r="D17" s="24">
        <f>(B17-C17)/C17</f>
        <v>-0.43851045896866142</v>
      </c>
      <c r="I17" s="46" t="s">
        <v>97</v>
      </c>
      <c r="J17" s="25">
        <v>8187</v>
      </c>
      <c r="K17" s="25">
        <v>14075</v>
      </c>
      <c r="L17" s="26">
        <f>(J17-K17)/K17</f>
        <v>-0.41833037300177622</v>
      </c>
    </row>
    <row r="18" spans="1:13" x14ac:dyDescent="0.15">
      <c r="A18" s="29" t="s">
        <v>92</v>
      </c>
      <c r="B18" s="80">
        <f>'Financial statements'!B5</f>
        <v>8399</v>
      </c>
      <c r="C18" s="39">
        <f>'Financial statements'!C5</f>
        <v>15601</v>
      </c>
      <c r="D18" s="24">
        <f>(B18-C18)/C18</f>
        <v>-0.46163707454650343</v>
      </c>
      <c r="I18" s="48" t="s">
        <v>166</v>
      </c>
      <c r="J18" s="25">
        <f>'Financial statements'!B30</f>
        <v>-103</v>
      </c>
      <c r="K18" s="25">
        <f>'Financial statements'!C30</f>
        <v>994</v>
      </c>
      <c r="L18" s="26">
        <f>(J18-K18)/K18</f>
        <v>-1.1036217303822937</v>
      </c>
    </row>
    <row r="19" spans="1:13" x14ac:dyDescent="0.15">
      <c r="A19" s="29" t="s">
        <v>93</v>
      </c>
      <c r="B19" s="80">
        <f>'Financial statements'!B22</f>
        <v>212</v>
      </c>
      <c r="C19" s="39">
        <f>'Financial statements'!C22</f>
        <v>1526</v>
      </c>
      <c r="D19" s="24">
        <f>(B19-C19)/C19</f>
        <v>-0.86107470511140238</v>
      </c>
    </row>
    <row r="20" spans="1:13" x14ac:dyDescent="0.15">
      <c r="A20" s="31"/>
      <c r="B20" s="80"/>
      <c r="C20" s="39"/>
    </row>
    <row r="21" spans="1:13" ht="16" x14ac:dyDescent="0.2">
      <c r="A21" s="19" t="s">
        <v>78</v>
      </c>
      <c r="B21" s="80"/>
      <c r="C21" s="39"/>
    </row>
    <row r="22" spans="1:13" x14ac:dyDescent="0.15">
      <c r="A22" t="s">
        <v>79</v>
      </c>
      <c r="B22" s="81">
        <f>B18/('Financial statements'!G6-'Financial statements'!G31)</f>
        <v>-3.405920519059205</v>
      </c>
      <c r="C22" s="38">
        <f>C18/('Financial statements'!H6-'Financial statements'!H31)</f>
        <v>-5.4971811134601829</v>
      </c>
      <c r="L22" s="24"/>
      <c r="M22" s="24"/>
    </row>
    <row r="23" spans="1:13" x14ac:dyDescent="0.15">
      <c r="A23" t="s">
        <v>80</v>
      </c>
      <c r="B23" s="81">
        <f>B18/'Financial statements'!G13</f>
        <v>0.43340729655812993</v>
      </c>
      <c r="C23" s="38">
        <f>C18/'Financial statements'!H13</f>
        <v>0.80005128205128206</v>
      </c>
    </row>
    <row r="24" spans="1:13" x14ac:dyDescent="0.15">
      <c r="A24" s="21" t="s">
        <v>88</v>
      </c>
      <c r="B24" s="80">
        <f>'Financial statements'!G5-'Financial statements'!G32-'Financial statements'!G40</f>
        <v>14153</v>
      </c>
      <c r="C24" s="39">
        <f>'Financial statements'!H5-'Financial statements'!H32-'Financial statements'!H40</f>
        <v>14033</v>
      </c>
    </row>
    <row r="25" spans="1:13" x14ac:dyDescent="0.15">
      <c r="A25" s="31" t="s">
        <v>69</v>
      </c>
      <c r="B25" s="82">
        <f>(B24-C24)/C24</f>
        <v>8.5512720017102539E-3</v>
      </c>
      <c r="C25" s="40"/>
    </row>
    <row r="30" spans="1:13" x14ac:dyDescent="0.15">
      <c r="A30" s="21"/>
    </row>
    <row r="31" spans="1:13" x14ac:dyDescent="0.15">
      <c r="A31" s="21"/>
    </row>
    <row r="33" spans="1:3" ht="16" x14ac:dyDescent="0.2">
      <c r="A33" s="41" t="s">
        <v>81</v>
      </c>
      <c r="B33" s="42"/>
      <c r="C33" s="43"/>
    </row>
    <row r="34" spans="1:3" x14ac:dyDescent="0.15">
      <c r="A34" s="77" t="s">
        <v>83</v>
      </c>
      <c r="B34" s="78">
        <f>('Financial statements'!G32+'Financial statements'!G40-'Financial statements'!G7)/'Financial statements'!G47</f>
        <v>41.126637554585152</v>
      </c>
      <c r="C34" s="78">
        <f>('Financial statements'!H32+'Financial statements'!H40-'Financial statements'!H7)/'Financial statements'!H47</f>
        <v>12.533412887828161</v>
      </c>
    </row>
  </sheetData>
  <mergeCells count="3">
    <mergeCell ref="B5:B6"/>
    <mergeCell ref="C5:C6"/>
    <mergeCell ref="B4:C4"/>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4"/>
  <sheetViews>
    <sheetView topLeftCell="A50" workbookViewId="0">
      <selection activeCell="A87" sqref="A87"/>
    </sheetView>
  </sheetViews>
  <sheetFormatPr baseColWidth="10" defaultColWidth="8.6640625" defaultRowHeight="13" x14ac:dyDescent="0.15"/>
  <cols>
    <col min="1" max="1" width="60.83203125" customWidth="1"/>
    <col min="2" max="8" width="10.5" bestFit="1" customWidth="1"/>
  </cols>
  <sheetData>
    <row r="1" spans="1:8" x14ac:dyDescent="0.15">
      <c r="A1" s="1" t="s">
        <v>0</v>
      </c>
    </row>
    <row r="4" spans="1:8" x14ac:dyDescent="0.15">
      <c r="A4" s="3" t="s">
        <v>1</v>
      </c>
    </row>
    <row r="5" spans="1:8" s="2" customFormat="1" x14ac:dyDescent="0.15">
      <c r="A5" s="89" t="s">
        <v>2</v>
      </c>
      <c r="B5" s="89"/>
      <c r="C5" s="89"/>
      <c r="D5" s="89"/>
      <c r="E5" s="89"/>
      <c r="F5" s="89"/>
      <c r="G5" s="89"/>
      <c r="H5" s="89"/>
    </row>
    <row r="7" spans="1:8" s="4" customFormat="1" x14ac:dyDescent="0.15">
      <c r="A7" s="4" t="s">
        <v>19</v>
      </c>
    </row>
    <row r="8" spans="1:8" s="4" customFormat="1" x14ac:dyDescent="0.15"/>
    <row r="9" spans="1:8" s="4" customFormat="1" x14ac:dyDescent="0.15">
      <c r="A9" s="4" t="s">
        <v>5</v>
      </c>
      <c r="B9" s="4" t="s">
        <v>6</v>
      </c>
      <c r="C9" s="4" t="s">
        <v>6</v>
      </c>
      <c r="D9" s="4" t="s">
        <v>6</v>
      </c>
      <c r="E9" s="4" t="s">
        <v>6</v>
      </c>
      <c r="F9" s="4" t="s">
        <v>6</v>
      </c>
      <c r="G9" s="4" t="s">
        <v>6</v>
      </c>
      <c r="H9" s="4" t="s">
        <v>6</v>
      </c>
    </row>
    <row r="10" spans="1:8" s="4" customFormat="1" x14ac:dyDescent="0.15">
      <c r="B10" s="4" t="s">
        <v>7</v>
      </c>
      <c r="C10" s="4" t="s">
        <v>8</v>
      </c>
      <c r="D10" s="4" t="s">
        <v>9</v>
      </c>
      <c r="E10" s="4" t="s">
        <v>10</v>
      </c>
      <c r="F10" s="4" t="s">
        <v>11</v>
      </c>
      <c r="G10" s="4" t="s">
        <v>12</v>
      </c>
      <c r="H10" s="4" t="s">
        <v>13</v>
      </c>
    </row>
    <row r="11" spans="1:8" s="4" customFormat="1" x14ac:dyDescent="0.15">
      <c r="B11" s="4" t="s">
        <v>14</v>
      </c>
      <c r="C11" s="4" t="s">
        <v>14</v>
      </c>
      <c r="D11" s="4" t="s">
        <v>14</v>
      </c>
      <c r="E11" s="4" t="s">
        <v>14</v>
      </c>
      <c r="F11" s="4" t="s">
        <v>14</v>
      </c>
      <c r="G11" s="4" t="s">
        <v>14</v>
      </c>
      <c r="H11" s="4" t="s">
        <v>14</v>
      </c>
    </row>
    <row r="12" spans="1:8" s="4" customFormat="1" x14ac:dyDescent="0.15">
      <c r="B12" s="4" t="s">
        <v>15</v>
      </c>
      <c r="C12" s="4" t="s">
        <v>15</v>
      </c>
      <c r="D12" s="4" t="s">
        <v>15</v>
      </c>
      <c r="E12" s="4" t="s">
        <v>15</v>
      </c>
      <c r="F12" s="4" t="s">
        <v>15</v>
      </c>
      <c r="G12" s="4" t="s">
        <v>15</v>
      </c>
      <c r="H12" s="4" t="s">
        <v>15</v>
      </c>
    </row>
    <row r="13" spans="1:8" ht="14" x14ac:dyDescent="0.15">
      <c r="A13" s="6" t="s">
        <v>20</v>
      </c>
      <c r="B13" s="6">
        <v>2016</v>
      </c>
      <c r="C13" s="6">
        <v>2015</v>
      </c>
      <c r="D13" s="6">
        <v>2014</v>
      </c>
      <c r="E13" s="6">
        <v>2013</v>
      </c>
      <c r="F13" s="6">
        <v>2012</v>
      </c>
      <c r="G13" s="6">
        <v>2011</v>
      </c>
      <c r="H13" s="6">
        <v>2010</v>
      </c>
    </row>
    <row r="14" spans="1:8" ht="14" x14ac:dyDescent="0.15">
      <c r="A14" s="7"/>
      <c r="B14" s="7"/>
      <c r="C14" s="7"/>
      <c r="D14" s="7"/>
      <c r="E14" s="7"/>
      <c r="F14" s="7"/>
      <c r="G14" s="7"/>
    </row>
    <row r="15" spans="1:8" ht="14" x14ac:dyDescent="0.15">
      <c r="A15" s="6" t="s">
        <v>3</v>
      </c>
      <c r="B15" s="7"/>
      <c r="C15" s="7"/>
      <c r="D15" s="7"/>
      <c r="E15" s="7"/>
      <c r="F15" s="7"/>
      <c r="G15" s="7"/>
    </row>
    <row r="16" spans="1:8" ht="14" x14ac:dyDescent="0.15">
      <c r="A16" s="7" t="s">
        <v>21</v>
      </c>
      <c r="B16" s="8">
        <v>3557</v>
      </c>
      <c r="C16" s="8">
        <v>2585</v>
      </c>
      <c r="D16" s="8">
        <v>2499</v>
      </c>
      <c r="E16" s="8">
        <v>2383</v>
      </c>
      <c r="F16" s="8">
        <v>2827</v>
      </c>
      <c r="G16" s="8">
        <v>3033</v>
      </c>
      <c r="H16" s="5" t="s">
        <v>4</v>
      </c>
    </row>
    <row r="17" spans="1:8" ht="14" x14ac:dyDescent="0.15">
      <c r="A17" s="7" t="s">
        <v>22</v>
      </c>
      <c r="B17" s="8" t="s">
        <v>4</v>
      </c>
      <c r="C17" s="8">
        <v>442</v>
      </c>
      <c r="D17" s="8">
        <v>404</v>
      </c>
      <c r="E17" s="8">
        <v>396</v>
      </c>
      <c r="F17" s="8">
        <v>415</v>
      </c>
      <c r="G17" s="8">
        <v>552</v>
      </c>
      <c r="H17" s="5" t="s">
        <v>4</v>
      </c>
    </row>
    <row r="18" spans="1:8" ht="14" x14ac:dyDescent="0.15">
      <c r="A18" s="7" t="s">
        <v>23</v>
      </c>
      <c r="B18" s="8">
        <v>755</v>
      </c>
      <c r="C18" s="8">
        <v>876</v>
      </c>
      <c r="D18" s="8">
        <v>844</v>
      </c>
      <c r="E18" s="8">
        <v>731</v>
      </c>
      <c r="F18" s="8">
        <v>719</v>
      </c>
      <c r="G18" s="8">
        <v>638</v>
      </c>
      <c r="H18" s="5" t="s">
        <v>4</v>
      </c>
    </row>
    <row r="19" spans="1:8" ht="14" x14ac:dyDescent="0.15">
      <c r="A19" s="7" t="s">
        <v>24</v>
      </c>
      <c r="B19" s="8">
        <v>2802</v>
      </c>
      <c r="C19" s="8">
        <v>1267</v>
      </c>
      <c r="D19" s="8">
        <v>1251</v>
      </c>
      <c r="E19" s="8">
        <v>1256</v>
      </c>
      <c r="F19" s="8">
        <v>1693</v>
      </c>
      <c r="G19" s="8">
        <v>1843</v>
      </c>
      <c r="H19" s="5" t="s">
        <v>4</v>
      </c>
    </row>
    <row r="20" spans="1:8" ht="14" x14ac:dyDescent="0.15">
      <c r="A20" s="7" t="s">
        <v>25</v>
      </c>
      <c r="B20" s="8">
        <v>1062</v>
      </c>
      <c r="C20" s="8">
        <v>609</v>
      </c>
      <c r="D20" s="8">
        <v>566</v>
      </c>
      <c r="E20" s="8">
        <v>594</v>
      </c>
      <c r="F20" s="8">
        <v>755</v>
      </c>
      <c r="G20" s="8">
        <v>781</v>
      </c>
      <c r="H20" s="5" t="s">
        <v>4</v>
      </c>
    </row>
    <row r="21" spans="1:8" ht="14" x14ac:dyDescent="0.15">
      <c r="A21" s="7"/>
      <c r="B21" s="8"/>
      <c r="C21" s="8"/>
      <c r="D21" s="8"/>
      <c r="E21" s="8"/>
      <c r="F21" s="8"/>
      <c r="G21" s="8"/>
      <c r="H21" s="5"/>
    </row>
    <row r="22" spans="1:8" ht="14" x14ac:dyDescent="0.15">
      <c r="A22" s="7" t="s">
        <v>26</v>
      </c>
      <c r="B22" s="8">
        <v>22654</v>
      </c>
      <c r="C22" s="8">
        <v>23037</v>
      </c>
      <c r="D22" s="8">
        <v>23626</v>
      </c>
      <c r="E22" s="8">
        <v>24179</v>
      </c>
      <c r="F22" s="8">
        <v>24239</v>
      </c>
      <c r="G22" s="8">
        <v>24279</v>
      </c>
      <c r="H22" s="5" t="s">
        <v>4</v>
      </c>
    </row>
    <row r="23" spans="1:8" ht="14" x14ac:dyDescent="0.15">
      <c r="A23" s="7" t="s">
        <v>27</v>
      </c>
      <c r="B23" s="8">
        <v>341</v>
      </c>
      <c r="C23" s="8">
        <v>9119</v>
      </c>
      <c r="D23" s="8">
        <v>7459</v>
      </c>
      <c r="E23" s="8">
        <v>9047</v>
      </c>
      <c r="F23" s="8">
        <v>9197</v>
      </c>
      <c r="G23" s="8">
        <v>9117</v>
      </c>
      <c r="H23" s="5" t="s">
        <v>4</v>
      </c>
    </row>
    <row r="24" spans="1:8" ht="14" x14ac:dyDescent="0.15">
      <c r="A24" s="7" t="s">
        <v>28</v>
      </c>
      <c r="B24" s="8">
        <v>11476</v>
      </c>
      <c r="C24" s="8">
        <v>12541</v>
      </c>
      <c r="D24" s="8">
        <v>13097</v>
      </c>
      <c r="E24" s="8">
        <v>13436</v>
      </c>
      <c r="F24" s="8">
        <v>13570</v>
      </c>
      <c r="G24" s="8">
        <v>13651</v>
      </c>
      <c r="H24" s="5" t="s">
        <v>4</v>
      </c>
    </row>
    <row r="25" spans="1:8" ht="14" x14ac:dyDescent="0.15">
      <c r="A25" s="7" t="s">
        <v>29</v>
      </c>
      <c r="B25" s="8">
        <v>10837</v>
      </c>
      <c r="C25" s="8">
        <v>1377</v>
      </c>
      <c r="D25" s="8">
        <v>3070</v>
      </c>
      <c r="E25" s="8">
        <v>1696</v>
      </c>
      <c r="F25" s="8">
        <v>1472</v>
      </c>
      <c r="G25" s="8">
        <v>1511</v>
      </c>
      <c r="H25" s="5" t="s">
        <v>4</v>
      </c>
    </row>
    <row r="26" spans="1:8" ht="14" x14ac:dyDescent="0.15">
      <c r="A26" s="7"/>
      <c r="B26" s="8"/>
      <c r="C26" s="8"/>
      <c r="D26" s="8"/>
      <c r="E26" s="8"/>
      <c r="F26" s="8"/>
      <c r="G26" s="8"/>
      <c r="H26" s="5"/>
    </row>
    <row r="27" spans="1:8" ht="14" x14ac:dyDescent="0.15">
      <c r="A27" s="7" t="s">
        <v>16</v>
      </c>
      <c r="B27" s="8">
        <v>26211</v>
      </c>
      <c r="C27" s="8">
        <v>25622</v>
      </c>
      <c r="D27" s="8">
        <v>26125</v>
      </c>
      <c r="E27" s="8">
        <v>26562</v>
      </c>
      <c r="F27" s="8">
        <v>27066</v>
      </c>
      <c r="G27" s="8">
        <v>27312</v>
      </c>
      <c r="H27" s="5" t="s">
        <v>4</v>
      </c>
    </row>
    <row r="28" spans="1:8" ht="14" x14ac:dyDescent="0.15">
      <c r="A28" s="7"/>
      <c r="B28" s="7"/>
      <c r="C28" s="7"/>
      <c r="D28" s="7"/>
      <c r="E28" s="7"/>
      <c r="F28" s="7"/>
      <c r="G28" s="7"/>
    </row>
    <row r="29" spans="1:8" ht="14" x14ac:dyDescent="0.15">
      <c r="A29" s="6" t="s">
        <v>30</v>
      </c>
      <c r="B29" s="7"/>
      <c r="C29" s="7"/>
      <c r="D29" s="7"/>
      <c r="E29" s="7"/>
      <c r="F29" s="7"/>
      <c r="G29" s="7"/>
    </row>
    <row r="30" spans="1:8" ht="14" x14ac:dyDescent="0.15">
      <c r="A30" s="7" t="s">
        <v>31</v>
      </c>
      <c r="B30" s="8">
        <v>2684</v>
      </c>
      <c r="C30" s="8">
        <v>2443</v>
      </c>
      <c r="D30" s="8">
        <v>2257</v>
      </c>
      <c r="E30" s="8">
        <v>2142</v>
      </c>
      <c r="F30" s="8">
        <v>2349</v>
      </c>
      <c r="G30" s="8">
        <v>2207</v>
      </c>
      <c r="H30" s="5" t="s">
        <v>4</v>
      </c>
    </row>
    <row r="31" spans="1:8" ht="14" x14ac:dyDescent="0.15">
      <c r="A31" s="7" t="s">
        <v>32</v>
      </c>
      <c r="B31" s="8">
        <v>33</v>
      </c>
      <c r="C31" s="8">
        <v>204</v>
      </c>
      <c r="D31" s="8">
        <v>137</v>
      </c>
      <c r="E31" s="8">
        <v>52</v>
      </c>
      <c r="F31" s="8">
        <v>407</v>
      </c>
      <c r="G31" s="8">
        <v>384</v>
      </c>
      <c r="H31" s="5" t="s">
        <v>4</v>
      </c>
    </row>
    <row r="32" spans="1:8" ht="14" x14ac:dyDescent="0.15">
      <c r="A32" s="7" t="s">
        <v>33</v>
      </c>
      <c r="B32" s="8" t="s">
        <v>4</v>
      </c>
      <c r="C32" s="8" t="s">
        <v>4</v>
      </c>
      <c r="D32" s="8">
        <v>299</v>
      </c>
      <c r="E32" s="8">
        <v>319</v>
      </c>
      <c r="F32" s="8">
        <v>286</v>
      </c>
      <c r="G32" s="8">
        <v>294</v>
      </c>
      <c r="H32" s="5" t="s">
        <v>4</v>
      </c>
    </row>
    <row r="33" spans="1:8" ht="14" x14ac:dyDescent="0.15">
      <c r="A33" s="7" t="s">
        <v>34</v>
      </c>
      <c r="B33" s="8">
        <v>2651</v>
      </c>
      <c r="C33" s="8">
        <v>2239</v>
      </c>
      <c r="D33" s="8">
        <v>1821</v>
      </c>
      <c r="E33" s="8">
        <v>1771</v>
      </c>
      <c r="F33" s="8">
        <v>1656</v>
      </c>
      <c r="G33" s="8">
        <v>1529</v>
      </c>
      <c r="H33" s="5" t="s">
        <v>4</v>
      </c>
    </row>
    <row r="34" spans="1:8" ht="14" x14ac:dyDescent="0.15">
      <c r="A34" s="7"/>
      <c r="B34" s="8"/>
      <c r="C34" s="8"/>
      <c r="D34" s="8"/>
      <c r="E34" s="8"/>
      <c r="F34" s="8"/>
      <c r="G34" s="8"/>
      <c r="H34" s="5"/>
    </row>
    <row r="35" spans="1:8" ht="14" x14ac:dyDescent="0.15">
      <c r="A35" s="7" t="s">
        <v>35</v>
      </c>
      <c r="B35" s="8">
        <v>17628</v>
      </c>
      <c r="C35" s="8">
        <v>17194</v>
      </c>
      <c r="D35" s="8">
        <v>19116</v>
      </c>
      <c r="E35" s="8">
        <v>20057</v>
      </c>
      <c r="F35" s="8">
        <v>22416</v>
      </c>
      <c r="G35" s="8">
        <v>23237</v>
      </c>
      <c r="H35" s="5" t="s">
        <v>4</v>
      </c>
    </row>
    <row r="36" spans="1:8" ht="14" x14ac:dyDescent="0.15">
      <c r="A36" s="7" t="s">
        <v>36</v>
      </c>
      <c r="B36" s="8">
        <v>6583</v>
      </c>
      <c r="C36" s="8">
        <v>10249</v>
      </c>
      <c r="D36" s="8">
        <v>11555</v>
      </c>
      <c r="E36" s="8">
        <v>12671</v>
      </c>
      <c r="F36" s="8">
        <v>15588</v>
      </c>
      <c r="G36" s="8">
        <v>16408</v>
      </c>
      <c r="H36" s="5" t="s">
        <v>4</v>
      </c>
    </row>
    <row r="37" spans="1:8" ht="14" x14ac:dyDescent="0.15">
      <c r="A37" s="7" t="s">
        <v>37</v>
      </c>
      <c r="B37" s="8">
        <v>11045</v>
      </c>
      <c r="C37" s="8">
        <v>6945</v>
      </c>
      <c r="D37" s="8">
        <v>7561</v>
      </c>
      <c r="E37" s="8">
        <v>7386</v>
      </c>
      <c r="F37" s="8">
        <v>6828</v>
      </c>
      <c r="G37" s="8">
        <v>6829</v>
      </c>
      <c r="H37" s="5" t="s">
        <v>4</v>
      </c>
    </row>
    <row r="38" spans="1:8" ht="14" x14ac:dyDescent="0.15">
      <c r="A38" s="7" t="s">
        <v>38</v>
      </c>
      <c r="B38" s="8" t="s">
        <v>4</v>
      </c>
      <c r="C38" s="8" t="s">
        <v>4</v>
      </c>
      <c r="D38" s="8">
        <v>83</v>
      </c>
      <c r="E38" s="8">
        <v>81</v>
      </c>
      <c r="F38" s="8">
        <v>80</v>
      </c>
      <c r="G38" s="8">
        <v>85</v>
      </c>
      <c r="H38" s="5" t="s">
        <v>4</v>
      </c>
    </row>
    <row r="39" spans="1:8" ht="14" x14ac:dyDescent="0.15">
      <c r="A39" s="7"/>
      <c r="B39" s="8"/>
      <c r="C39" s="8"/>
      <c r="D39" s="8"/>
      <c r="E39" s="8"/>
      <c r="F39" s="8"/>
      <c r="G39" s="8"/>
      <c r="H39" s="5"/>
    </row>
    <row r="40" spans="1:8" ht="14" x14ac:dyDescent="0.15">
      <c r="A40" s="7" t="s">
        <v>17</v>
      </c>
      <c r="B40" s="8">
        <v>5899</v>
      </c>
      <c r="C40" s="8">
        <v>5985</v>
      </c>
      <c r="D40" s="8">
        <v>4752</v>
      </c>
      <c r="E40" s="8">
        <v>4363</v>
      </c>
      <c r="F40" s="8">
        <v>2301</v>
      </c>
      <c r="G40" s="8">
        <v>1868</v>
      </c>
      <c r="H40" s="5" t="s">
        <v>4</v>
      </c>
    </row>
    <row r="41" spans="1:8" ht="14" x14ac:dyDescent="0.15">
      <c r="A41" s="7" t="s">
        <v>39</v>
      </c>
      <c r="B41" s="8">
        <v>3</v>
      </c>
      <c r="C41" s="8">
        <v>10</v>
      </c>
      <c r="D41" s="8">
        <v>10</v>
      </c>
      <c r="E41" s="8">
        <v>10</v>
      </c>
      <c r="F41" s="8">
        <v>1</v>
      </c>
      <c r="G41" s="8">
        <v>1</v>
      </c>
      <c r="H41" s="5" t="s">
        <v>4</v>
      </c>
    </row>
    <row r="42" spans="1:8" ht="14" x14ac:dyDescent="0.15">
      <c r="A42" s="7" t="s">
        <v>34</v>
      </c>
      <c r="B42" s="8">
        <v>5896</v>
      </c>
      <c r="C42" s="8">
        <v>5975</v>
      </c>
      <c r="D42" s="8">
        <v>4742</v>
      </c>
      <c r="E42" s="8">
        <v>4353</v>
      </c>
      <c r="F42" s="8">
        <v>2300</v>
      </c>
      <c r="G42" s="8">
        <v>1867</v>
      </c>
      <c r="H42" s="5" t="s">
        <v>4</v>
      </c>
    </row>
    <row r="43" spans="1:8" ht="14" x14ac:dyDescent="0.15">
      <c r="A43" s="7"/>
      <c r="B43" s="8"/>
      <c r="C43" s="8"/>
      <c r="D43" s="8"/>
      <c r="E43" s="8"/>
      <c r="F43" s="8"/>
      <c r="G43" s="8"/>
      <c r="H43" s="5"/>
    </row>
    <row r="44" spans="1:8" ht="14" x14ac:dyDescent="0.15">
      <c r="A44" s="7" t="s">
        <v>40</v>
      </c>
      <c r="B44" s="8">
        <v>26211</v>
      </c>
      <c r="C44" s="8">
        <v>25622</v>
      </c>
      <c r="D44" s="8">
        <v>26125</v>
      </c>
      <c r="E44" s="8">
        <v>26562</v>
      </c>
      <c r="F44" s="8">
        <v>27066</v>
      </c>
      <c r="G44" s="8">
        <v>27312</v>
      </c>
      <c r="H44" s="5" t="s">
        <v>4</v>
      </c>
    </row>
    <row r="45" spans="1:8" x14ac:dyDescent="0.15">
      <c r="B45" s="5"/>
      <c r="C45" s="5"/>
      <c r="D45" s="5"/>
      <c r="E45" s="5"/>
      <c r="F45" s="5"/>
      <c r="G45" s="5"/>
      <c r="H45" s="5"/>
    </row>
    <row r="46" spans="1:8" x14ac:dyDescent="0.15">
      <c r="A46" s="3" t="s">
        <v>41</v>
      </c>
      <c r="B46" s="5"/>
      <c r="C46" s="5"/>
      <c r="D46" s="5"/>
      <c r="E46" s="5"/>
      <c r="F46" s="5"/>
      <c r="G46" s="5"/>
      <c r="H46" s="5"/>
    </row>
    <row r="47" spans="1:8" ht="14" x14ac:dyDescent="0.15">
      <c r="A47" s="9" t="s">
        <v>42</v>
      </c>
      <c r="B47" s="8">
        <v>32476.105</v>
      </c>
      <c r="C47" s="8">
        <v>30975.468999999997</v>
      </c>
      <c r="D47" s="8">
        <v>36814.667999999998</v>
      </c>
      <c r="E47" s="8">
        <v>34036.691999999995</v>
      </c>
      <c r="F47" s="5" t="s">
        <v>4</v>
      </c>
      <c r="G47" s="5" t="s">
        <v>4</v>
      </c>
      <c r="H47" s="5" t="s">
        <v>4</v>
      </c>
    </row>
    <row r="48" spans="1:8" ht="14" x14ac:dyDescent="0.15">
      <c r="A48" s="9" t="s">
        <v>18</v>
      </c>
      <c r="B48" s="8">
        <v>26922.105</v>
      </c>
      <c r="C48" s="8">
        <v>21131.468999999997</v>
      </c>
      <c r="D48" s="8">
        <v>25688.667999999998</v>
      </c>
      <c r="E48" s="8">
        <v>21907.691999999999</v>
      </c>
      <c r="F48" s="5" t="s">
        <v>4</v>
      </c>
      <c r="G48" s="5" t="s">
        <v>4</v>
      </c>
      <c r="H48" s="5" t="s">
        <v>4</v>
      </c>
    </row>
    <row r="49" spans="1:8" ht="14" x14ac:dyDescent="0.15">
      <c r="A49" s="9" t="s">
        <v>43</v>
      </c>
      <c r="B49" s="8">
        <v>169000</v>
      </c>
      <c r="C49" s="8">
        <v>164000</v>
      </c>
      <c r="D49" s="8">
        <v>157000</v>
      </c>
      <c r="E49" s="8">
        <v>152000</v>
      </c>
      <c r="F49" s="5" t="s">
        <v>4</v>
      </c>
      <c r="G49" s="5" t="s">
        <v>4</v>
      </c>
      <c r="H49" s="5" t="s">
        <v>4</v>
      </c>
    </row>
    <row r="51" spans="1:8" s="4" customFormat="1" x14ac:dyDescent="0.15"/>
    <row r="52" spans="1:8" ht="14" x14ac:dyDescent="0.15">
      <c r="A52" s="6" t="s">
        <v>44</v>
      </c>
      <c r="B52" s="6">
        <v>2016</v>
      </c>
      <c r="C52" s="6">
        <v>2015</v>
      </c>
      <c r="D52" s="6">
        <v>2014</v>
      </c>
      <c r="E52" s="6">
        <v>2013</v>
      </c>
      <c r="F52" s="6">
        <v>2012</v>
      </c>
      <c r="G52" s="6">
        <v>2011</v>
      </c>
      <c r="H52" s="6">
        <v>2010</v>
      </c>
    </row>
    <row r="53" spans="1:8" ht="14" x14ac:dyDescent="0.15">
      <c r="A53" s="7"/>
      <c r="B53" s="7"/>
      <c r="C53" s="7"/>
      <c r="D53" s="7"/>
      <c r="E53" s="7"/>
      <c r="F53" s="7"/>
      <c r="G53" s="7"/>
      <c r="H53" s="7"/>
    </row>
    <row r="54" spans="1:8" ht="14" x14ac:dyDescent="0.15">
      <c r="A54" s="7" t="s">
        <v>45</v>
      </c>
      <c r="B54" s="8">
        <v>11663</v>
      </c>
      <c r="C54" s="8">
        <v>11272</v>
      </c>
      <c r="D54" s="8">
        <v>10502</v>
      </c>
      <c r="E54" s="8">
        <v>9735</v>
      </c>
      <c r="F54" s="8">
        <v>9276</v>
      </c>
      <c r="G54" s="8">
        <v>8783</v>
      </c>
      <c r="H54" s="8">
        <v>8068</v>
      </c>
    </row>
    <row r="55" spans="1:8" ht="14" x14ac:dyDescent="0.15">
      <c r="A55" s="7" t="s">
        <v>46</v>
      </c>
      <c r="B55" s="8">
        <v>11663</v>
      </c>
      <c r="C55" s="8">
        <v>11272</v>
      </c>
      <c r="D55" s="8">
        <v>10502</v>
      </c>
      <c r="E55" s="8">
        <v>9735</v>
      </c>
      <c r="F55" s="8">
        <v>9276</v>
      </c>
      <c r="G55" s="8">
        <v>8783</v>
      </c>
      <c r="H55" s="8">
        <v>8068</v>
      </c>
    </row>
    <row r="56" spans="1:8" ht="14" x14ac:dyDescent="0.15">
      <c r="A56" s="7"/>
      <c r="B56" s="8"/>
      <c r="C56" s="8"/>
      <c r="D56" s="8"/>
      <c r="E56" s="8"/>
      <c r="F56" s="8"/>
      <c r="G56" s="8"/>
      <c r="H56" s="8"/>
    </row>
    <row r="57" spans="1:8" ht="14" x14ac:dyDescent="0.15">
      <c r="A57" s="7" t="s">
        <v>47</v>
      </c>
      <c r="B57" s="8">
        <v>-4446</v>
      </c>
      <c r="C57" s="8">
        <v>-4130</v>
      </c>
      <c r="D57" s="8">
        <v>-3691</v>
      </c>
      <c r="E57" s="8">
        <v>-3405</v>
      </c>
      <c r="F57" s="8">
        <v>-3124</v>
      </c>
      <c r="G57" s="8">
        <v>-2927</v>
      </c>
      <c r="H57" s="8">
        <v>-2637</v>
      </c>
    </row>
    <row r="58" spans="1:8" ht="14" x14ac:dyDescent="0.15">
      <c r="A58" s="7"/>
      <c r="B58" s="8"/>
      <c r="C58" s="8"/>
      <c r="D58" s="8"/>
      <c r="E58" s="8"/>
      <c r="F58" s="8"/>
      <c r="G58" s="8"/>
      <c r="H58" s="8"/>
    </row>
    <row r="59" spans="1:8" ht="14" x14ac:dyDescent="0.15">
      <c r="A59" s="7" t="s">
        <v>48</v>
      </c>
      <c r="B59" s="8">
        <v>7217</v>
      </c>
      <c r="C59" s="8">
        <v>7142</v>
      </c>
      <c r="D59" s="8">
        <v>6811</v>
      </c>
      <c r="E59" s="8">
        <v>6330</v>
      </c>
      <c r="F59" s="8">
        <v>6152</v>
      </c>
      <c r="G59" s="8">
        <v>5856</v>
      </c>
      <c r="H59" s="8">
        <v>5431</v>
      </c>
    </row>
    <row r="60" spans="1:8" ht="14" x14ac:dyDescent="0.15">
      <c r="A60" s="7"/>
      <c r="B60" s="8"/>
      <c r="C60" s="8"/>
      <c r="D60" s="8"/>
      <c r="E60" s="8"/>
      <c r="F60" s="8"/>
      <c r="G60" s="8"/>
      <c r="H60" s="8"/>
    </row>
    <row r="61" spans="1:8" ht="14" x14ac:dyDescent="0.15">
      <c r="A61" s="7" t="s">
        <v>49</v>
      </c>
      <c r="B61" s="8">
        <v>-4655</v>
      </c>
      <c r="C61" s="8">
        <v>-4370</v>
      </c>
      <c r="D61" s="8">
        <v>-4510</v>
      </c>
      <c r="E61" s="8">
        <v>-4625</v>
      </c>
      <c r="F61" s="8">
        <v>-4448</v>
      </c>
      <c r="G61" s="8">
        <v>-4297</v>
      </c>
      <c r="H61" s="8">
        <v>-4280</v>
      </c>
    </row>
    <row r="62" spans="1:8" ht="14" x14ac:dyDescent="0.15">
      <c r="A62" s="7" t="s">
        <v>50</v>
      </c>
      <c r="B62" s="8">
        <v>-701</v>
      </c>
      <c r="C62" s="8">
        <v>-701</v>
      </c>
      <c r="D62" s="8">
        <v>-628</v>
      </c>
      <c r="E62" s="8">
        <v>-603</v>
      </c>
      <c r="F62" s="8">
        <v>-604</v>
      </c>
      <c r="G62" s="8">
        <v>-584</v>
      </c>
      <c r="H62" s="8">
        <v>-598</v>
      </c>
    </row>
    <row r="63" spans="1:8" ht="14" x14ac:dyDescent="0.15">
      <c r="A63" s="7"/>
      <c r="B63" s="8"/>
      <c r="C63" s="8"/>
      <c r="D63" s="8"/>
      <c r="E63" s="8"/>
      <c r="F63" s="8"/>
      <c r="G63" s="8"/>
      <c r="H63" s="8"/>
    </row>
    <row r="64" spans="1:8" ht="14" x14ac:dyDescent="0.15">
      <c r="A64" s="7" t="s">
        <v>51</v>
      </c>
      <c r="B64" s="8">
        <v>1861</v>
      </c>
      <c r="C64" s="8">
        <v>2071</v>
      </c>
      <c r="D64" s="8">
        <v>1673</v>
      </c>
      <c r="E64" s="8">
        <v>1102</v>
      </c>
      <c r="F64" s="8">
        <v>1100</v>
      </c>
      <c r="G64" s="8">
        <v>975</v>
      </c>
      <c r="H64" s="8">
        <v>553</v>
      </c>
    </row>
    <row r="65" spans="1:8" ht="14" x14ac:dyDescent="0.15">
      <c r="A65" s="7"/>
      <c r="B65" s="8"/>
      <c r="C65" s="8"/>
      <c r="D65" s="8"/>
      <c r="E65" s="8"/>
      <c r="F65" s="8"/>
      <c r="G65" s="8"/>
      <c r="H65" s="8"/>
    </row>
    <row r="66" spans="1:8" ht="14" x14ac:dyDescent="0.15">
      <c r="A66" s="7" t="s">
        <v>52</v>
      </c>
      <c r="B66" s="8">
        <v>12</v>
      </c>
      <c r="C66" s="8">
        <v>19</v>
      </c>
      <c r="D66" s="8">
        <v>10</v>
      </c>
      <c r="E66" s="8">
        <v>9</v>
      </c>
      <c r="F66" s="8">
        <v>15</v>
      </c>
      <c r="G66" s="8">
        <v>11</v>
      </c>
      <c r="H66" s="8">
        <v>9</v>
      </c>
    </row>
    <row r="67" spans="1:8" ht="14" x14ac:dyDescent="0.15">
      <c r="A67" s="7" t="s">
        <v>53</v>
      </c>
      <c r="B67" s="8">
        <v>-587</v>
      </c>
      <c r="C67" s="8">
        <v>-575</v>
      </c>
      <c r="D67" s="8">
        <v>-618</v>
      </c>
      <c r="E67" s="8">
        <v>-620</v>
      </c>
      <c r="F67" s="8">
        <v>-569</v>
      </c>
      <c r="G67" s="8">
        <v>-643</v>
      </c>
      <c r="H67" s="8">
        <v>-946</v>
      </c>
    </row>
    <row r="68" spans="1:8" ht="14" x14ac:dyDescent="0.15">
      <c r="A68" s="7" t="s">
        <v>54</v>
      </c>
      <c r="B68" s="8">
        <v>-575</v>
      </c>
      <c r="C68" s="8">
        <v>-556</v>
      </c>
      <c r="D68" s="8">
        <v>-608</v>
      </c>
      <c r="E68" s="8">
        <v>-611</v>
      </c>
      <c r="F68" s="8">
        <v>-554</v>
      </c>
      <c r="G68" s="8">
        <v>-632</v>
      </c>
      <c r="H68" s="8">
        <v>-937</v>
      </c>
    </row>
    <row r="69" spans="1:8" ht="14" x14ac:dyDescent="0.15">
      <c r="A69" s="7" t="s">
        <v>55</v>
      </c>
      <c r="B69" s="8">
        <v>-31</v>
      </c>
      <c r="C69" s="8">
        <v>-19</v>
      </c>
      <c r="D69" s="8">
        <v>82</v>
      </c>
      <c r="E69" s="8">
        <v>207</v>
      </c>
      <c r="F69" s="8">
        <v>27</v>
      </c>
      <c r="G69" s="8">
        <v>-147</v>
      </c>
      <c r="H69" s="8">
        <v>803</v>
      </c>
    </row>
    <row r="70" spans="1:8" ht="14" x14ac:dyDescent="0.15">
      <c r="A70" s="7" t="s">
        <v>56</v>
      </c>
      <c r="B70" s="8">
        <v>1255</v>
      </c>
      <c r="C70" s="8">
        <v>1496</v>
      </c>
      <c r="D70" s="8">
        <v>1147</v>
      </c>
      <c r="E70" s="8">
        <v>698</v>
      </c>
      <c r="F70" s="8">
        <v>573</v>
      </c>
      <c r="G70" s="8">
        <v>196</v>
      </c>
      <c r="H70" s="8">
        <v>419</v>
      </c>
    </row>
    <row r="71" spans="1:8" ht="14" x14ac:dyDescent="0.15">
      <c r="A71" s="7"/>
      <c r="B71" s="8"/>
      <c r="C71" s="8"/>
      <c r="D71" s="8"/>
      <c r="E71" s="8"/>
      <c r="F71" s="8"/>
      <c r="G71" s="8"/>
      <c r="H71" s="8"/>
    </row>
    <row r="72" spans="1:8" ht="14" x14ac:dyDescent="0.15">
      <c r="A72" s="7" t="s">
        <v>57</v>
      </c>
      <c r="B72" s="8">
        <v>-891</v>
      </c>
      <c r="C72" s="8">
        <v>-80</v>
      </c>
      <c r="D72" s="8">
        <v>-465</v>
      </c>
      <c r="E72" s="8">
        <v>-238</v>
      </c>
      <c r="F72" s="8">
        <v>-214</v>
      </c>
      <c r="G72" s="8">
        <v>59</v>
      </c>
      <c r="H72" s="8">
        <v>-308</v>
      </c>
    </row>
    <row r="73" spans="1:8" ht="14" x14ac:dyDescent="0.15">
      <c r="A73" s="7"/>
      <c r="B73" s="8"/>
      <c r="C73" s="8"/>
      <c r="D73" s="8"/>
      <c r="E73" s="8"/>
      <c r="F73" s="8"/>
      <c r="G73" s="8"/>
      <c r="H73" s="8"/>
    </row>
    <row r="74" spans="1:8" ht="14" x14ac:dyDescent="0.15">
      <c r="A74" s="7" t="s">
        <v>58</v>
      </c>
      <c r="B74" s="8">
        <v>364</v>
      </c>
      <c r="C74" s="8">
        <v>1416</v>
      </c>
      <c r="D74" s="8">
        <v>682</v>
      </c>
      <c r="E74" s="8">
        <v>460</v>
      </c>
      <c r="F74" s="8">
        <v>359</v>
      </c>
      <c r="G74" s="8">
        <v>255</v>
      </c>
      <c r="H74" s="8">
        <v>111</v>
      </c>
    </row>
    <row r="75" spans="1:8" ht="14" x14ac:dyDescent="0.15">
      <c r="A75" s="7"/>
      <c r="B75" s="8"/>
      <c r="C75" s="8"/>
      <c r="D75" s="8"/>
      <c r="E75" s="8"/>
      <c r="F75" s="8"/>
      <c r="G75" s="8"/>
      <c r="H75" s="8"/>
    </row>
    <row r="76" spans="1:8" ht="14" x14ac:dyDescent="0.15">
      <c r="A76" s="7" t="s">
        <v>59</v>
      </c>
      <c r="B76" s="8">
        <v>-16</v>
      </c>
      <c r="C76" s="8">
        <v>-12</v>
      </c>
      <c r="D76" s="8">
        <v>-9</v>
      </c>
      <c r="E76" s="8">
        <v>-45</v>
      </c>
      <c r="F76" s="8">
        <v>-7</v>
      </c>
      <c r="G76" s="8">
        <v>-2</v>
      </c>
      <c r="H76" s="8">
        <v>17</v>
      </c>
    </row>
    <row r="77" spans="1:8" ht="14" x14ac:dyDescent="0.15">
      <c r="A77" s="7"/>
      <c r="B77" s="8"/>
      <c r="C77" s="8"/>
      <c r="D77" s="8"/>
      <c r="E77" s="8"/>
      <c r="F77" s="8"/>
      <c r="G77" s="8"/>
      <c r="H77" s="8"/>
    </row>
    <row r="78" spans="1:8" ht="14" x14ac:dyDescent="0.15">
      <c r="A78" s="7" t="s">
        <v>60</v>
      </c>
      <c r="B78" s="8">
        <v>348</v>
      </c>
      <c r="C78" s="8">
        <v>1404</v>
      </c>
      <c r="D78" s="8">
        <v>673</v>
      </c>
      <c r="E78" s="8">
        <v>415</v>
      </c>
      <c r="F78" s="8">
        <v>352</v>
      </c>
      <c r="G78" s="8">
        <v>253</v>
      </c>
      <c r="H78" s="8">
        <v>128</v>
      </c>
    </row>
    <row r="79" spans="1:8" x14ac:dyDescent="0.15">
      <c r="B79" s="5"/>
      <c r="C79" s="5"/>
      <c r="D79" s="5"/>
      <c r="E79" s="5"/>
      <c r="F79" s="5"/>
      <c r="G79" s="5"/>
      <c r="H79" s="5"/>
    </row>
    <row r="85" spans="1:8" ht="19" x14ac:dyDescent="0.25">
      <c r="A85" s="10" t="s">
        <v>61</v>
      </c>
      <c r="B85" s="11">
        <v>2016</v>
      </c>
      <c r="C85" s="11">
        <v>2015</v>
      </c>
      <c r="D85" s="11">
        <v>2014</v>
      </c>
      <c r="E85" s="11">
        <v>2013</v>
      </c>
      <c r="F85" s="11">
        <v>2012</v>
      </c>
      <c r="G85" s="11">
        <v>2011</v>
      </c>
      <c r="H85" s="11">
        <v>2010</v>
      </c>
    </row>
    <row r="86" spans="1:8" ht="18" x14ac:dyDescent="0.2">
      <c r="A86" s="12" t="s">
        <v>62</v>
      </c>
      <c r="B86" s="13">
        <f>+B47/((B27-B31-B36))</f>
        <v>1.6573669303393723</v>
      </c>
      <c r="C86" s="13">
        <f>+C47/((C27-C31-C36))</f>
        <v>2.0420244577757267</v>
      </c>
      <c r="D86" s="13">
        <f>+D47/((D27-D31-D36))</f>
        <v>2.5507287466223239</v>
      </c>
      <c r="E86" s="13">
        <f>+E47/((E27-E31-E36))</f>
        <v>2.4594762627357465</v>
      </c>
      <c r="F86" s="13"/>
      <c r="G86" s="13"/>
      <c r="H86" s="13"/>
    </row>
    <row r="87" spans="1:8" ht="18" x14ac:dyDescent="0.2">
      <c r="A87" s="12" t="s">
        <v>63</v>
      </c>
      <c r="B87" s="13">
        <f>+B47/B54</f>
        <v>2.7845412844036699</v>
      </c>
      <c r="C87" s="13">
        <f>+C47/C54</f>
        <v>2.7480011533002129</v>
      </c>
      <c r="D87" s="13">
        <f>+D47/D54</f>
        <v>3.5054911445438961</v>
      </c>
      <c r="E87" s="13">
        <f>+E47/E54</f>
        <v>3.4963217257318946</v>
      </c>
      <c r="F87" s="13"/>
      <c r="G87" s="13"/>
      <c r="H87" s="13"/>
    </row>
    <row r="88" spans="1:8" ht="18" x14ac:dyDescent="0.2">
      <c r="A88" s="12" t="s">
        <v>64</v>
      </c>
      <c r="B88" s="14">
        <f>+B47-(B27-B36-B31)</f>
        <v>12881.105</v>
      </c>
      <c r="C88" s="14">
        <f>+C47-(C27-C36-C31)</f>
        <v>15806.468999999997</v>
      </c>
      <c r="D88" s="14">
        <f>+D47-(D27-D36-D31)</f>
        <v>22381.667999999998</v>
      </c>
      <c r="E88" s="14">
        <f>+E47-(E27-E36-E31)</f>
        <v>20197.691999999995</v>
      </c>
      <c r="F88" s="14"/>
      <c r="G88" s="14"/>
      <c r="H88" s="14"/>
    </row>
    <row r="89" spans="1:8" ht="18" x14ac:dyDescent="0.2">
      <c r="A89" s="12"/>
      <c r="B89" s="14"/>
      <c r="C89" s="14"/>
      <c r="D89" s="14"/>
      <c r="E89" s="14"/>
      <c r="F89" s="14"/>
      <c r="G89" s="14"/>
      <c r="H89" s="14"/>
    </row>
    <row r="90" spans="1:8" ht="19" x14ac:dyDescent="0.25">
      <c r="A90" s="15" t="s">
        <v>65</v>
      </c>
      <c r="B90" s="14"/>
      <c r="C90" s="14"/>
      <c r="D90" s="14"/>
      <c r="E90" s="14"/>
      <c r="F90" s="14"/>
      <c r="G90" s="14"/>
      <c r="H90" s="14"/>
    </row>
    <row r="91" spans="1:8" ht="18" x14ac:dyDescent="0.2">
      <c r="A91" s="12" t="s">
        <v>66</v>
      </c>
      <c r="B91" s="14">
        <f>+B54</f>
        <v>11663</v>
      </c>
      <c r="C91" s="14">
        <f t="shared" ref="C91:H91" si="0">+C54</f>
        <v>11272</v>
      </c>
      <c r="D91" s="14">
        <f t="shared" si="0"/>
        <v>10502</v>
      </c>
      <c r="E91" s="14">
        <f t="shared" si="0"/>
        <v>9735</v>
      </c>
      <c r="F91" s="14">
        <f t="shared" si="0"/>
        <v>9276</v>
      </c>
      <c r="G91" s="14">
        <f t="shared" si="0"/>
        <v>8783</v>
      </c>
      <c r="H91" s="14">
        <f t="shared" si="0"/>
        <v>8068</v>
      </c>
    </row>
    <row r="92" spans="1:8" ht="18" x14ac:dyDescent="0.2">
      <c r="A92" s="12" t="s">
        <v>67</v>
      </c>
      <c r="B92" s="16">
        <f t="shared" ref="B92:G92" si="1">+(B91-C91)/C91</f>
        <v>3.4687721788502483E-2</v>
      </c>
      <c r="C92" s="16">
        <f t="shared" si="1"/>
        <v>7.3319367739478197E-2</v>
      </c>
      <c r="D92" s="16">
        <f t="shared" si="1"/>
        <v>7.8787878787878782E-2</v>
      </c>
      <c r="E92" s="16">
        <f t="shared" si="1"/>
        <v>4.9482535575679172E-2</v>
      </c>
      <c r="F92" s="16">
        <f t="shared" si="1"/>
        <v>5.6131162472959129E-2</v>
      </c>
      <c r="G92" s="16">
        <f t="shared" si="1"/>
        <v>8.8621715418939012E-2</v>
      </c>
      <c r="H92" s="16"/>
    </row>
    <row r="93" spans="1:8" ht="18" x14ac:dyDescent="0.2">
      <c r="A93" s="12" t="s">
        <v>68</v>
      </c>
      <c r="B93" s="14">
        <f t="shared" ref="B93:G93" si="2">+B27-B31-B36</f>
        <v>19595</v>
      </c>
      <c r="C93" s="14">
        <f t="shared" si="2"/>
        <v>15169</v>
      </c>
      <c r="D93" s="14">
        <f t="shared" si="2"/>
        <v>14433</v>
      </c>
      <c r="E93" s="14">
        <f t="shared" si="2"/>
        <v>13839</v>
      </c>
      <c r="F93" s="14">
        <f t="shared" si="2"/>
        <v>11071</v>
      </c>
      <c r="G93" s="14">
        <f t="shared" si="2"/>
        <v>10520</v>
      </c>
      <c r="H93" s="14"/>
    </row>
    <row r="94" spans="1:8" ht="18" x14ac:dyDescent="0.2">
      <c r="A94" s="12" t="s">
        <v>69</v>
      </c>
      <c r="B94" s="16">
        <f>+(B93-C93)/C93</f>
        <v>0.29177928670314457</v>
      </c>
      <c r="C94" s="16">
        <f>+(C93-D93)/D93</f>
        <v>5.0994249289821936E-2</v>
      </c>
      <c r="D94" s="16">
        <f>+(D93-E93)/E93</f>
        <v>4.2922176457836546E-2</v>
      </c>
      <c r="E94" s="16">
        <f>+(E93-F93)/F93</f>
        <v>0.25002258151928464</v>
      </c>
      <c r="F94" s="16">
        <f>+(F93-G93)/G93</f>
        <v>5.237642585551331E-2</v>
      </c>
      <c r="G94" s="16"/>
      <c r="H94" s="16"/>
    </row>
    <row r="95" spans="1:8" ht="18" x14ac:dyDescent="0.2">
      <c r="A95" s="12"/>
      <c r="B95" s="16"/>
      <c r="C95" s="16"/>
      <c r="D95" s="16"/>
      <c r="E95" s="16"/>
      <c r="F95" s="16"/>
      <c r="G95" s="16"/>
      <c r="H95" s="16"/>
    </row>
    <row r="96" spans="1:8" ht="19" x14ac:dyDescent="0.25">
      <c r="A96" s="15" t="s">
        <v>70</v>
      </c>
      <c r="B96" s="16"/>
      <c r="C96" s="16"/>
      <c r="D96" s="16"/>
      <c r="E96" s="16"/>
      <c r="F96" s="16"/>
      <c r="G96" s="16"/>
      <c r="H96" s="16"/>
    </row>
    <row r="97" spans="1:8" ht="18" x14ac:dyDescent="0.2">
      <c r="A97" s="12" t="s">
        <v>71</v>
      </c>
      <c r="B97" s="16">
        <f t="shared" ref="B97:G97" si="3">+B78/B40</f>
        <v>5.8993049669435499E-2</v>
      </c>
      <c r="C97" s="16">
        <f t="shared" si="3"/>
        <v>0.23458646616541354</v>
      </c>
      <c r="D97" s="16">
        <f t="shared" si="3"/>
        <v>0.14162457912457913</v>
      </c>
      <c r="E97" s="16">
        <f t="shared" si="3"/>
        <v>9.511803804721522E-2</v>
      </c>
      <c r="F97" s="16">
        <f t="shared" si="3"/>
        <v>0.15297696653628856</v>
      </c>
      <c r="G97" s="16">
        <f t="shared" si="3"/>
        <v>0.13543897216274089</v>
      </c>
      <c r="H97" s="16"/>
    </row>
    <row r="98" spans="1:8" ht="18" x14ac:dyDescent="0.2">
      <c r="A98" s="12" t="s">
        <v>72</v>
      </c>
      <c r="B98" s="16">
        <f t="shared" ref="B98:G98" si="4">+(B64+B66)/B93</f>
        <v>9.5585608573615713E-2</v>
      </c>
      <c r="C98" s="16">
        <f t="shared" si="4"/>
        <v>0.13778100072516317</v>
      </c>
      <c r="D98" s="16">
        <f t="shared" si="4"/>
        <v>0.1166077738515901</v>
      </c>
      <c r="E98" s="16">
        <f t="shared" si="4"/>
        <v>8.0280367078546133E-2</v>
      </c>
      <c r="F98" s="16">
        <f t="shared" si="4"/>
        <v>0.10071357600939392</v>
      </c>
      <c r="G98" s="16">
        <f t="shared" si="4"/>
        <v>9.3726235741444869E-2</v>
      </c>
      <c r="H98" s="16"/>
    </row>
    <row r="99" spans="1:8" ht="18" x14ac:dyDescent="0.2">
      <c r="A99" s="12" t="s">
        <v>73</v>
      </c>
      <c r="B99" s="16">
        <f>+B64/B55</f>
        <v>0.15956443453656863</v>
      </c>
      <c r="C99" s="16">
        <f t="shared" ref="C99:H99" si="5">+C64/C55</f>
        <v>0.18372959545777148</v>
      </c>
      <c r="D99" s="16">
        <f t="shared" si="5"/>
        <v>0.15930298990668443</v>
      </c>
      <c r="E99" s="16">
        <f t="shared" si="5"/>
        <v>0.11319979455572676</v>
      </c>
      <c r="F99" s="16">
        <f t="shared" si="5"/>
        <v>0.11858559724018973</v>
      </c>
      <c r="G99" s="16">
        <f t="shared" si="5"/>
        <v>0.11100990549925993</v>
      </c>
      <c r="H99" s="16">
        <f t="shared" si="5"/>
        <v>6.8542389687654928E-2</v>
      </c>
    </row>
    <row r="100" spans="1:8" ht="18" x14ac:dyDescent="0.2">
      <c r="A100" s="12" t="s">
        <v>74</v>
      </c>
      <c r="B100" s="13">
        <f t="shared" ref="B100:G100" si="6">+B55/B93</f>
        <v>0.59520285787190608</v>
      </c>
      <c r="C100" s="13">
        <f t="shared" si="6"/>
        <v>0.74309446898279385</v>
      </c>
      <c r="D100" s="13">
        <f t="shared" si="6"/>
        <v>0.72763805168710594</v>
      </c>
      <c r="E100" s="13">
        <f t="shared" si="6"/>
        <v>0.70344678083676571</v>
      </c>
      <c r="F100" s="13">
        <f t="shared" si="6"/>
        <v>0.8378646915364466</v>
      </c>
      <c r="G100" s="13">
        <f t="shared" si="6"/>
        <v>0.83488593155893531</v>
      </c>
      <c r="H100" s="13"/>
    </row>
    <row r="101" spans="1:8" ht="18" x14ac:dyDescent="0.2">
      <c r="A101" s="12"/>
      <c r="B101" s="13"/>
      <c r="C101" s="13"/>
      <c r="D101" s="13"/>
      <c r="E101" s="13"/>
      <c r="F101" s="13"/>
      <c r="G101" s="13"/>
      <c r="H101" s="13"/>
    </row>
    <row r="102" spans="1:8" ht="19" x14ac:dyDescent="0.25">
      <c r="A102" s="17" t="s">
        <v>75</v>
      </c>
      <c r="B102" s="14"/>
      <c r="C102" s="14"/>
      <c r="D102" s="14"/>
      <c r="E102" s="14"/>
      <c r="F102" s="14"/>
      <c r="G102" s="14"/>
      <c r="H102" s="14"/>
    </row>
    <row r="103" spans="1:8" ht="18" x14ac:dyDescent="0.2">
      <c r="A103" s="12" t="s">
        <v>76</v>
      </c>
      <c r="B103" s="16">
        <f>+B59/B55</f>
        <v>0.61879447826459744</v>
      </c>
      <c r="C103" s="16">
        <f t="shared" ref="C103:H103" si="7">+C59/C55</f>
        <v>0.63360539389638038</v>
      </c>
      <c r="D103" s="16">
        <f t="shared" si="7"/>
        <v>0.64854313464102076</v>
      </c>
      <c r="E103" s="16">
        <f t="shared" si="7"/>
        <v>0.65023112480739598</v>
      </c>
      <c r="F103" s="16">
        <f t="shared" si="7"/>
        <v>0.66321690383786114</v>
      </c>
      <c r="G103" s="16">
        <f t="shared" si="7"/>
        <v>0.666742570875555</v>
      </c>
      <c r="H103" s="16">
        <f t="shared" si="7"/>
        <v>0.67315319781854244</v>
      </c>
    </row>
    <row r="104" spans="1:8" ht="18" x14ac:dyDescent="0.2">
      <c r="A104" s="12" t="s">
        <v>77</v>
      </c>
      <c r="B104" s="16">
        <f>+B64/B59</f>
        <v>0.25786337813495913</v>
      </c>
      <c r="C104" s="16">
        <f t="shared" ref="C104:H104" si="8">+C64/C59</f>
        <v>0.28997479697563705</v>
      </c>
      <c r="D104" s="16">
        <f t="shared" si="8"/>
        <v>0.24563206577595068</v>
      </c>
      <c r="E104" s="16">
        <f t="shared" si="8"/>
        <v>0.1740916271721959</v>
      </c>
      <c r="F104" s="16">
        <f t="shared" si="8"/>
        <v>0.17880364109232769</v>
      </c>
      <c r="G104" s="16">
        <f t="shared" si="8"/>
        <v>0.16649590163934427</v>
      </c>
      <c r="H104" s="16">
        <f t="shared" si="8"/>
        <v>0.10182286871662677</v>
      </c>
    </row>
    <row r="105" spans="1:8" ht="18" x14ac:dyDescent="0.2">
      <c r="A105" s="12"/>
      <c r="B105" s="16"/>
      <c r="C105" s="16"/>
      <c r="D105" s="16"/>
      <c r="E105" s="16"/>
      <c r="F105" s="16"/>
      <c r="G105" s="16"/>
      <c r="H105" s="16"/>
    </row>
    <row r="106" spans="1:8" ht="19" x14ac:dyDescent="0.25">
      <c r="A106" s="17" t="s">
        <v>78</v>
      </c>
      <c r="B106" s="14"/>
      <c r="C106" s="14"/>
      <c r="D106" s="14"/>
      <c r="E106" s="14"/>
      <c r="F106" s="14"/>
      <c r="G106" s="14"/>
      <c r="H106" s="14"/>
    </row>
    <row r="107" spans="1:8" ht="18" x14ac:dyDescent="0.2">
      <c r="A107" s="12" t="s">
        <v>79</v>
      </c>
      <c r="B107" s="14">
        <f t="shared" ref="B107:G107" si="9">+B55/(B16-B33)</f>
        <v>12.873068432671081</v>
      </c>
      <c r="C107" s="14">
        <f t="shared" si="9"/>
        <v>32.578034682080926</v>
      </c>
      <c r="D107" s="14">
        <f t="shared" si="9"/>
        <v>15.489675516224189</v>
      </c>
      <c r="E107" s="14">
        <f t="shared" si="9"/>
        <v>15.906862745098039</v>
      </c>
      <c r="F107" s="14">
        <f t="shared" si="9"/>
        <v>7.9214346712211787</v>
      </c>
      <c r="G107" s="14">
        <f t="shared" si="9"/>
        <v>5.8397606382978724</v>
      </c>
      <c r="H107" s="14"/>
    </row>
    <row r="108" spans="1:8" ht="18" x14ac:dyDescent="0.2">
      <c r="A108" s="12" t="s">
        <v>80</v>
      </c>
      <c r="B108" s="13">
        <f t="shared" ref="B108:G108" si="10">+(B55/(B22))</f>
        <v>0.51483181778052445</v>
      </c>
      <c r="C108" s="13">
        <f t="shared" si="10"/>
        <v>0.48929982202543731</v>
      </c>
      <c r="D108" s="13">
        <f t="shared" si="10"/>
        <v>0.44451028527893</v>
      </c>
      <c r="E108" s="13">
        <f t="shared" si="10"/>
        <v>0.40262211009553744</v>
      </c>
      <c r="F108" s="13">
        <f t="shared" si="10"/>
        <v>0.38268905482899457</v>
      </c>
      <c r="G108" s="13">
        <f t="shared" si="10"/>
        <v>0.36175295522879852</v>
      </c>
      <c r="H108" s="13"/>
    </row>
    <row r="109" spans="1:8" ht="18" x14ac:dyDescent="0.2">
      <c r="A109" s="12"/>
      <c r="B109" s="14"/>
      <c r="C109" s="14"/>
      <c r="D109" s="14"/>
      <c r="E109" s="14"/>
      <c r="F109" s="14"/>
      <c r="G109" s="14"/>
      <c r="H109" s="14"/>
    </row>
    <row r="110" spans="1:8" ht="18" x14ac:dyDescent="0.2">
      <c r="A110" s="12"/>
      <c r="B110" s="14"/>
      <c r="C110" s="14"/>
      <c r="D110" s="14"/>
      <c r="E110" s="14"/>
      <c r="F110" s="14"/>
      <c r="G110" s="14"/>
      <c r="H110" s="14"/>
    </row>
    <row r="111" spans="1:8" ht="19" x14ac:dyDescent="0.25">
      <c r="A111" s="15" t="s">
        <v>81</v>
      </c>
      <c r="B111" s="14"/>
      <c r="C111" s="14"/>
      <c r="D111" s="14"/>
      <c r="E111" s="14"/>
      <c r="F111" s="14"/>
      <c r="G111" s="14"/>
      <c r="H111" s="14"/>
    </row>
    <row r="112" spans="1:8" ht="18" x14ac:dyDescent="0.2">
      <c r="A112" s="12" t="s">
        <v>82</v>
      </c>
      <c r="B112" s="13">
        <f>+(B16)/B30</f>
        <v>1.3252608047690015</v>
      </c>
      <c r="C112" s="13">
        <f>+(C16-C17)/C30</f>
        <v>0.87720016373311505</v>
      </c>
      <c r="D112" s="13">
        <f>+(D16-D17)/D30</f>
        <v>0.92822330527248564</v>
      </c>
      <c r="E112" s="13">
        <f>+(E16-E17)/E30</f>
        <v>0.92763772175536885</v>
      </c>
      <c r="F112" s="13">
        <f>+(F16-F17)/F30</f>
        <v>1.0268199233716475</v>
      </c>
      <c r="G112" s="13">
        <f>+(G16-G17)/G30</f>
        <v>1.1241504304485728</v>
      </c>
      <c r="H112" s="13"/>
    </row>
    <row r="113" spans="1:8" ht="18" x14ac:dyDescent="0.2">
      <c r="A113" s="12" t="s">
        <v>83</v>
      </c>
      <c r="B113" s="13">
        <f t="shared" ref="B113:G113" si="11">+(B31+B36-B20)/+B40</f>
        <v>0.9415155111035769</v>
      </c>
      <c r="C113" s="13">
        <f t="shared" si="11"/>
        <v>1.6447786131996658</v>
      </c>
      <c r="D113" s="13">
        <f t="shared" si="11"/>
        <v>2.3413299663299663</v>
      </c>
      <c r="E113" s="13">
        <f t="shared" si="11"/>
        <v>2.779967911987165</v>
      </c>
      <c r="F113" s="13">
        <f t="shared" si="11"/>
        <v>6.6232073011734025</v>
      </c>
      <c r="G113" s="13">
        <f t="shared" si="11"/>
        <v>8.5711991434689505</v>
      </c>
      <c r="H113" s="13"/>
    </row>
    <row r="114" spans="1:8" ht="18" x14ac:dyDescent="0.2">
      <c r="A114" s="12" t="s">
        <v>84</v>
      </c>
      <c r="B114" s="13">
        <f t="shared" ref="B114:G114" si="12">+B40/B22</f>
        <v>0.26039551514081399</v>
      </c>
      <c r="C114" s="13">
        <f t="shared" si="12"/>
        <v>0.25979945305378305</v>
      </c>
      <c r="D114" s="13">
        <f t="shared" si="12"/>
        <v>0.20113434351985102</v>
      </c>
      <c r="E114" s="13">
        <f t="shared" si="12"/>
        <v>0.18044584143264816</v>
      </c>
      <c r="F114" s="13">
        <f t="shared" si="12"/>
        <v>9.4929658814307524E-2</v>
      </c>
      <c r="G114" s="13">
        <f t="shared" si="12"/>
        <v>7.6938918406853657E-2</v>
      </c>
      <c r="H114" s="13"/>
    </row>
  </sheetData>
  <mergeCells count="1">
    <mergeCell ref="A5:H5"/>
  </mergeCells>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Financial statements</vt:lpstr>
      <vt:lpstr>Ratios</vt:lpstr>
      <vt:lpstr>Analysis</vt:lpstr>
    </vt:vector>
  </TitlesOfParts>
  <Company>Bureau van Dijk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Hristina Miljkovic</cp:lastModifiedBy>
  <dcterms:created xsi:type="dcterms:W3CDTF">2017-11-13T14:45:27Z</dcterms:created>
  <dcterms:modified xsi:type="dcterms:W3CDTF">2021-01-11T21:41:38Z</dcterms:modified>
</cp:coreProperties>
</file>