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hifuturesrl-my.sharepoint.com/personal/giulio_derrico_hifuture_eu/Documents/Documenti/"/>
    </mc:Choice>
  </mc:AlternateContent>
  <xr:revisionPtr revIDLastSave="36" documentId="13_ncr:1_{4D3BAE97-5997-4FA9-A399-EF26BFFCB533}" xr6:coauthVersionLast="47" xr6:coauthVersionMax="47" xr10:uidLastSave="{BA4CB17C-E3A4-4147-9291-C79877316152}"/>
  <bookViews>
    <workbookView xWindow="-120" yWindow="-120" windowWidth="29040" windowHeight="15720" firstSheet="1" activeTab="7" xr2:uid="{00000000-000D-0000-FFFF-FFFF00000000}"/>
  </bookViews>
  <sheets>
    <sheet name="Month Names" sheetId="4" r:id="rId1"/>
    <sheet name="Holidays 2023" sheetId="3" r:id="rId2"/>
    <sheet name="2023" sheetId="6" r:id="rId3"/>
    <sheet name="TimeOff 2021-2022" sheetId="7" r:id="rId4"/>
    <sheet name="TimeOff 2022-2023" sheetId="8" r:id="rId5"/>
    <sheet name="TimeOff 2023-2024" sheetId="9" r:id="rId6"/>
    <sheet name="Holidays 2024" sheetId="11" r:id="rId7"/>
    <sheet name="2024" sheetId="10" r:id="rId8"/>
    <sheet name="TimeOff 2024-2025" sheetId="12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1" l="1"/>
  <c r="B5" i="11"/>
  <c r="D2" i="11"/>
  <c r="F2" i="11"/>
  <c r="F2" i="12"/>
  <c r="F3" i="12"/>
  <c r="F4" i="12" s="1"/>
  <c r="F5" i="12" s="1"/>
  <c r="F6" i="12" s="1"/>
  <c r="F7" i="12" s="1"/>
  <c r="F8" i="12" s="1"/>
  <c r="C2" i="12"/>
  <c r="C3" i="12"/>
  <c r="C4" i="12" s="1"/>
  <c r="H1" i="11"/>
  <c r="F1" i="11"/>
  <c r="D1" i="11"/>
  <c r="B14" i="11"/>
  <c r="B13" i="11"/>
  <c r="B12" i="11"/>
  <c r="B11" i="11"/>
  <c r="B10" i="11"/>
  <c r="B9" i="11"/>
  <c r="B8" i="11"/>
  <c r="B7" i="11"/>
  <c r="B6" i="11"/>
  <c r="B3" i="11"/>
  <c r="B2" i="11"/>
  <c r="A1" i="11"/>
  <c r="B2" i="3"/>
  <c r="Z23" i="10" a="1"/>
  <c r="Z23" i="10"/>
  <c r="R23" i="10" a="1"/>
  <c r="R23" i="10"/>
  <c r="J23" i="10" a="1"/>
  <c r="J23" i="10"/>
  <c r="B23" i="10" a="1"/>
  <c r="B23" i="10"/>
  <c r="Z14" i="10" a="1"/>
  <c r="Z14" i="10"/>
  <c r="R14" i="10" a="1"/>
  <c r="R14" i="10"/>
  <c r="J14" i="10" a="1"/>
  <c r="J14" i="10"/>
  <c r="B14" i="10" a="1"/>
  <c r="B14" i="10"/>
  <c r="Z5" i="10" a="1"/>
  <c r="Z5" i="10"/>
  <c r="R5" i="10" a="1"/>
  <c r="R5" i="10"/>
  <c r="J5" i="10" a="1"/>
  <c r="J5" i="10"/>
  <c r="B5" i="10" a="1"/>
  <c r="B5" i="10"/>
  <c r="F2" i="9"/>
  <c r="G2" i="9"/>
  <c r="F2" i="8"/>
  <c r="E3" i="8"/>
  <c r="C2" i="8"/>
  <c r="C3" i="8"/>
  <c r="C6" i="7"/>
  <c r="C7" i="7"/>
  <c r="C5" i="7"/>
  <c r="D5" i="7"/>
  <c r="F4" i="7"/>
  <c r="F5" i="7"/>
  <c r="C4" i="7"/>
  <c r="D4" i="7"/>
  <c r="F3" i="7"/>
  <c r="G3" i="7"/>
  <c r="D3" i="7"/>
  <c r="C3" i="7"/>
  <c r="G2" i="7"/>
  <c r="D2" i="7"/>
  <c r="D22" i="3"/>
  <c r="H6" i="3"/>
  <c r="H5" i="3"/>
  <c r="H4" i="3"/>
  <c r="D21" i="3"/>
  <c r="F17" i="3"/>
  <c r="F16" i="3"/>
  <c r="D20" i="3"/>
  <c r="D19" i="3"/>
  <c r="D18" i="3"/>
  <c r="D17" i="3"/>
  <c r="F15" i="3"/>
  <c r="D16" i="3"/>
  <c r="F14" i="3"/>
  <c r="D15" i="3"/>
  <c r="F13" i="3"/>
  <c r="D14" i="3"/>
  <c r="B14" i="3"/>
  <c r="F12" i="3"/>
  <c r="D13" i="3"/>
  <c r="B13" i="3"/>
  <c r="F11" i="3"/>
  <c r="D12" i="3"/>
  <c r="B12" i="3"/>
  <c r="D11" i="3"/>
  <c r="B11" i="3"/>
  <c r="F10" i="3"/>
  <c r="D10" i="3"/>
  <c r="B10" i="3"/>
  <c r="F9" i="3"/>
  <c r="D9" i="3"/>
  <c r="B9" i="3"/>
  <c r="F8" i="3"/>
  <c r="D8" i="3"/>
  <c r="B8" i="3"/>
  <c r="F7" i="3"/>
  <c r="D7" i="3"/>
  <c r="B7" i="3"/>
  <c r="F6" i="3"/>
  <c r="D6" i="3"/>
  <c r="B6" i="3"/>
  <c r="F5" i="3"/>
  <c r="D5" i="3"/>
  <c r="B5" i="3"/>
  <c r="F4" i="3"/>
  <c r="D4" i="3"/>
  <c r="B4" i="3"/>
  <c r="H3" i="3"/>
  <c r="F3" i="3"/>
  <c r="D3" i="3"/>
  <c r="B3" i="3"/>
  <c r="H2" i="3"/>
  <c r="F2" i="3"/>
  <c r="D2" i="3"/>
  <c r="H1" i="3"/>
  <c r="F1" i="3"/>
  <c r="D1" i="3"/>
  <c r="A1" i="3"/>
  <c r="Z23" i="6" a="1"/>
  <c r="Z23" i="6"/>
  <c r="Z14" i="6" a="1"/>
  <c r="Z14" i="6"/>
  <c r="Z5" i="6" a="1"/>
  <c r="Z5" i="6"/>
  <c r="R23" i="6" a="1"/>
  <c r="R23" i="6"/>
  <c r="R14" i="6" a="1"/>
  <c r="R14" i="6"/>
  <c r="R5" i="6" a="1"/>
  <c r="J23" i="6" a="1"/>
  <c r="J23" i="6"/>
  <c r="J14" i="6" a="1"/>
  <c r="J14" i="6"/>
  <c r="J5" i="6" a="1"/>
  <c r="J5" i="6"/>
  <c r="B5" i="6" a="1"/>
  <c r="B5" i="6"/>
  <c r="B14" i="6" a="1"/>
  <c r="B14" i="6"/>
  <c r="B23" i="6" a="1"/>
  <c r="B23" i="6"/>
  <c r="R5" i="6"/>
  <c r="B3" i="12"/>
  <c r="G2" i="12"/>
  <c r="E3" i="12"/>
  <c r="D2" i="12"/>
  <c r="F3" i="9"/>
  <c r="F4" i="9"/>
  <c r="F5" i="9"/>
  <c r="E3" i="9"/>
  <c r="G3" i="9"/>
  <c r="G2" i="8"/>
  <c r="E4" i="9"/>
  <c r="C4" i="8"/>
  <c r="D2" i="8"/>
  <c r="B3" i="8"/>
  <c r="D3" i="8"/>
  <c r="F3" i="8"/>
  <c r="G3" i="8"/>
  <c r="F6" i="7"/>
  <c r="G5" i="7"/>
  <c r="C8" i="7"/>
  <c r="D7" i="7"/>
  <c r="G4" i="7"/>
  <c r="D6" i="7"/>
  <c r="G4" i="9"/>
  <c r="E5" i="9"/>
  <c r="G5" i="9"/>
  <c r="F6" i="9"/>
  <c r="F4" i="8"/>
  <c r="E4" i="8"/>
  <c r="B4" i="8"/>
  <c r="D4" i="8"/>
  <c r="C5" i="8"/>
  <c r="D8" i="7"/>
  <c r="C9" i="7"/>
  <c r="G6" i="7"/>
  <c r="F7" i="7"/>
  <c r="E6" i="9"/>
  <c r="G6" i="9"/>
  <c r="B5" i="8"/>
  <c r="D5" i="8"/>
  <c r="F7" i="9"/>
  <c r="G4" i="8"/>
  <c r="B6" i="8"/>
  <c r="C6" i="8"/>
  <c r="F5" i="8"/>
  <c r="E5" i="8"/>
  <c r="D9" i="7"/>
  <c r="C10" i="7"/>
  <c r="G7" i="7"/>
  <c r="F8" i="7"/>
  <c r="E7" i="9"/>
  <c r="E8" i="9"/>
  <c r="F8" i="9"/>
  <c r="E6" i="8"/>
  <c r="G6" i="8"/>
  <c r="F6" i="8"/>
  <c r="C7" i="8"/>
  <c r="B7" i="8"/>
  <c r="D7" i="8"/>
  <c r="D6" i="8"/>
  <c r="G5" i="8"/>
  <c r="F9" i="7"/>
  <c r="G8" i="7"/>
  <c r="C11" i="7"/>
  <c r="D10" i="7"/>
  <c r="G7" i="9"/>
  <c r="G8" i="9"/>
  <c r="F9" i="9"/>
  <c r="E9" i="9"/>
  <c r="C8" i="8"/>
  <c r="B8" i="8"/>
  <c r="E7" i="8"/>
  <c r="F7" i="8"/>
  <c r="C12" i="7"/>
  <c r="D11" i="7"/>
  <c r="F10" i="7"/>
  <c r="G9" i="7"/>
  <c r="G7" i="8"/>
  <c r="D8" i="8"/>
  <c r="E10" i="9"/>
  <c r="F10" i="9"/>
  <c r="G9" i="9"/>
  <c r="F8" i="8"/>
  <c r="E8" i="8"/>
  <c r="B9" i="8"/>
  <c r="C9" i="8"/>
  <c r="G10" i="7"/>
  <c r="F11" i="7"/>
  <c r="D12" i="7"/>
  <c r="C13" i="7"/>
  <c r="B13" i="7"/>
  <c r="G8" i="8"/>
  <c r="F11" i="9"/>
  <c r="E11" i="9"/>
  <c r="G11" i="9"/>
  <c r="G10" i="9"/>
  <c r="D9" i="8"/>
  <c r="B10" i="8"/>
  <c r="C10" i="8"/>
  <c r="F9" i="8"/>
  <c r="E9" i="8"/>
  <c r="G11" i="7"/>
  <c r="F12" i="7"/>
  <c r="D13" i="7"/>
  <c r="M2" i="7"/>
  <c r="G9" i="8"/>
  <c r="F12" i="9"/>
  <c r="E12" i="9"/>
  <c r="G12" i="9"/>
  <c r="C11" i="8"/>
  <c r="B11" i="8"/>
  <c r="E10" i="8"/>
  <c r="F10" i="8"/>
  <c r="D10" i="8"/>
  <c r="F13" i="7"/>
  <c r="G12" i="7"/>
  <c r="E13" i="7"/>
  <c r="L3" i="7"/>
  <c r="N2" i="7"/>
  <c r="M3" i="7"/>
  <c r="G10" i="8"/>
  <c r="D11" i="8"/>
  <c r="F13" i="9"/>
  <c r="E13" i="9"/>
  <c r="E11" i="8"/>
  <c r="F11" i="8"/>
  <c r="C12" i="8"/>
  <c r="B12" i="8"/>
  <c r="D12" i="8"/>
  <c r="M4" i="7"/>
  <c r="L4" i="7"/>
  <c r="N3" i="7"/>
  <c r="G13" i="7"/>
  <c r="P2" i="7"/>
  <c r="G13" i="9"/>
  <c r="P2" i="9"/>
  <c r="B13" i="8"/>
  <c r="C13" i="8"/>
  <c r="F12" i="8"/>
  <c r="E12" i="8"/>
  <c r="G12" i="8"/>
  <c r="G11" i="8"/>
  <c r="P3" i="7"/>
  <c r="O3" i="7"/>
  <c r="Q2" i="7"/>
  <c r="R2" i="7"/>
  <c r="N4" i="7"/>
  <c r="M5" i="7"/>
  <c r="L5" i="7"/>
  <c r="P3" i="9"/>
  <c r="O4" i="9" s="1"/>
  <c r="Q2" i="9"/>
  <c r="O3" i="9"/>
  <c r="F13" i="8"/>
  <c r="E13" i="8"/>
  <c r="M2" i="8"/>
  <c r="C2" i="9"/>
  <c r="D13" i="8"/>
  <c r="M6" i="7"/>
  <c r="L6" i="7"/>
  <c r="Q3" i="7"/>
  <c r="R3" i="7"/>
  <c r="N5" i="7"/>
  <c r="P4" i="7"/>
  <c r="O4" i="7"/>
  <c r="B3" i="9"/>
  <c r="D2" i="9"/>
  <c r="C3" i="9"/>
  <c r="Q3" i="9"/>
  <c r="P4" i="9"/>
  <c r="P5" i="9" s="1"/>
  <c r="G13" i="8"/>
  <c r="P2" i="8"/>
  <c r="L3" i="8"/>
  <c r="M3" i="8"/>
  <c r="N2" i="8"/>
  <c r="R2" i="8"/>
  <c r="Q4" i="7"/>
  <c r="R4" i="7"/>
  <c r="P5" i="7"/>
  <c r="O5" i="7"/>
  <c r="N6" i="7"/>
  <c r="L7" i="7"/>
  <c r="M7" i="7"/>
  <c r="C4" i="9"/>
  <c r="B4" i="9"/>
  <c r="D4" i="9"/>
  <c r="D3" i="9"/>
  <c r="L4" i="8"/>
  <c r="M4" i="8"/>
  <c r="P3" i="8"/>
  <c r="Q2" i="8"/>
  <c r="O3" i="8"/>
  <c r="N3" i="8"/>
  <c r="N7" i="7"/>
  <c r="M8" i="7"/>
  <c r="L8" i="7"/>
  <c r="Q5" i="7"/>
  <c r="R5" i="7"/>
  <c r="O6" i="7"/>
  <c r="P6" i="7"/>
  <c r="B5" i="9"/>
  <c r="C5" i="9"/>
  <c r="M5" i="8"/>
  <c r="L5" i="8"/>
  <c r="O4" i="8"/>
  <c r="P4" i="8"/>
  <c r="R3" i="8"/>
  <c r="Q3" i="8"/>
  <c r="N4" i="8"/>
  <c r="P7" i="7"/>
  <c r="O7" i="7"/>
  <c r="N8" i="7"/>
  <c r="Q6" i="7"/>
  <c r="R6" i="7"/>
  <c r="M9" i="7"/>
  <c r="L9" i="7"/>
  <c r="C6" i="9"/>
  <c r="B6" i="9"/>
  <c r="D5" i="9"/>
  <c r="P5" i="8"/>
  <c r="O5" i="8"/>
  <c r="Q5" i="8"/>
  <c r="R4" i="8"/>
  <c r="Q4" i="8"/>
  <c r="N5" i="8"/>
  <c r="M6" i="8"/>
  <c r="L6" i="8"/>
  <c r="M10" i="7"/>
  <c r="L10" i="7"/>
  <c r="Q7" i="7"/>
  <c r="R7" i="7"/>
  <c r="N9" i="7"/>
  <c r="P8" i="7"/>
  <c r="O8" i="7"/>
  <c r="R5" i="8"/>
  <c r="D6" i="9"/>
  <c r="C7" i="9"/>
  <c r="B7" i="9"/>
  <c r="L7" i="8"/>
  <c r="M7" i="8"/>
  <c r="N6" i="8"/>
  <c r="P6" i="8"/>
  <c r="O6" i="8"/>
  <c r="R6" i="8"/>
  <c r="N10" i="7"/>
  <c r="Q8" i="7"/>
  <c r="R8" i="7"/>
  <c r="P9" i="7"/>
  <c r="O9" i="7"/>
  <c r="L11" i="7"/>
  <c r="M11" i="7"/>
  <c r="B8" i="9"/>
  <c r="C8" i="9"/>
  <c r="D7" i="9"/>
  <c r="Q6" i="8"/>
  <c r="M8" i="8"/>
  <c r="L8" i="8"/>
  <c r="P7" i="8"/>
  <c r="O7" i="8"/>
  <c r="N7" i="8"/>
  <c r="Q9" i="7"/>
  <c r="R9" i="7"/>
  <c r="M12" i="7"/>
  <c r="L12" i="7"/>
  <c r="N11" i="7"/>
  <c r="O10" i="7"/>
  <c r="P10" i="7"/>
  <c r="B9" i="9"/>
  <c r="D9" i="9"/>
  <c r="C9" i="9"/>
  <c r="D8" i="9"/>
  <c r="N8" i="8"/>
  <c r="M9" i="8"/>
  <c r="L9" i="8"/>
  <c r="O8" i="8"/>
  <c r="P8" i="8"/>
  <c r="R7" i="8"/>
  <c r="Q7" i="8"/>
  <c r="P11" i="7"/>
  <c r="O11" i="7"/>
  <c r="Q10" i="7"/>
  <c r="R10" i="7"/>
  <c r="L13" i="7"/>
  <c r="M13" i="7"/>
  <c r="N12" i="7"/>
  <c r="B10" i="9"/>
  <c r="C10" i="9"/>
  <c r="N9" i="8"/>
  <c r="M10" i="8"/>
  <c r="L10" i="8"/>
  <c r="P9" i="8"/>
  <c r="O9" i="8"/>
  <c r="Q8" i="8"/>
  <c r="R8" i="8"/>
  <c r="Q11" i="7"/>
  <c r="R11" i="7"/>
  <c r="N13" i="7"/>
  <c r="P12" i="7"/>
  <c r="O12" i="7"/>
  <c r="C11" i="9"/>
  <c r="B11" i="9"/>
  <c r="D11" i="9"/>
  <c r="D10" i="9"/>
  <c r="L11" i="8"/>
  <c r="M11" i="8"/>
  <c r="Q9" i="8"/>
  <c r="N10" i="8"/>
  <c r="P10" i="8"/>
  <c r="O10" i="8"/>
  <c r="Q10" i="8"/>
  <c r="R9" i="8"/>
  <c r="Q12" i="7"/>
  <c r="R12" i="7"/>
  <c r="P13" i="7"/>
  <c r="O13" i="7"/>
  <c r="C12" i="9"/>
  <c r="B12" i="9"/>
  <c r="D12" i="9"/>
  <c r="P11" i="8"/>
  <c r="O11" i="8"/>
  <c r="L12" i="8"/>
  <c r="M12" i="8"/>
  <c r="R10" i="8"/>
  <c r="R11" i="8"/>
  <c r="N11" i="8"/>
  <c r="Q13" i="7"/>
  <c r="R13" i="7"/>
  <c r="B13" i="9"/>
  <c r="C13" i="9"/>
  <c r="N12" i="8"/>
  <c r="M13" i="8"/>
  <c r="L13" i="8"/>
  <c r="Q11" i="8"/>
  <c r="O12" i="8"/>
  <c r="P12" i="8"/>
  <c r="M2" i="9"/>
  <c r="D13" i="9"/>
  <c r="N13" i="8"/>
  <c r="Q12" i="8"/>
  <c r="O13" i="8"/>
  <c r="P13" i="8"/>
  <c r="R12" i="8"/>
  <c r="Q13" i="8"/>
  <c r="N2" i="9"/>
  <c r="M3" i="9"/>
  <c r="R2" i="9"/>
  <c r="L3" i="9"/>
  <c r="R13" i="8"/>
  <c r="N3" i="9" l="1"/>
  <c r="R3" i="9"/>
  <c r="L4" i="9"/>
  <c r="O5" i="9"/>
  <c r="Q5" i="9" s="1"/>
  <c r="Q4" i="9"/>
  <c r="O6" i="9"/>
  <c r="Q6" i="9" s="1"/>
  <c r="P6" i="9"/>
  <c r="M4" i="9"/>
  <c r="G3" i="12"/>
  <c r="F9" i="12"/>
  <c r="E4" i="12"/>
  <c r="C5" i="12"/>
  <c r="D3" i="12"/>
  <c r="B4" i="12"/>
  <c r="D4" i="12" s="1"/>
  <c r="O7" i="9" l="1"/>
  <c r="P7" i="9"/>
  <c r="L5" i="9"/>
  <c r="M5" i="9"/>
  <c r="N4" i="9"/>
  <c r="R4" i="9"/>
  <c r="F10" i="12"/>
  <c r="E5" i="12"/>
  <c r="G4" i="12"/>
  <c r="B5" i="12"/>
  <c r="D5" i="12" s="1"/>
  <c r="C6" i="12"/>
  <c r="O8" i="9" l="1"/>
  <c r="P8" i="9"/>
  <c r="Q7" i="9"/>
  <c r="M6" i="9"/>
  <c r="L6" i="9"/>
  <c r="N5" i="9"/>
  <c r="R5" i="9"/>
  <c r="F11" i="12"/>
  <c r="G5" i="12"/>
  <c r="E6" i="12"/>
  <c r="B6" i="12"/>
  <c r="D6" i="12" s="1"/>
  <c r="B7" i="12"/>
  <c r="C7" i="12"/>
  <c r="O9" i="9" l="1"/>
  <c r="P9" i="9"/>
  <c r="Q8" i="9"/>
  <c r="R6" i="9"/>
  <c r="N6" i="9"/>
  <c r="L7" i="9"/>
  <c r="M7" i="9"/>
  <c r="D7" i="12"/>
  <c r="G6" i="12"/>
  <c r="E7" i="12"/>
  <c r="F12" i="12"/>
  <c r="B8" i="12"/>
  <c r="C8" i="12"/>
  <c r="P10" i="9" l="1"/>
  <c r="O10" i="9"/>
  <c r="Q10" i="9" s="1"/>
  <c r="Q9" i="9"/>
  <c r="L8" i="9"/>
  <c r="M8" i="9"/>
  <c r="N7" i="9"/>
  <c r="R7" i="9"/>
  <c r="F13" i="12"/>
  <c r="G7" i="12"/>
  <c r="E8" i="12"/>
  <c r="C9" i="12"/>
  <c r="B9" i="12"/>
  <c r="D8" i="12"/>
  <c r="O11" i="9" l="1"/>
  <c r="Q11" i="9" s="1"/>
  <c r="P11" i="9"/>
  <c r="L9" i="9"/>
  <c r="M9" i="9"/>
  <c r="R8" i="9"/>
  <c r="N8" i="9"/>
  <c r="G8" i="12"/>
  <c r="E9" i="12"/>
  <c r="D9" i="12"/>
  <c r="C10" i="12"/>
  <c r="B10" i="12"/>
  <c r="O12" i="9" l="1"/>
  <c r="P12" i="9"/>
  <c r="L10" i="9"/>
  <c r="M10" i="9"/>
  <c r="R9" i="9"/>
  <c r="N9" i="9"/>
  <c r="G9" i="12"/>
  <c r="E10" i="12"/>
  <c r="D10" i="12"/>
  <c r="C11" i="12"/>
  <c r="B11" i="12"/>
  <c r="O13" i="9" l="1"/>
  <c r="Q13" i="9" s="1"/>
  <c r="P13" i="9"/>
  <c r="Q12" i="9"/>
  <c r="L11" i="9"/>
  <c r="M11" i="9"/>
  <c r="N10" i="9"/>
  <c r="R10" i="9"/>
  <c r="G10" i="12"/>
  <c r="E11" i="12"/>
  <c r="D11" i="12"/>
  <c r="C12" i="12"/>
  <c r="B12" i="12"/>
  <c r="L12" i="9" l="1"/>
  <c r="M12" i="9"/>
  <c r="R11" i="9"/>
  <c r="N11" i="9"/>
  <c r="G11" i="12"/>
  <c r="E12" i="12"/>
  <c r="D12" i="12"/>
  <c r="C13" i="12"/>
  <c r="B13" i="12"/>
  <c r="L13" i="9" l="1"/>
  <c r="M13" i="9"/>
  <c r="R12" i="9"/>
  <c r="N12" i="9"/>
  <c r="G12" i="12"/>
  <c r="E13" i="12"/>
  <c r="D13" i="12"/>
  <c r="M2" i="12"/>
  <c r="R13" i="9" l="1"/>
  <c r="N13" i="9"/>
  <c r="P2" i="12"/>
  <c r="G13" i="12"/>
  <c r="N2" i="12"/>
  <c r="M3" i="12"/>
  <c r="L3" i="12"/>
  <c r="R2" i="12"/>
  <c r="P3" i="12" l="1"/>
  <c r="Q2" i="12"/>
  <c r="O3" i="12"/>
  <c r="N3" i="12"/>
  <c r="M4" i="12"/>
  <c r="L4" i="12"/>
  <c r="Q3" i="12" l="1"/>
  <c r="R3" i="12"/>
  <c r="P4" i="12"/>
  <c r="O4" i="12"/>
  <c r="N4" i="12"/>
  <c r="R4" i="12"/>
  <c r="L5" i="12"/>
  <c r="M5" i="12"/>
  <c r="Q4" i="12" l="1"/>
  <c r="O5" i="12"/>
  <c r="Q5" i="12" s="1"/>
  <c r="P5" i="12"/>
  <c r="N5" i="12"/>
  <c r="M6" i="12"/>
  <c r="L6" i="12"/>
  <c r="R5" i="12" l="1"/>
  <c r="O6" i="12"/>
  <c r="P6" i="12"/>
  <c r="N6" i="12"/>
  <c r="L7" i="12"/>
  <c r="M7" i="12"/>
  <c r="Q6" i="12" l="1"/>
  <c r="O7" i="12"/>
  <c r="Q7" i="12" s="1"/>
  <c r="P7" i="12"/>
  <c r="R6" i="12"/>
  <c r="L8" i="12"/>
  <c r="M8" i="12"/>
  <c r="N7" i="12"/>
  <c r="R7" i="12" l="1"/>
  <c r="P8" i="12"/>
  <c r="R8" i="12" s="1"/>
  <c r="O8" i="12"/>
  <c r="M9" i="12"/>
  <c r="L9" i="12"/>
  <c r="N8" i="12"/>
  <c r="Q8" i="12" l="1"/>
  <c r="O9" i="12"/>
  <c r="Q9" i="12" s="1"/>
  <c r="P9" i="12"/>
  <c r="M10" i="12"/>
  <c r="L10" i="12"/>
  <c r="N9" i="12"/>
  <c r="R9" i="12" l="1"/>
  <c r="O10" i="12"/>
  <c r="Q10" i="12" s="1"/>
  <c r="P10" i="12"/>
  <c r="N10" i="12"/>
  <c r="L11" i="12"/>
  <c r="M11" i="12"/>
  <c r="R10" i="12" l="1"/>
  <c r="P11" i="12"/>
  <c r="R11" i="12" s="1"/>
  <c r="O11" i="12"/>
  <c r="L12" i="12"/>
  <c r="M12" i="12"/>
  <c r="N11" i="12"/>
  <c r="O12" i="12" l="1"/>
  <c r="P12" i="12"/>
  <c r="R12" i="12" s="1"/>
  <c r="Q11" i="12"/>
  <c r="M13" i="12"/>
  <c r="L13" i="12"/>
  <c r="N12" i="12"/>
  <c r="P13" i="12" l="1"/>
  <c r="O13" i="12"/>
  <c r="Q12" i="12"/>
  <c r="N13" i="12"/>
  <c r="Q13" i="12" l="1"/>
  <c r="R1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<sst xmlns="http://schemas.openxmlformats.org/spreadsheetml/2006/main" count="286" uniqueCount="47">
  <si>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</si>
  <si>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</si>
  <si>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</si>
  <si>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</si>
  <si>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</si>
  <si>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</si>
  <si>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</si>
  <si>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</si>
  <si>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</si>
  <si>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</si>
  <si>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</si>
  <si>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</si>
  <si>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</t>
  </si>
  <si>
    <t>T</t>
  </si>
  <si>
    <t>W</t>
  </si>
  <si>
    <t>F</t>
  </si>
  <si>
    <t>S</t>
  </si>
  <si>
    <t>Date</t>
  </si>
  <si>
    <t>NOTES</t>
  </si>
  <si>
    <t>Epifania</t>
  </si>
  <si>
    <t>Capodanno</t>
  </si>
  <si>
    <t>Pasqua</t>
  </si>
  <si>
    <t>Pasquetta</t>
  </si>
  <si>
    <t>Liberazione</t>
  </si>
  <si>
    <t>Ferragosto</t>
  </si>
  <si>
    <t>Tutti i Santi</t>
  </si>
  <si>
    <t>Immacolata</t>
  </si>
  <si>
    <t>Natale</t>
  </si>
  <si>
    <t>Santo Stefano</t>
  </si>
  <si>
    <t>San Giovanni</t>
  </si>
  <si>
    <t>Festa dei lavoratori</t>
  </si>
  <si>
    <t>Festa della Repubblica</t>
  </si>
  <si>
    <t>Festivo</t>
  </si>
  <si>
    <t>Permessi</t>
  </si>
  <si>
    <t>Ferie</t>
  </si>
  <si>
    <t>Malattia</t>
  </si>
  <si>
    <t>PAR [h]</t>
  </si>
  <si>
    <t>PAR AP [h]</t>
  </si>
  <si>
    <t>PAR tot</t>
  </si>
  <si>
    <t>Ferie [gg]</t>
  </si>
  <si>
    <t>Ferie AP [gg]</t>
  </si>
  <si>
    <t>Ferie tot</t>
  </si>
  <si>
    <t>PAR goduti</t>
  </si>
  <si>
    <t>ferie godute</t>
  </si>
  <si>
    <t>TOT giorni</t>
  </si>
  <si>
    <t>PAR goduti [h]</t>
  </si>
  <si>
    <t>ferie godute [gg]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</si>
</sst>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&quot;January&quot;"/>
    <numFmt numFmtId="165" formatCode="&quot;February&quot;"/>
    <numFmt numFmtId="166" formatCode="&quot;March&quot;"/>
    <numFmt numFmtId="167" formatCode="&quot;April&quot;"/>
    <numFmt numFmtId="168" formatCode="&quot;May&quot;"/>
    <numFmt numFmtId="169" formatCode="&quot;June&quot;"/>
    <numFmt numFmtId="170" formatCode="&quot;July&quot;"/>
    <numFmt numFmtId="171" formatCode="&quot;August&quot;"/>
    <numFmt numFmtId="172" formatCode="&quot;September&quot;"/>
    <numFmt numFmtId="173" formatCode="&quot;October&quot;"/>
    <numFmt numFmtId="174" formatCode="&quot;November&quot;"/>
    <numFmt numFmtId="175" formatCode="&quot;December&quot;"/>
    <numFmt numFmtId="176" formatCode="dd"/>
    <numFmt numFmtId="177" formatCode="[$-410]ddd\ d\ mmm\ yyyy"/>
  </numFmts>
  <fonts count="11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7F9F3"/>
        <bgColor indexed="64"/>
      </patternFill>
    </fill>
    <fill>
      <patternFill patternType="solid">
        <fgColor rgb="FFFAC04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72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double">
        <color auto="1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11" borderId="0" applyNumberFormat="0" applyBorder="0" applyAlignment="0" applyProtection="0"/>
  </cellStyleXfs>
  <cellXfs count="4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Continuous"/>
    </xf>
    <xf numFmtId="0" fontId="1" fillId="0" borderId="2" xfId="0" applyFont="1" applyBorder="1" applyAlignment="1">
      <alignment horizontal="center"/>
    </xf>
    <xf numFmtId="0" fontId="3" fillId="0" borderId="0" xfId="0" applyFont="1"/>
    <xf numFmtId="15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8" xfId="0" applyFont="1" applyBorder="1" applyAlignment="1">
      <alignment horizontal="centerContinuous"/>
    </xf>
    <xf numFmtId="0" fontId="5" fillId="0" borderId="9" xfId="0" applyFont="1" applyBorder="1" applyAlignment="1">
      <alignment horizontal="centerContinuous"/>
    </xf>
    <xf numFmtId="0" fontId="5" fillId="0" borderId="10" xfId="0" applyFont="1" applyBorder="1" applyAlignment="1">
      <alignment horizontal="centerContinuous"/>
    </xf>
    <xf numFmtId="164" fontId="6" fillId="0" borderId="0" xfId="0" applyNumberFormat="1" applyFont="1" applyAlignment="1">
      <alignment horizontal="centerContinuous"/>
    </xf>
    <xf numFmtId="165" fontId="6" fillId="0" borderId="0" xfId="0" applyNumberFormat="1" applyFont="1" applyAlignment="1">
      <alignment horizontal="centerContinuous"/>
    </xf>
    <xf numFmtId="166" fontId="6" fillId="0" borderId="0" xfId="0" applyNumberFormat="1" applyFont="1" applyAlignment="1">
      <alignment horizontal="centerContinuous"/>
    </xf>
    <xf numFmtId="169" fontId="6" fillId="0" borderId="0" xfId="0" applyNumberFormat="1" applyFont="1" applyAlignment="1">
      <alignment horizontal="centerContinuous"/>
    </xf>
    <xf numFmtId="168" fontId="6" fillId="0" borderId="0" xfId="0" applyNumberFormat="1" applyFont="1" applyAlignment="1">
      <alignment horizontal="centerContinuous"/>
    </xf>
    <xf numFmtId="167" fontId="6" fillId="0" borderId="0" xfId="0" applyNumberFormat="1" applyFont="1" applyAlignment="1">
      <alignment horizontal="centerContinuous"/>
    </xf>
    <xf numFmtId="170" fontId="6" fillId="0" borderId="0" xfId="0" applyNumberFormat="1" applyFont="1" applyAlignment="1">
      <alignment horizontal="centerContinuous"/>
    </xf>
    <xf numFmtId="171" fontId="6" fillId="0" borderId="0" xfId="0" applyNumberFormat="1" applyFont="1" applyAlignment="1">
      <alignment horizontal="centerContinuous"/>
    </xf>
    <xf numFmtId="172" fontId="6" fillId="0" borderId="0" xfId="0" applyNumberFormat="1" applyFont="1" applyAlignment="1">
      <alignment horizontal="centerContinuous"/>
    </xf>
    <xf numFmtId="175" fontId="6" fillId="0" borderId="0" xfId="0" applyNumberFormat="1" applyFont="1" applyAlignment="1">
      <alignment horizontal="centerContinuous"/>
    </xf>
    <xf numFmtId="174" fontId="6" fillId="0" borderId="0" xfId="0" applyNumberFormat="1" applyFont="1" applyAlignment="1">
      <alignment horizontal="centerContinuous"/>
    </xf>
    <xf numFmtId="173" fontId="6" fillId="0" borderId="0" xfId="0" applyNumberFormat="1" applyFont="1" applyAlignment="1">
      <alignment horizontal="centerContinuous"/>
    </xf>
    <xf numFmtId="0" fontId="0" fillId="0" borderId="11" xfId="0" applyBorder="1"/>
    <xf numFmtId="0" fontId="2" fillId="3" borderId="11" xfId="0" applyFont="1" applyFill="1" applyBorder="1" applyAlignment="1">
      <alignment horizontal="center" vertical="center"/>
    </xf>
    <xf numFmtId="176" fontId="0" fillId="0" borderId="1" xfId="0" applyNumberFormat="1" applyBorder="1"/>
    <xf numFmtId="176" fontId="0" fillId="3" borderId="1" xfId="0" applyNumberFormat="1" applyFill="1" applyBorder="1"/>
    <xf numFmtId="177" fontId="0" fillId="0" borderId="11" xfId="0" applyNumberFormat="1" applyBorder="1" applyAlignment="1">
      <alignment horizontal="center"/>
    </xf>
    <xf numFmtId="0" fontId="7" fillId="6" borderId="0" xfId="0" applyFont="1" applyFill="1"/>
    <xf numFmtId="176" fontId="7" fillId="5" borderId="0" xfId="0" applyNumberFormat="1" applyFont="1" applyFill="1"/>
    <xf numFmtId="0" fontId="7" fillId="4" borderId="0" xfId="0" applyFont="1" applyFill="1"/>
    <xf numFmtId="0" fontId="7" fillId="7" borderId="0" xfId="0" applyFont="1" applyFill="1"/>
    <xf numFmtId="0" fontId="7" fillId="8" borderId="12" xfId="0" applyFont="1" applyFill="1" applyBorder="1"/>
    <xf numFmtId="0" fontId="7" fillId="9" borderId="12" xfId="0" applyFont="1" applyFill="1" applyBorder="1"/>
    <xf numFmtId="17" fontId="7" fillId="8" borderId="13" xfId="0" applyNumberFormat="1" applyFont="1" applyFill="1" applyBorder="1"/>
    <xf numFmtId="0" fontId="0" fillId="2" borderId="14" xfId="0" applyFill="1" applyBorder="1"/>
    <xf numFmtId="0" fontId="0" fillId="2" borderId="13" xfId="0" applyFill="1" applyBorder="1"/>
    <xf numFmtId="0" fontId="0" fillId="10" borderId="14" xfId="0" applyFill="1" applyBorder="1"/>
    <xf numFmtId="0" fontId="0" fillId="10" borderId="13" xfId="0" applyFill="1" applyBorder="1"/>
    <xf numFmtId="0" fontId="8" fillId="0" borderId="15" xfId="0" applyFont="1" applyBorder="1"/>
    <xf numFmtId="0" fontId="4" fillId="0" borderId="2" xfId="0" applyFont="1" applyBorder="1" applyAlignment="1">
      <alignment horizontal="center" vertical="center"/>
    </xf>
    <xf numFmtId="176" fontId="10" fillId="11" borderId="1" xfId="1" applyNumberFormat="1" applyFont="1" applyBorder="1"/>
  </cellXfs>
  <cellStyles count="2">
    <cellStyle name="Normale" xfId="0" builtinId="0"/>
    <cellStyle name="Valore non valido" xfId="1" builtinId="27"/>
  </cellStyles>
  <dxfs count="25">
    <dxf>
      <fill>
        <patternFill>
          <bgColor rgb="FFFF000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rgb="FF07F9F3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rgb="FFFAC04C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rgb="FFFF572F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rgb="FF07F9F3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rgb="FFFAC04C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rgb="FFFF572F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rgb="FF07F9F3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rgb="FFFAC04C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rgb="FFFF572F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</dxfs>
  <tableStyles count="0" defaultTableStyle="TableStyleMedium2" defaultPivotStyle="PivotStyleLight16"/>
  <colors>
    <mruColors>
      <color rgb="FFFF572F"/>
      <color rgb="FF07F9F3"/>
      <color rgb="FFFAC0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workbookViewId="0">
      <selection activeCell="B1" sqref="B1:D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showGridLines="0" topLeftCell="B1" workbookViewId="0">
      <selection activeCell="B3" sqref="B3"/>
    </sheetView>
  </sheetViews>
  <sheetFormatPr defaultRowHeight="15" x14ac:dyDescent="0.25"/>
  <cols>
    <col min="1" max="1" width="21.140625" bestFit="1" customWidth="1"/>
    <col min="2" max="2" width="15" bestFit="1" customWidth="1"/>
    <col min="4" max="4" width="15.85546875" bestFit="1" customWidth="1"/>
    <col min="6" max="6" width="15.140625" bestFit="1" customWidth="1"/>
    <col min="8" max="8" width="15.7109375" bestFit="1" customWidth="1"/>
  </cols>
  <sheetData>
    <row r="1" spans="1:8" x14ac:dyDescent="0.25">
      <c r="A1" s="27" t="str">
        <f>"Holidays " &amp; '2023'!$B$1</f>
        <v>Holidays 2023</v>
      </c>
      <c r="B1" s="27" t="s">
        <v>17</v>
      </c>
      <c r="D1" s="27" t="str">
        <f>"Ferie " &amp; '2023'!$B$1</f>
        <v>Ferie 2023</v>
      </c>
      <c r="F1" s="27" t="str">
        <f>"Permessi " &amp; '2023'!$B$1</f>
        <v>Permessi 2023</v>
      </c>
      <c r="H1" s="27" t="str">
        <f>"Malattia " &amp; '2023'!$B$1</f>
        <v>Malattia 2023</v>
      </c>
    </row>
    <row r="2" spans="1:8" x14ac:dyDescent="0.25">
      <c r="A2" s="26" t="s">
        <v>20</v>
      </c>
      <c r="B2" s="30">
        <f>DATE('2023'!$B$1,1,1)</f>
        <v>44927</v>
      </c>
      <c r="D2" s="30">
        <f>DATE('2023'!$B$1,1,26)</f>
        <v>44952</v>
      </c>
      <c r="F2" s="30">
        <f>DATE('2023'!$B$1,1,2)</f>
        <v>44928</v>
      </c>
      <c r="H2" s="30">
        <f>DATE('2023'!$B$1,5,15)</f>
        <v>45061</v>
      </c>
    </row>
    <row r="3" spans="1:8" x14ac:dyDescent="0.25">
      <c r="A3" s="26" t="s">
        <v>19</v>
      </c>
      <c r="B3" s="30">
        <f>DATE('2023'!$B$1,1,6)</f>
        <v>44932</v>
      </c>
      <c r="D3" s="30">
        <f>DATE('2023'!$B$1,3,24)</f>
        <v>45009</v>
      </c>
      <c r="F3" s="30">
        <f>DATE('2023'!$B$1,1,3)</f>
        <v>44929</v>
      </c>
      <c r="H3" s="30">
        <f>DATE('2023'!$B$1,5,16)</f>
        <v>45062</v>
      </c>
    </row>
    <row r="4" spans="1:8" x14ac:dyDescent="0.25">
      <c r="A4" s="26" t="s">
        <v>21</v>
      </c>
      <c r="B4" s="30">
        <f>DATE('2023'!$B$1,4,9)</f>
        <v>45025</v>
      </c>
      <c r="D4" s="30">
        <f>DATE('2023'!$B$1,3,924)</f>
        <v>45909</v>
      </c>
      <c r="F4" s="30">
        <f>DATE('2023'!$B$1,1,4)</f>
        <v>44930</v>
      </c>
      <c r="H4" s="30">
        <f>DATE('2023'!$B$1,5,17)</f>
        <v>45063</v>
      </c>
    </row>
    <row r="5" spans="1:8" x14ac:dyDescent="0.25">
      <c r="A5" s="26" t="s">
        <v>22</v>
      </c>
      <c r="B5" s="30">
        <f>DATE('2023'!$B$1,4,10)</f>
        <v>45026</v>
      </c>
      <c r="D5" s="30">
        <f>DATE('2023'!$B$1,8,3)</f>
        <v>45141</v>
      </c>
      <c r="F5" s="30">
        <f>DATE('2023'!$B$1,1,5)</f>
        <v>44931</v>
      </c>
      <c r="H5" s="30">
        <f>DATE('2023'!$B$1,10,16)</f>
        <v>45215</v>
      </c>
    </row>
    <row r="6" spans="1:8" x14ac:dyDescent="0.25">
      <c r="A6" s="26" t="s">
        <v>23</v>
      </c>
      <c r="B6" s="30">
        <f>DATE('2023'!$B$1,4,25)</f>
        <v>45041</v>
      </c>
      <c r="D6" s="30">
        <f>DATE('2023'!$B$1,8,4)</f>
        <v>45142</v>
      </c>
      <c r="F6" s="30">
        <f>DATE('2023'!$B$1,4,7)</f>
        <v>45023</v>
      </c>
      <c r="H6" s="30">
        <f>DATE('2023'!$B$1,10,17)</f>
        <v>45216</v>
      </c>
    </row>
    <row r="7" spans="1:8" x14ac:dyDescent="0.25">
      <c r="A7" s="26" t="s">
        <v>30</v>
      </c>
      <c r="B7" s="30">
        <f>DATE('2023'!$B$1,5,1)</f>
        <v>45047</v>
      </c>
      <c r="D7" s="30">
        <f>DATE('2023'!$B$1,8,7)</f>
        <v>45145</v>
      </c>
      <c r="F7" s="30">
        <f>DATE('2023'!$B$1,4,11)</f>
        <v>45027</v>
      </c>
      <c r="H7" s="30"/>
    </row>
    <row r="8" spans="1:8" x14ac:dyDescent="0.25">
      <c r="A8" s="26" t="s">
        <v>31</v>
      </c>
      <c r="B8" s="30">
        <f>DATE('2023'!$B$1,6,2)</f>
        <v>45079</v>
      </c>
      <c r="D8" s="30">
        <f>DATE('2023'!$B$1,8,8)</f>
        <v>45146</v>
      </c>
      <c r="F8" s="30">
        <f>DATE('2023'!$B$1,4,12)</f>
        <v>45028</v>
      </c>
      <c r="H8" s="30"/>
    </row>
    <row r="9" spans="1:8" x14ac:dyDescent="0.25">
      <c r="A9" s="26" t="s">
        <v>24</v>
      </c>
      <c r="B9" s="30">
        <f>DATE('2023'!$B$1,8,15)</f>
        <v>45153</v>
      </c>
      <c r="D9" s="30">
        <f>DATE('2023'!$B$1,8,9)</f>
        <v>45147</v>
      </c>
      <c r="F9" s="30">
        <f>DATE('2023'!$B$1,4,24)</f>
        <v>45040</v>
      </c>
      <c r="H9" s="30"/>
    </row>
    <row r="10" spans="1:8" x14ac:dyDescent="0.25">
      <c r="A10" s="26" t="s">
        <v>25</v>
      </c>
      <c r="B10" s="30">
        <f>DATE('2023'!$B$1,11,1)</f>
        <v>45231</v>
      </c>
      <c r="D10" s="30">
        <f>DATE('2023'!$B$1,8,10)</f>
        <v>45148</v>
      </c>
      <c r="F10" s="30">
        <f>DATE('2023'!$B$1,5,8)</f>
        <v>45054</v>
      </c>
      <c r="H10" s="30"/>
    </row>
    <row r="11" spans="1:8" x14ac:dyDescent="0.25">
      <c r="A11" s="26" t="s">
        <v>26</v>
      </c>
      <c r="B11" s="30">
        <f>DATE('2023'!$B$1,12,8)</f>
        <v>45268</v>
      </c>
      <c r="D11" s="30">
        <f>DATE('2023'!$B$1,8,11)</f>
        <v>45149</v>
      </c>
      <c r="F11" s="30">
        <f>DATE('2023'!$B$1,6,1)</f>
        <v>45078</v>
      </c>
      <c r="H11" s="30"/>
    </row>
    <row r="12" spans="1:8" x14ac:dyDescent="0.25">
      <c r="A12" s="26" t="s">
        <v>27</v>
      </c>
      <c r="B12" s="30">
        <f>DATE('2023'!$B$1,12,25)</f>
        <v>45285</v>
      </c>
      <c r="D12" s="30">
        <f>DATE('2023'!$B$1,8,14)</f>
        <v>45152</v>
      </c>
      <c r="F12" s="30">
        <f>DATE('2023'!$B$1,7,10)</f>
        <v>45117</v>
      </c>
      <c r="H12" s="30"/>
    </row>
    <row r="13" spans="1:8" x14ac:dyDescent="0.25">
      <c r="A13" s="26" t="s">
        <v>28</v>
      </c>
      <c r="B13" s="30">
        <f>DATE('2023'!$B$1,12,26)</f>
        <v>45286</v>
      </c>
      <c r="D13" s="30">
        <f>DATE('2023'!$B$1,8,16)</f>
        <v>45154</v>
      </c>
      <c r="F13" s="30">
        <f>DATE('2023'!$B$1,8,21)</f>
        <v>45159</v>
      </c>
      <c r="H13" s="30"/>
    </row>
    <row r="14" spans="1:8" x14ac:dyDescent="0.25">
      <c r="A14" s="26" t="s">
        <v>29</v>
      </c>
      <c r="B14" s="30">
        <f>DATE('2023'!$B$1,6,24)</f>
        <v>45101</v>
      </c>
      <c r="D14" s="30">
        <f>DATE('2023'!$B$1,8,17)</f>
        <v>45155</v>
      </c>
      <c r="F14" s="30">
        <f>DATE('2023'!$B$1,8,22)</f>
        <v>45160</v>
      </c>
      <c r="H14" s="30"/>
    </row>
    <row r="15" spans="1:8" x14ac:dyDescent="0.25">
      <c r="A15" s="26"/>
      <c r="B15" s="30"/>
      <c r="D15" s="30">
        <f>DATE('2023'!$B$1,8,18)</f>
        <v>45156</v>
      </c>
      <c r="F15" s="30">
        <f>DATE('2023'!$B$1,8,23)</f>
        <v>45161</v>
      </c>
      <c r="H15" s="30"/>
    </row>
    <row r="16" spans="1:8" x14ac:dyDescent="0.25">
      <c r="A16" s="26"/>
      <c r="B16" s="30"/>
      <c r="D16" s="30">
        <f>DATE('2023'!$B$1,9,18)</f>
        <v>45187</v>
      </c>
      <c r="F16" s="30">
        <f>DATE(2023,12,1)</f>
        <v>45261</v>
      </c>
      <c r="H16" s="30"/>
    </row>
    <row r="17" spans="1:8" x14ac:dyDescent="0.25">
      <c r="A17" s="26"/>
      <c r="B17" s="30"/>
      <c r="D17" s="30">
        <f>DATE('2023'!$B$1,9,26)</f>
        <v>45195</v>
      </c>
      <c r="F17" s="30">
        <f>DATE(2023,12,4)</f>
        <v>45264</v>
      </c>
      <c r="H17" s="30"/>
    </row>
    <row r="18" spans="1:8" x14ac:dyDescent="0.25">
      <c r="A18" s="26"/>
      <c r="B18" s="30"/>
      <c r="D18" s="30">
        <f>DATE('2023'!$B$1,12,27)</f>
        <v>45287</v>
      </c>
      <c r="H18" s="30"/>
    </row>
    <row r="19" spans="1:8" x14ac:dyDescent="0.25">
      <c r="A19" s="26"/>
      <c r="B19" s="30"/>
      <c r="D19" s="30">
        <f>DATE('2023'!$B$1,12,28)</f>
        <v>45288</v>
      </c>
      <c r="F19" s="30"/>
      <c r="H19" s="30"/>
    </row>
    <row r="20" spans="1:8" x14ac:dyDescent="0.25">
      <c r="A20" s="26"/>
      <c r="B20" s="30"/>
      <c r="D20" s="30">
        <f>DATE('2023'!$B$1,12,29)</f>
        <v>45289</v>
      </c>
      <c r="F20" s="30"/>
      <c r="H20" s="30"/>
    </row>
    <row r="21" spans="1:8" x14ac:dyDescent="0.25">
      <c r="A21" s="26"/>
      <c r="B21" s="30"/>
      <c r="D21" s="30">
        <f>DATE(2023,10,6)</f>
        <v>45205</v>
      </c>
      <c r="F21" s="30"/>
      <c r="H21" s="30"/>
    </row>
    <row r="22" spans="1:8" x14ac:dyDescent="0.25">
      <c r="A22" s="26"/>
      <c r="B22" s="30"/>
      <c r="D22" s="30">
        <f>DATE(2023,12,22)</f>
        <v>45282</v>
      </c>
      <c r="F22" s="30"/>
      <c r="H22" s="30"/>
    </row>
    <row r="23" spans="1:8" x14ac:dyDescent="0.25">
      <c r="A23" s="26"/>
      <c r="B23" s="30"/>
      <c r="D23" s="30"/>
      <c r="F23" s="30"/>
      <c r="H23" s="30"/>
    </row>
    <row r="24" spans="1:8" x14ac:dyDescent="0.25">
      <c r="A24" s="26"/>
      <c r="B24" s="30"/>
      <c r="D24" s="30"/>
      <c r="F24" s="30"/>
      <c r="H24" s="30"/>
    </row>
    <row r="25" spans="1:8" x14ac:dyDescent="0.25">
      <c r="A25" s="26"/>
      <c r="B25" s="30"/>
      <c r="D25" s="30"/>
      <c r="F25" s="30"/>
      <c r="H25" s="30"/>
    </row>
    <row r="26" spans="1:8" x14ac:dyDescent="0.25">
      <c r="A26" s="26"/>
      <c r="B26" s="30"/>
      <c r="D26" s="30"/>
      <c r="F26" s="30"/>
      <c r="H26" s="30"/>
    </row>
    <row r="27" spans="1:8" x14ac:dyDescent="0.25">
      <c r="A27" s="26"/>
      <c r="B27" s="30"/>
      <c r="D27" s="30"/>
      <c r="F27" s="30"/>
      <c r="H27" s="30"/>
    </row>
    <row r="28" spans="1:8" x14ac:dyDescent="0.25">
      <c r="A28" s="26"/>
      <c r="B28" s="30"/>
      <c r="D28" s="30"/>
      <c r="F28" s="30"/>
      <c r="H28" s="30"/>
    </row>
    <row r="29" spans="1:8" x14ac:dyDescent="0.25">
      <c r="A29" s="26"/>
      <c r="B29" s="30"/>
      <c r="D29" s="30"/>
      <c r="F29" s="30"/>
      <c r="H29" s="30"/>
    </row>
    <row r="30" spans="1:8" x14ac:dyDescent="0.25">
      <c r="A30" s="26"/>
      <c r="B30" s="30"/>
      <c r="D30" s="30"/>
      <c r="F30" s="30"/>
      <c r="H30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36"/>
  <sheetViews>
    <sheetView showGridLines="0" zoomScaleNormal="100" workbookViewId="0">
      <selection activeCell="AJ27" sqref="AJ27"/>
    </sheetView>
  </sheetViews>
  <sheetFormatPr defaultRowHeight="15" x14ac:dyDescent="0.25"/>
  <cols>
    <col min="1" max="1" width="1.42578125" customWidth="1"/>
    <col min="2" max="25" width="3.5703125" customWidth="1"/>
    <col min="26" max="32" width="3.85546875" bestFit="1" customWidth="1"/>
  </cols>
  <sheetData>
    <row r="1" spans="1:34" ht="36" customHeight="1" thickBot="1" x14ac:dyDescent="0.4">
      <c r="A1" s="3"/>
      <c r="B1" s="43">
        <v>2023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34" ht="21.75" customHeight="1" thickTop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34" x14ac:dyDescent="0.25">
      <c r="B3" s="14">
        <v>1</v>
      </c>
      <c r="C3" s="2"/>
      <c r="D3" s="2"/>
      <c r="E3" s="2"/>
      <c r="F3" s="2"/>
      <c r="G3" s="2"/>
      <c r="H3" s="2"/>
      <c r="J3" s="15">
        <v>2</v>
      </c>
      <c r="K3" s="2"/>
      <c r="L3" s="2"/>
      <c r="M3" s="2"/>
      <c r="N3" s="2"/>
      <c r="O3" s="2"/>
      <c r="P3" s="2"/>
      <c r="R3" s="16">
        <v>3</v>
      </c>
      <c r="S3" s="2"/>
      <c r="T3" s="2"/>
      <c r="U3" s="2"/>
      <c r="V3" s="2"/>
      <c r="W3" s="2"/>
      <c r="X3" s="2"/>
      <c r="Z3" s="19">
        <v>4</v>
      </c>
      <c r="AA3" s="2"/>
      <c r="AB3" s="2"/>
      <c r="AC3" s="2"/>
      <c r="AD3" s="2"/>
      <c r="AE3" s="2"/>
      <c r="AF3" s="2"/>
    </row>
    <row r="4" spans="1:34" x14ac:dyDescent="0.25">
      <c r="B4" s="1" t="s">
        <v>12</v>
      </c>
      <c r="C4" s="1" t="s">
        <v>13</v>
      </c>
      <c r="D4" s="1" t="s">
        <v>14</v>
      </c>
      <c r="E4" s="1" t="s">
        <v>13</v>
      </c>
      <c r="F4" s="1" t="s">
        <v>15</v>
      </c>
      <c r="G4" s="1" t="s">
        <v>16</v>
      </c>
      <c r="H4" s="1" t="s">
        <v>16</v>
      </c>
      <c r="J4" s="1" t="s">
        <v>12</v>
      </c>
      <c r="K4" s="1" t="s">
        <v>13</v>
      </c>
      <c r="L4" s="1" t="s">
        <v>14</v>
      </c>
      <c r="M4" s="1" t="s">
        <v>13</v>
      </c>
      <c r="N4" s="1" t="s">
        <v>15</v>
      </c>
      <c r="O4" s="1" t="s">
        <v>16</v>
      </c>
      <c r="P4" s="1" t="s">
        <v>16</v>
      </c>
      <c r="R4" s="1" t="s">
        <v>12</v>
      </c>
      <c r="S4" s="1" t="s">
        <v>13</v>
      </c>
      <c r="T4" s="1" t="s">
        <v>14</v>
      </c>
      <c r="U4" s="1" t="s">
        <v>13</v>
      </c>
      <c r="V4" s="1" t="s">
        <v>15</v>
      </c>
      <c r="W4" s="1" t="s">
        <v>16</v>
      </c>
      <c r="X4" s="1" t="s">
        <v>16</v>
      </c>
      <c r="Z4" s="1" t="s">
        <v>12</v>
      </c>
      <c r="AA4" s="1" t="s">
        <v>13</v>
      </c>
      <c r="AB4" s="1" t="s">
        <v>14</v>
      </c>
      <c r="AC4" s="1" t="s">
        <v>13</v>
      </c>
      <c r="AD4" s="1" t="s">
        <v>15</v>
      </c>
      <c r="AE4" s="1" t="s">
        <v>16</v>
      </c>
      <c r="AF4" s="1" t="s">
        <v>16</v>
      </c>
      <c r="AH4" s="31" t="s">
        <v>32</v>
      </c>
    </row>
    <row r="5" spans="1:34" x14ac:dyDescent="0.25">
      <c r="B5" s="28" t="str" cm="1">
        <f t="array" ref="B5:H10">IF(MONTH(DATE($B$1,$B$3,1)+_xlfn.SEQUENCE(6,7)-WEEKDAY(DATE($B$1,$B$3,1),2))=$B$3,DATE($B$1,$B$3,1)+_xlfn.SEQUENCE(6,7)-WEEKDAY(DATE($B$1,$B$3,1),2),"")</f>
        <v/>
      </c>
      <c r="C5" s="28" t="str">
        <v/>
      </c>
      <c r="D5" s="28" t="str">
        <v/>
      </c>
      <c r="E5" s="28" t="str">
        <v/>
      </c>
      <c r="F5" s="28" t="str">
        <v/>
      </c>
      <c r="G5" s="29" t="str">
        <v/>
      </c>
      <c r="H5" s="29">
        <v>44927</v>
      </c>
      <c r="J5" s="28" t="str" cm="1">
        <f t="array" ref="J5:P10">IF(MONTH(DATE($B$1,$J$3,1)+_xlfn.SEQUENCE(6,7)-WEEKDAY(DATE($B$1,$J$3,1),2))=$J$3,DATE($B$1,$J$3,1)+_xlfn.SEQUENCE(6,7)-WEEKDAY(DATE($B$1,$J$3,1),2),"")</f>
        <v/>
      </c>
      <c r="K5" s="28" t="str">
        <v/>
      </c>
      <c r="L5" s="28">
        <v>44958</v>
      </c>
      <c r="M5" s="28">
        <v>44959</v>
      </c>
      <c r="N5" s="28">
        <v>44960</v>
      </c>
      <c r="O5" s="29">
        <v>44961</v>
      </c>
      <c r="P5" s="29">
        <v>44962</v>
      </c>
      <c r="R5" s="28" t="str" cm="1">
        <f t="array" ref="R5:X10">IF(MONTH(DATE($B$1,$R$3,1)+_xlfn.SEQUENCE(6,7)-WEEKDAY(DATE($B$1,$R$3,1),2))=$R$3,DATE($B$1,$R$3,1)+_xlfn.SEQUENCE(6,7)-WEEKDAY(DATE($B$1,$R$3,1),2),"")</f>
        <v/>
      </c>
      <c r="S5" s="28" t="str">
        <v/>
      </c>
      <c r="T5" s="28">
        <v>44986</v>
      </c>
      <c r="U5" s="28">
        <v>44987</v>
      </c>
      <c r="V5" s="28">
        <v>44988</v>
      </c>
      <c r="W5" s="29">
        <v>44989</v>
      </c>
      <c r="X5" s="29">
        <v>44990</v>
      </c>
      <c r="Z5" s="28" t="str" cm="1">
        <f t="array" ref="Z5:AF10">IF(MONTH(DATE($B$1,$Z$3,1)+_xlfn.SEQUENCE(6,7)-WEEKDAY(DATE($B$1,$Z$3,1),2))=$Z$3,DATE($B$1,$Z$3,1)+_xlfn.SEQUENCE(6,7)-WEEKDAY(DATE($B$1,$Z$3,1),2),"")</f>
        <v/>
      </c>
      <c r="AA5" s="28" t="str">
        <v/>
      </c>
      <c r="AB5" s="28" t="str">
        <v/>
      </c>
      <c r="AC5" s="28" t="str">
        <v/>
      </c>
      <c r="AD5" s="28" t="str">
        <v/>
      </c>
      <c r="AE5" s="29">
        <v>45017</v>
      </c>
      <c r="AF5" s="29">
        <v>45018</v>
      </c>
      <c r="AH5" s="32" t="s">
        <v>33</v>
      </c>
    </row>
    <row r="6" spans="1:34" x14ac:dyDescent="0.25">
      <c r="B6" s="28">
        <v>44928</v>
      </c>
      <c r="C6" s="28">
        <v>44929</v>
      </c>
      <c r="D6" s="28">
        <v>44930</v>
      </c>
      <c r="E6" s="28">
        <v>44931</v>
      </c>
      <c r="F6" s="28">
        <v>44932</v>
      </c>
      <c r="G6" s="29">
        <v>44933</v>
      </c>
      <c r="H6" s="29">
        <v>44934</v>
      </c>
      <c r="J6" s="28">
        <v>44963</v>
      </c>
      <c r="K6" s="28">
        <v>44964</v>
      </c>
      <c r="L6" s="28">
        <v>44965</v>
      </c>
      <c r="M6" s="28">
        <v>44966</v>
      </c>
      <c r="N6" s="28">
        <v>44967</v>
      </c>
      <c r="O6" s="29">
        <v>44968</v>
      </c>
      <c r="P6" s="29">
        <v>44969</v>
      </c>
      <c r="R6" s="28">
        <v>44991</v>
      </c>
      <c r="S6" s="28">
        <v>44992</v>
      </c>
      <c r="T6" s="28">
        <v>44993</v>
      </c>
      <c r="U6" s="28">
        <v>44994</v>
      </c>
      <c r="V6" s="28">
        <v>44995</v>
      </c>
      <c r="W6" s="29">
        <v>44996</v>
      </c>
      <c r="X6" s="29">
        <v>44997</v>
      </c>
      <c r="Z6" s="28">
        <v>45019</v>
      </c>
      <c r="AA6" s="28">
        <v>45020</v>
      </c>
      <c r="AB6" s="28">
        <v>45021</v>
      </c>
      <c r="AC6" s="28">
        <v>45022</v>
      </c>
      <c r="AD6" s="28">
        <v>45023</v>
      </c>
      <c r="AE6" s="29">
        <v>45024</v>
      </c>
      <c r="AF6" s="29">
        <v>45025</v>
      </c>
      <c r="AH6" s="33" t="s">
        <v>34</v>
      </c>
    </row>
    <row r="7" spans="1:34" x14ac:dyDescent="0.25">
      <c r="B7" s="28">
        <v>44935</v>
      </c>
      <c r="C7" s="28">
        <v>44936</v>
      </c>
      <c r="D7" s="28">
        <v>44937</v>
      </c>
      <c r="E7" s="28">
        <v>44938</v>
      </c>
      <c r="F7" s="28">
        <v>44939</v>
      </c>
      <c r="G7" s="29">
        <v>44940</v>
      </c>
      <c r="H7" s="29">
        <v>44941</v>
      </c>
      <c r="J7" s="28">
        <v>44970</v>
      </c>
      <c r="K7" s="28">
        <v>44971</v>
      </c>
      <c r="L7" s="28">
        <v>44972</v>
      </c>
      <c r="M7" s="28">
        <v>44973</v>
      </c>
      <c r="N7" s="28">
        <v>44974</v>
      </c>
      <c r="O7" s="29">
        <v>44975</v>
      </c>
      <c r="P7" s="29">
        <v>44976</v>
      </c>
      <c r="R7" s="28">
        <v>44998</v>
      </c>
      <c r="S7" s="28">
        <v>44999</v>
      </c>
      <c r="T7" s="28">
        <v>45000</v>
      </c>
      <c r="U7" s="28">
        <v>45001</v>
      </c>
      <c r="V7" s="28">
        <v>45002</v>
      </c>
      <c r="W7" s="29">
        <v>45003</v>
      </c>
      <c r="X7" s="29">
        <v>45004</v>
      </c>
      <c r="Z7" s="28">
        <v>45026</v>
      </c>
      <c r="AA7" s="28">
        <v>45027</v>
      </c>
      <c r="AB7" s="28">
        <v>45028</v>
      </c>
      <c r="AC7" s="28">
        <v>45029</v>
      </c>
      <c r="AD7" s="28">
        <v>45030</v>
      </c>
      <c r="AE7" s="29">
        <v>45031</v>
      </c>
      <c r="AF7" s="29">
        <v>45032</v>
      </c>
      <c r="AH7" s="34" t="s">
        <v>35</v>
      </c>
    </row>
    <row r="8" spans="1:34" x14ac:dyDescent="0.25">
      <c r="B8" s="28">
        <v>44942</v>
      </c>
      <c r="C8" s="28">
        <v>44943</v>
      </c>
      <c r="D8" s="28">
        <v>44944</v>
      </c>
      <c r="E8" s="28">
        <v>44945</v>
      </c>
      <c r="F8" s="28">
        <v>44946</v>
      </c>
      <c r="G8" s="29">
        <v>44947</v>
      </c>
      <c r="H8" s="29">
        <v>44948</v>
      </c>
      <c r="J8" s="28">
        <v>44977</v>
      </c>
      <c r="K8" s="28">
        <v>44978</v>
      </c>
      <c r="L8" s="28">
        <v>44979</v>
      </c>
      <c r="M8" s="28">
        <v>44980</v>
      </c>
      <c r="N8" s="28">
        <v>44981</v>
      </c>
      <c r="O8" s="29">
        <v>44982</v>
      </c>
      <c r="P8" s="29">
        <v>44983</v>
      </c>
      <c r="R8" s="28">
        <v>45005</v>
      </c>
      <c r="S8" s="28">
        <v>45006</v>
      </c>
      <c r="T8" s="28">
        <v>45007</v>
      </c>
      <c r="U8" s="28">
        <v>45008</v>
      </c>
      <c r="V8" s="28">
        <v>45009</v>
      </c>
      <c r="W8" s="29">
        <v>45010</v>
      </c>
      <c r="X8" s="29">
        <v>45011</v>
      </c>
      <c r="Z8" s="28">
        <v>45033</v>
      </c>
      <c r="AA8" s="28">
        <v>45034</v>
      </c>
      <c r="AB8" s="28">
        <v>45035</v>
      </c>
      <c r="AC8" s="28">
        <v>45036</v>
      </c>
      <c r="AD8" s="28">
        <v>45037</v>
      </c>
      <c r="AE8" s="29">
        <v>45038</v>
      </c>
      <c r="AF8" s="29">
        <v>45039</v>
      </c>
    </row>
    <row r="9" spans="1:34" x14ac:dyDescent="0.25">
      <c r="B9" s="28">
        <v>44949</v>
      </c>
      <c r="C9" s="28">
        <v>44950</v>
      </c>
      <c r="D9" s="28">
        <v>44951</v>
      </c>
      <c r="E9" s="28">
        <v>44952</v>
      </c>
      <c r="F9" s="28">
        <v>44953</v>
      </c>
      <c r="G9" s="29">
        <v>44954</v>
      </c>
      <c r="H9" s="29">
        <v>44955</v>
      </c>
      <c r="J9" s="28">
        <v>44984</v>
      </c>
      <c r="K9" s="28">
        <v>44985</v>
      </c>
      <c r="L9" s="28" t="str">
        <v/>
      </c>
      <c r="M9" s="28" t="str">
        <v/>
      </c>
      <c r="N9" s="28" t="str">
        <v/>
      </c>
      <c r="O9" s="29" t="str">
        <v/>
      </c>
      <c r="P9" s="29" t="str">
        <v/>
      </c>
      <c r="R9" s="28">
        <v>45012</v>
      </c>
      <c r="S9" s="28">
        <v>45013</v>
      </c>
      <c r="T9" s="28">
        <v>45014</v>
      </c>
      <c r="U9" s="28">
        <v>45015</v>
      </c>
      <c r="V9" s="28">
        <v>45016</v>
      </c>
      <c r="W9" s="29" t="str">
        <v/>
      </c>
      <c r="X9" s="29" t="str">
        <v/>
      </c>
      <c r="Z9" s="28">
        <v>45040</v>
      </c>
      <c r="AA9" s="28">
        <v>45041</v>
      </c>
      <c r="AB9" s="28">
        <v>45042</v>
      </c>
      <c r="AC9" s="28">
        <v>45043</v>
      </c>
      <c r="AD9" s="28">
        <v>45044</v>
      </c>
      <c r="AE9" s="29">
        <v>45045</v>
      </c>
      <c r="AF9" s="29">
        <v>45046</v>
      </c>
    </row>
    <row r="10" spans="1:34" x14ac:dyDescent="0.25">
      <c r="B10" s="28">
        <v>44956</v>
      </c>
      <c r="C10" s="28">
        <v>44957</v>
      </c>
      <c r="D10" s="28" t="str">
        <v/>
      </c>
      <c r="E10" s="28" t="str">
        <v/>
      </c>
      <c r="F10" s="28" t="str">
        <v/>
      </c>
      <c r="G10" s="29" t="str">
        <v/>
      </c>
      <c r="H10" s="29" t="str">
        <v/>
      </c>
      <c r="J10" s="28" t="str">
        <v/>
      </c>
      <c r="K10" s="28" t="str">
        <v/>
      </c>
      <c r="L10" s="28" t="str">
        <v/>
      </c>
      <c r="M10" s="28" t="str">
        <v/>
      </c>
      <c r="N10" s="28" t="str">
        <v/>
      </c>
      <c r="O10" s="29" t="str">
        <v/>
      </c>
      <c r="P10" s="29" t="str">
        <v/>
      </c>
      <c r="R10" s="28" t="str">
        <v/>
      </c>
      <c r="S10" s="28" t="str">
        <v/>
      </c>
      <c r="T10" s="28" t="str">
        <v/>
      </c>
      <c r="U10" s="28" t="str">
        <v/>
      </c>
      <c r="V10" s="28" t="str">
        <v/>
      </c>
      <c r="W10" s="29" t="str">
        <v/>
      </c>
      <c r="X10" s="29" t="str">
        <v/>
      </c>
      <c r="Z10" s="28" t="str">
        <v/>
      </c>
      <c r="AA10" s="28" t="str">
        <v/>
      </c>
      <c r="AB10" s="28" t="str">
        <v/>
      </c>
      <c r="AC10" s="28" t="str">
        <v/>
      </c>
      <c r="AD10" s="28" t="str">
        <v/>
      </c>
      <c r="AE10" s="29" t="str">
        <v/>
      </c>
      <c r="AF10" s="29" t="str">
        <v/>
      </c>
    </row>
    <row r="12" spans="1:34" x14ac:dyDescent="0.25">
      <c r="B12" s="18">
        <v>5</v>
      </c>
      <c r="C12" s="2"/>
      <c r="D12" s="2"/>
      <c r="E12" s="2"/>
      <c r="F12" s="2"/>
      <c r="G12" s="2"/>
      <c r="H12" s="2"/>
      <c r="J12" s="17">
        <v>6</v>
      </c>
      <c r="K12" s="2"/>
      <c r="L12" s="2"/>
      <c r="M12" s="2"/>
      <c r="N12" s="2"/>
      <c r="O12" s="2"/>
      <c r="P12" s="2"/>
      <c r="R12" s="20">
        <v>7</v>
      </c>
      <c r="S12" s="2"/>
      <c r="T12" s="2"/>
      <c r="U12" s="2"/>
      <c r="V12" s="2"/>
      <c r="W12" s="2"/>
      <c r="X12" s="2"/>
      <c r="Z12" s="21">
        <v>8</v>
      </c>
      <c r="AA12" s="2"/>
      <c r="AB12" s="2"/>
      <c r="AC12" s="2"/>
      <c r="AD12" s="2"/>
      <c r="AE12" s="2"/>
      <c r="AF12" s="2"/>
    </row>
    <row r="13" spans="1:34" x14ac:dyDescent="0.25">
      <c r="B13" s="1" t="s">
        <v>12</v>
      </c>
      <c r="C13" s="1" t="s">
        <v>13</v>
      </c>
      <c r="D13" s="1" t="s">
        <v>14</v>
      </c>
      <c r="E13" s="1" t="s">
        <v>13</v>
      </c>
      <c r="F13" s="1" t="s">
        <v>15</v>
      </c>
      <c r="G13" s="1" t="s">
        <v>16</v>
      </c>
      <c r="H13" s="1" t="s">
        <v>16</v>
      </c>
      <c r="J13" s="1" t="s">
        <v>12</v>
      </c>
      <c r="K13" s="1" t="s">
        <v>13</v>
      </c>
      <c r="L13" s="1" t="s">
        <v>14</v>
      </c>
      <c r="M13" s="1" t="s">
        <v>13</v>
      </c>
      <c r="N13" s="1" t="s">
        <v>15</v>
      </c>
      <c r="O13" s="1" t="s">
        <v>16</v>
      </c>
      <c r="P13" s="1" t="s">
        <v>16</v>
      </c>
      <c r="R13" s="1" t="s">
        <v>12</v>
      </c>
      <c r="S13" s="1" t="s">
        <v>13</v>
      </c>
      <c r="T13" s="1" t="s">
        <v>14</v>
      </c>
      <c r="U13" s="1" t="s">
        <v>13</v>
      </c>
      <c r="V13" s="1" t="s">
        <v>15</v>
      </c>
      <c r="W13" s="1" t="s">
        <v>16</v>
      </c>
      <c r="X13" s="1" t="s">
        <v>16</v>
      </c>
      <c r="Z13" s="1" t="s">
        <v>12</v>
      </c>
      <c r="AA13" s="1" t="s">
        <v>13</v>
      </c>
      <c r="AB13" s="1" t="s">
        <v>14</v>
      </c>
      <c r="AC13" s="1" t="s">
        <v>13</v>
      </c>
      <c r="AD13" s="1" t="s">
        <v>15</v>
      </c>
      <c r="AE13" s="1" t="s">
        <v>16</v>
      </c>
      <c r="AF13" s="1" t="s">
        <v>16</v>
      </c>
    </row>
    <row r="14" spans="1:34" x14ac:dyDescent="0.25">
      <c r="B14" s="28" cm="1">
        <f t="array" ref="B14:H19">IF(MONTH(DATE($B$1,$B$12,1)+_xlfn.SEQUENCE(6,7)-WEEKDAY(DATE($B$1,$B$12,1),2))=$B$12,DATE($B$1,$B$12,1)+_xlfn.SEQUENCE(6,7)-WEEKDAY(DATE($B$1,$B$12,1),2),"")</f>
        <v>45047</v>
      </c>
      <c r="C14" s="28">
        <v>45048</v>
      </c>
      <c r="D14" s="28">
        <v>45049</v>
      </c>
      <c r="E14" s="28">
        <v>45050</v>
      </c>
      <c r="F14" s="28">
        <v>45051</v>
      </c>
      <c r="G14" s="29">
        <v>45052</v>
      </c>
      <c r="H14" s="29">
        <v>45053</v>
      </c>
      <c r="J14" s="28" t="str" cm="1">
        <f t="array" ref="J14:P19">IF(MONTH(DATE($B$1,$J$12,1)+_xlfn.SEQUENCE(6,7)-WEEKDAY(DATE($B$1,$J$12,1),2))=$J$12,DATE($B$1,$J$12,1)+_xlfn.SEQUENCE(6,7)-WEEKDAY(DATE($B$1,$J$12,1),2),"")</f>
        <v/>
      </c>
      <c r="K14" s="28" t="str">
        <v/>
      </c>
      <c r="L14" s="28" t="str">
        <v/>
      </c>
      <c r="M14" s="28">
        <v>45078</v>
      </c>
      <c r="N14" s="28">
        <v>45079</v>
      </c>
      <c r="O14" s="29">
        <v>45080</v>
      </c>
      <c r="P14" s="29">
        <v>45081</v>
      </c>
      <c r="R14" s="28" t="str" cm="1">
        <f t="array" ref="R14:X19">IF(MONTH(DATE($B$1,$R$12,1)+_xlfn.SEQUENCE(6,7)-WEEKDAY(DATE($B$1,$R$12,1),2))=$R$12,DATE($B$1,$R$12,1)+_xlfn.SEQUENCE(6,7)-WEEKDAY(DATE($B$1,$R$12,1),2),"")</f>
        <v/>
      </c>
      <c r="S14" s="28" t="str">
        <v/>
      </c>
      <c r="T14" s="28" t="str">
        <v/>
      </c>
      <c r="U14" s="28" t="str">
        <v/>
      </c>
      <c r="V14" s="28" t="str">
        <v/>
      </c>
      <c r="W14" s="29">
        <v>45108</v>
      </c>
      <c r="X14" s="29">
        <v>45109</v>
      </c>
      <c r="Z14" s="28" t="str" cm="1">
        <f t="array" ref="Z14:AF19">IF(MONTH(DATE($B$1,$Z$12,1)+_xlfn.SEQUENCE(6,7)-WEEKDAY(DATE($B$1,$Z$12,1),2))=$Z$12,DATE($B$1,$Z$12,1)+_xlfn.SEQUENCE(6,7)-WEEKDAY(DATE($B$1,$Z$12,1),2),"")</f>
        <v/>
      </c>
      <c r="AA14" s="28">
        <v>45139</v>
      </c>
      <c r="AB14" s="28">
        <v>45140</v>
      </c>
      <c r="AC14" s="28">
        <v>45141</v>
      </c>
      <c r="AD14" s="28">
        <v>45142</v>
      </c>
      <c r="AE14" s="29">
        <v>45143</v>
      </c>
      <c r="AF14" s="29">
        <v>45144</v>
      </c>
    </row>
    <row r="15" spans="1:34" x14ac:dyDescent="0.25">
      <c r="B15" s="28">
        <v>45054</v>
      </c>
      <c r="C15" s="28">
        <v>45055</v>
      </c>
      <c r="D15" s="28">
        <v>45056</v>
      </c>
      <c r="E15" s="28">
        <v>45057</v>
      </c>
      <c r="F15" s="28">
        <v>45058</v>
      </c>
      <c r="G15" s="29">
        <v>45059</v>
      </c>
      <c r="H15" s="29">
        <v>45060</v>
      </c>
      <c r="J15" s="28">
        <v>45082</v>
      </c>
      <c r="K15" s="28">
        <v>45083</v>
      </c>
      <c r="L15" s="28">
        <v>45084</v>
      </c>
      <c r="M15" s="28">
        <v>45085</v>
      </c>
      <c r="N15" s="28">
        <v>45086</v>
      </c>
      <c r="O15" s="29">
        <v>45087</v>
      </c>
      <c r="P15" s="29">
        <v>45088</v>
      </c>
      <c r="R15" s="28">
        <v>45110</v>
      </c>
      <c r="S15" s="28">
        <v>45111</v>
      </c>
      <c r="T15" s="28">
        <v>45112</v>
      </c>
      <c r="U15" s="28">
        <v>45113</v>
      </c>
      <c r="V15" s="28">
        <v>45114</v>
      </c>
      <c r="W15" s="29">
        <v>45115</v>
      </c>
      <c r="X15" s="29">
        <v>45116</v>
      </c>
      <c r="Z15" s="28">
        <v>45145</v>
      </c>
      <c r="AA15" s="28">
        <v>45146</v>
      </c>
      <c r="AB15" s="28">
        <v>45147</v>
      </c>
      <c r="AC15" s="28">
        <v>45148</v>
      </c>
      <c r="AD15" s="28">
        <v>45149</v>
      </c>
      <c r="AE15" s="29">
        <v>45150</v>
      </c>
      <c r="AF15" s="29">
        <v>45151</v>
      </c>
    </row>
    <row r="16" spans="1:34" x14ac:dyDescent="0.25">
      <c r="B16" s="28">
        <v>45061</v>
      </c>
      <c r="C16" s="28">
        <v>45062</v>
      </c>
      <c r="D16" s="28">
        <v>45063</v>
      </c>
      <c r="E16" s="28">
        <v>45064</v>
      </c>
      <c r="F16" s="28">
        <v>45065</v>
      </c>
      <c r="G16" s="29">
        <v>45066</v>
      </c>
      <c r="H16" s="29">
        <v>45067</v>
      </c>
      <c r="J16" s="28">
        <v>45089</v>
      </c>
      <c r="K16" s="28">
        <v>45090</v>
      </c>
      <c r="L16" s="28">
        <v>45091</v>
      </c>
      <c r="M16" s="28">
        <v>45092</v>
      </c>
      <c r="N16" s="28">
        <v>45093</v>
      </c>
      <c r="O16" s="29">
        <v>45094</v>
      </c>
      <c r="P16" s="29">
        <v>45095</v>
      </c>
      <c r="R16" s="28">
        <v>45117</v>
      </c>
      <c r="S16" s="28">
        <v>45118</v>
      </c>
      <c r="T16" s="28">
        <v>45119</v>
      </c>
      <c r="U16" s="28">
        <v>45120</v>
      </c>
      <c r="V16" s="28">
        <v>45121</v>
      </c>
      <c r="W16" s="29">
        <v>45122</v>
      </c>
      <c r="X16" s="29">
        <v>45123</v>
      </c>
      <c r="Z16" s="28">
        <v>45152</v>
      </c>
      <c r="AA16" s="28">
        <v>45153</v>
      </c>
      <c r="AB16" s="28">
        <v>45154</v>
      </c>
      <c r="AC16" s="28">
        <v>45155</v>
      </c>
      <c r="AD16" s="28">
        <v>45156</v>
      </c>
      <c r="AE16" s="29">
        <v>45157</v>
      </c>
      <c r="AF16" s="29">
        <v>45158</v>
      </c>
    </row>
    <row r="17" spans="1:32" x14ac:dyDescent="0.25">
      <c r="B17" s="28">
        <v>45068</v>
      </c>
      <c r="C17" s="28">
        <v>45069</v>
      </c>
      <c r="D17" s="28">
        <v>45070</v>
      </c>
      <c r="E17" s="28">
        <v>45071</v>
      </c>
      <c r="F17" s="28">
        <v>45072</v>
      </c>
      <c r="G17" s="29">
        <v>45073</v>
      </c>
      <c r="H17" s="29">
        <v>45074</v>
      </c>
      <c r="J17" s="28">
        <v>45096</v>
      </c>
      <c r="K17" s="28">
        <v>45097</v>
      </c>
      <c r="L17" s="28">
        <v>45098</v>
      </c>
      <c r="M17" s="28">
        <v>45099</v>
      </c>
      <c r="N17" s="28">
        <v>45100</v>
      </c>
      <c r="O17" s="29">
        <v>45101</v>
      </c>
      <c r="P17" s="29">
        <v>45102</v>
      </c>
      <c r="R17" s="28">
        <v>45124</v>
      </c>
      <c r="S17" s="28">
        <v>45125</v>
      </c>
      <c r="T17" s="28">
        <v>45126</v>
      </c>
      <c r="U17" s="28">
        <v>45127</v>
      </c>
      <c r="V17" s="28">
        <v>45128</v>
      </c>
      <c r="W17" s="29">
        <v>45129</v>
      </c>
      <c r="X17" s="29">
        <v>45130</v>
      </c>
      <c r="Z17" s="28">
        <v>45159</v>
      </c>
      <c r="AA17" s="28">
        <v>45160</v>
      </c>
      <c r="AB17" s="28">
        <v>45161</v>
      </c>
      <c r="AC17" s="28">
        <v>45162</v>
      </c>
      <c r="AD17" s="28">
        <v>45163</v>
      </c>
      <c r="AE17" s="29">
        <v>45164</v>
      </c>
      <c r="AF17" s="29">
        <v>45165</v>
      </c>
    </row>
    <row r="18" spans="1:32" x14ac:dyDescent="0.25">
      <c r="B18" s="28">
        <v>45075</v>
      </c>
      <c r="C18" s="28">
        <v>45076</v>
      </c>
      <c r="D18" s="28">
        <v>45077</v>
      </c>
      <c r="E18" s="28" t="str">
        <v/>
      </c>
      <c r="F18" s="28" t="str">
        <v/>
      </c>
      <c r="G18" s="29" t="str">
        <v/>
      </c>
      <c r="H18" s="29" t="str">
        <v/>
      </c>
      <c r="J18" s="28">
        <v>45103</v>
      </c>
      <c r="K18" s="28">
        <v>45104</v>
      </c>
      <c r="L18" s="28">
        <v>45105</v>
      </c>
      <c r="M18" s="28">
        <v>45106</v>
      </c>
      <c r="N18" s="28">
        <v>45107</v>
      </c>
      <c r="O18" s="29" t="str">
        <v/>
      </c>
      <c r="P18" s="29" t="str">
        <v/>
      </c>
      <c r="R18" s="28">
        <v>45131</v>
      </c>
      <c r="S18" s="28">
        <v>45132</v>
      </c>
      <c r="T18" s="28">
        <v>45133</v>
      </c>
      <c r="U18" s="28">
        <v>45134</v>
      </c>
      <c r="V18" s="28">
        <v>45135</v>
      </c>
      <c r="W18" s="29">
        <v>45136</v>
      </c>
      <c r="X18" s="29">
        <v>45137</v>
      </c>
      <c r="Z18" s="28">
        <v>45166</v>
      </c>
      <c r="AA18" s="28">
        <v>45167</v>
      </c>
      <c r="AB18" s="28">
        <v>45168</v>
      </c>
      <c r="AC18" s="28">
        <v>45169</v>
      </c>
      <c r="AD18" s="28" t="str">
        <v/>
      </c>
      <c r="AE18" s="29" t="str">
        <v/>
      </c>
      <c r="AF18" s="29" t="str">
        <v/>
      </c>
    </row>
    <row r="19" spans="1:32" x14ac:dyDescent="0.25">
      <c r="B19" s="28" t="str">
        <v/>
      </c>
      <c r="C19" s="28" t="str">
        <v/>
      </c>
      <c r="D19" s="28" t="str">
        <v/>
      </c>
      <c r="E19" s="28" t="str">
        <v/>
      </c>
      <c r="F19" s="28" t="str">
        <v/>
      </c>
      <c r="G19" s="29" t="str">
        <v/>
      </c>
      <c r="H19" s="29" t="str">
        <v/>
      </c>
      <c r="J19" s="28" t="str">
        <v/>
      </c>
      <c r="K19" s="28" t="str">
        <v/>
      </c>
      <c r="L19" s="28" t="str">
        <v/>
      </c>
      <c r="M19" s="28" t="str">
        <v/>
      </c>
      <c r="N19" s="28" t="str">
        <v/>
      </c>
      <c r="O19" s="29" t="str">
        <v/>
      </c>
      <c r="P19" s="29" t="str">
        <v/>
      </c>
      <c r="R19" s="28">
        <v>45138</v>
      </c>
      <c r="S19" s="28" t="str">
        <v/>
      </c>
      <c r="T19" s="28" t="str">
        <v/>
      </c>
      <c r="U19" s="28" t="str">
        <v/>
      </c>
      <c r="V19" s="28" t="str">
        <v/>
      </c>
      <c r="W19" s="29" t="str">
        <v/>
      </c>
      <c r="X19" s="29" t="str">
        <v/>
      </c>
      <c r="Z19" s="28" t="str">
        <v/>
      </c>
      <c r="AA19" s="28" t="str">
        <v/>
      </c>
      <c r="AB19" s="28" t="str">
        <v/>
      </c>
      <c r="AC19" s="28" t="str">
        <v/>
      </c>
      <c r="AD19" s="28" t="str">
        <v/>
      </c>
      <c r="AE19" s="29" t="str">
        <v/>
      </c>
      <c r="AF19" s="29" t="str">
        <v/>
      </c>
    </row>
    <row r="21" spans="1:32" x14ac:dyDescent="0.25">
      <c r="B21" s="22">
        <v>9</v>
      </c>
      <c r="C21" s="2"/>
      <c r="D21" s="2"/>
      <c r="E21" s="2"/>
      <c r="F21" s="2"/>
      <c r="G21" s="2"/>
      <c r="H21" s="2"/>
      <c r="J21" s="25">
        <v>10</v>
      </c>
      <c r="K21" s="2"/>
      <c r="L21" s="2"/>
      <c r="M21" s="2"/>
      <c r="N21" s="2"/>
      <c r="O21" s="2"/>
      <c r="P21" s="2"/>
      <c r="R21" s="24">
        <v>11</v>
      </c>
      <c r="S21" s="2"/>
      <c r="T21" s="2"/>
      <c r="U21" s="2"/>
      <c r="V21" s="2"/>
      <c r="W21" s="2"/>
      <c r="X21" s="2"/>
      <c r="Z21" s="23">
        <v>12</v>
      </c>
      <c r="AA21" s="2"/>
      <c r="AB21" s="2"/>
      <c r="AC21" s="2"/>
      <c r="AD21" s="2"/>
      <c r="AE21" s="2"/>
      <c r="AF21" s="2"/>
    </row>
    <row r="22" spans="1:32" x14ac:dyDescent="0.25">
      <c r="B22" s="1" t="s">
        <v>12</v>
      </c>
      <c r="C22" s="1" t="s">
        <v>13</v>
      </c>
      <c r="D22" s="1" t="s">
        <v>14</v>
      </c>
      <c r="E22" s="1" t="s">
        <v>13</v>
      </c>
      <c r="F22" s="1" t="s">
        <v>15</v>
      </c>
      <c r="G22" s="1" t="s">
        <v>16</v>
      </c>
      <c r="H22" s="1" t="s">
        <v>16</v>
      </c>
      <c r="J22" s="1" t="s">
        <v>12</v>
      </c>
      <c r="K22" s="1" t="s">
        <v>13</v>
      </c>
      <c r="L22" s="1" t="s">
        <v>14</v>
      </c>
      <c r="M22" s="1" t="s">
        <v>13</v>
      </c>
      <c r="N22" s="1" t="s">
        <v>15</v>
      </c>
      <c r="O22" s="1" t="s">
        <v>16</v>
      </c>
      <c r="P22" s="1" t="s">
        <v>16</v>
      </c>
      <c r="R22" s="1" t="s">
        <v>12</v>
      </c>
      <c r="S22" s="1" t="s">
        <v>13</v>
      </c>
      <c r="T22" s="1" t="s">
        <v>14</v>
      </c>
      <c r="U22" s="1" t="s">
        <v>13</v>
      </c>
      <c r="V22" s="1" t="s">
        <v>15</v>
      </c>
      <c r="W22" s="1" t="s">
        <v>16</v>
      </c>
      <c r="X22" s="1" t="s">
        <v>16</v>
      </c>
      <c r="Z22" s="1" t="s">
        <v>12</v>
      </c>
      <c r="AA22" s="1" t="s">
        <v>13</v>
      </c>
      <c r="AB22" s="1" t="s">
        <v>14</v>
      </c>
      <c r="AC22" s="1" t="s">
        <v>13</v>
      </c>
      <c r="AD22" s="1" t="s">
        <v>15</v>
      </c>
      <c r="AE22" s="1" t="s">
        <v>16</v>
      </c>
      <c r="AF22" s="1" t="s">
        <v>16</v>
      </c>
    </row>
    <row r="23" spans="1:32" x14ac:dyDescent="0.25">
      <c r="B23" s="28" t="str" cm="1">
        <f t="array" ref="B23:H28">IF(MONTH(DATE($B$1,$B$21,1)+_xlfn.SEQUENCE(6,7)-WEEKDAY(DATE($B$1,$B$21,1),2))=$B$21,DATE($B$1,$B$21,1)+_xlfn.SEQUENCE(6,7)-WEEKDAY(DATE($B$1,$B$21,1),2),"")</f>
        <v/>
      </c>
      <c r="C23" s="28" t="str">
        <v/>
      </c>
      <c r="D23" s="28" t="str">
        <v/>
      </c>
      <c r="E23" s="28" t="str">
        <v/>
      </c>
      <c r="F23" s="28">
        <v>45170</v>
      </c>
      <c r="G23" s="29">
        <v>45171</v>
      </c>
      <c r="H23" s="29">
        <v>45172</v>
      </c>
      <c r="J23" s="28" t="str" cm="1">
        <f t="array" ref="J23:P28">IF(MONTH(DATE($B$1,$J$21,1)+_xlfn.SEQUENCE(6,7)-WEEKDAY(DATE($B$1,$J$21,1),2))=$J$21,DATE($B$1,$J$21,1)+_xlfn.SEQUENCE(6,7)-WEEKDAY(DATE($B$1,$J$21,1),2),"")</f>
        <v/>
      </c>
      <c r="K23" s="28" t="str">
        <v/>
      </c>
      <c r="L23" s="28" t="str">
        <v/>
      </c>
      <c r="M23" s="28" t="str">
        <v/>
      </c>
      <c r="N23" s="28" t="str">
        <v/>
      </c>
      <c r="O23" s="29" t="str">
        <v/>
      </c>
      <c r="P23" s="29">
        <v>45200</v>
      </c>
      <c r="R23" s="28" t="str" cm="1">
        <f t="array" ref="R23:X28">IF(MONTH(DATE($B$1,$R$21,1)+_xlfn.SEQUENCE(6,7)-WEEKDAY(DATE($B$1,$R$21,1),2))=$R$21,DATE($B$1,$R$21,1)+_xlfn.SEQUENCE(6,7)-WEEKDAY(DATE($B$1,$R$21,1),2),"")</f>
        <v/>
      </c>
      <c r="S23" s="28" t="str">
        <v/>
      </c>
      <c r="T23" s="28">
        <v>45231</v>
      </c>
      <c r="U23" s="28">
        <v>45232</v>
      </c>
      <c r="V23" s="28">
        <v>45233</v>
      </c>
      <c r="W23" s="29">
        <v>45234</v>
      </c>
      <c r="X23" s="29">
        <v>45235</v>
      </c>
      <c r="Z23" s="28" t="str" cm="1">
        <f t="array" ref="Z23:AF28">IF(MONTH(DATE($B$1,$Z$21,1)+_xlfn.SEQUENCE(6,7)-WEEKDAY(DATE($B$1,$Z$21,1),2))=$Z$21,DATE($B$1,$Z$21,1)+_xlfn.SEQUENCE(6,7)-WEEKDAY(DATE($B$1,$Z$21,1),2),"")</f>
        <v/>
      </c>
      <c r="AA23" s="28" t="str">
        <v/>
      </c>
      <c r="AB23" s="28" t="str">
        <v/>
      </c>
      <c r="AC23" s="28" t="str">
        <v/>
      </c>
      <c r="AD23" s="28">
        <v>45261</v>
      </c>
      <c r="AE23" s="29">
        <v>45262</v>
      </c>
      <c r="AF23" s="29">
        <v>45263</v>
      </c>
    </row>
    <row r="24" spans="1:32" x14ac:dyDescent="0.25">
      <c r="B24" s="28">
        <v>45173</v>
      </c>
      <c r="C24" s="28">
        <v>45174</v>
      </c>
      <c r="D24" s="28">
        <v>45175</v>
      </c>
      <c r="E24" s="28">
        <v>45176</v>
      </c>
      <c r="F24" s="28">
        <v>45177</v>
      </c>
      <c r="G24" s="29">
        <v>45178</v>
      </c>
      <c r="H24" s="29">
        <v>45179</v>
      </c>
      <c r="J24" s="28">
        <v>45201</v>
      </c>
      <c r="K24" s="28">
        <v>45202</v>
      </c>
      <c r="L24" s="28">
        <v>45203</v>
      </c>
      <c r="M24" s="28">
        <v>45204</v>
      </c>
      <c r="N24" s="28">
        <v>45205</v>
      </c>
      <c r="O24" s="29">
        <v>45206</v>
      </c>
      <c r="P24" s="29">
        <v>45207</v>
      </c>
      <c r="R24" s="28">
        <v>45236</v>
      </c>
      <c r="S24" s="28">
        <v>45237</v>
      </c>
      <c r="T24" s="28">
        <v>45238</v>
      </c>
      <c r="U24" s="28">
        <v>45239</v>
      </c>
      <c r="V24" s="28">
        <v>45240</v>
      </c>
      <c r="W24" s="29">
        <v>45241</v>
      </c>
      <c r="X24" s="29">
        <v>45242</v>
      </c>
      <c r="Z24" s="28">
        <v>45264</v>
      </c>
      <c r="AA24" s="28">
        <v>45265</v>
      </c>
      <c r="AB24" s="28">
        <v>45266</v>
      </c>
      <c r="AC24" s="28">
        <v>45267</v>
      </c>
      <c r="AD24" s="28">
        <v>45268</v>
      </c>
      <c r="AE24" s="29">
        <v>45269</v>
      </c>
      <c r="AF24" s="29">
        <v>45270</v>
      </c>
    </row>
    <row r="25" spans="1:32" x14ac:dyDescent="0.25">
      <c r="B25" s="28">
        <v>45180</v>
      </c>
      <c r="C25" s="28">
        <v>45181</v>
      </c>
      <c r="D25" s="28">
        <v>45182</v>
      </c>
      <c r="E25" s="28">
        <v>45183</v>
      </c>
      <c r="F25" s="28">
        <v>45184</v>
      </c>
      <c r="G25" s="29">
        <v>45185</v>
      </c>
      <c r="H25" s="29">
        <v>45186</v>
      </c>
      <c r="J25" s="28">
        <v>45208</v>
      </c>
      <c r="K25" s="28">
        <v>45209</v>
      </c>
      <c r="L25" s="28">
        <v>45210</v>
      </c>
      <c r="M25" s="28">
        <v>45211</v>
      </c>
      <c r="N25" s="28">
        <v>45212</v>
      </c>
      <c r="O25" s="29">
        <v>45213</v>
      </c>
      <c r="P25" s="29">
        <v>45214</v>
      </c>
      <c r="R25" s="28">
        <v>45243</v>
      </c>
      <c r="S25" s="28">
        <v>45244</v>
      </c>
      <c r="T25" s="28">
        <v>45245</v>
      </c>
      <c r="U25" s="28">
        <v>45246</v>
      </c>
      <c r="V25" s="28">
        <v>45247</v>
      </c>
      <c r="W25" s="29">
        <v>45248</v>
      </c>
      <c r="X25" s="29">
        <v>45249</v>
      </c>
      <c r="Z25" s="28">
        <v>45271</v>
      </c>
      <c r="AA25" s="28">
        <v>45272</v>
      </c>
      <c r="AB25" s="28">
        <v>45273</v>
      </c>
      <c r="AC25" s="28">
        <v>45274</v>
      </c>
      <c r="AD25" s="28">
        <v>45275</v>
      </c>
      <c r="AE25" s="29">
        <v>45276</v>
      </c>
      <c r="AF25" s="29">
        <v>45277</v>
      </c>
    </row>
    <row r="26" spans="1:32" x14ac:dyDescent="0.25">
      <c r="B26" s="28">
        <v>45187</v>
      </c>
      <c r="C26" s="28">
        <v>45188</v>
      </c>
      <c r="D26" s="28">
        <v>45189</v>
      </c>
      <c r="E26" s="28">
        <v>45190</v>
      </c>
      <c r="F26" s="28">
        <v>45191</v>
      </c>
      <c r="G26" s="29">
        <v>45192</v>
      </c>
      <c r="H26" s="29">
        <v>45193</v>
      </c>
      <c r="J26" s="28">
        <v>45215</v>
      </c>
      <c r="K26" s="28">
        <v>45216</v>
      </c>
      <c r="L26" s="28">
        <v>45217</v>
      </c>
      <c r="M26" s="28">
        <v>45218</v>
      </c>
      <c r="N26" s="28">
        <v>45219</v>
      </c>
      <c r="O26" s="29">
        <v>45220</v>
      </c>
      <c r="P26" s="29">
        <v>45221</v>
      </c>
      <c r="R26" s="28">
        <v>45250</v>
      </c>
      <c r="S26" s="28">
        <v>45251</v>
      </c>
      <c r="T26" s="28">
        <v>45252</v>
      </c>
      <c r="U26" s="28">
        <v>45253</v>
      </c>
      <c r="V26" s="28">
        <v>45254</v>
      </c>
      <c r="W26" s="29">
        <v>45255</v>
      </c>
      <c r="X26" s="29">
        <v>45256</v>
      </c>
      <c r="Z26" s="28">
        <v>45278</v>
      </c>
      <c r="AA26" s="28">
        <v>45279</v>
      </c>
      <c r="AB26" s="28">
        <v>45280</v>
      </c>
      <c r="AC26" s="28">
        <v>45281</v>
      </c>
      <c r="AD26" s="28">
        <v>45282</v>
      </c>
      <c r="AE26" s="29">
        <v>45283</v>
      </c>
      <c r="AF26" s="29">
        <v>45284</v>
      </c>
    </row>
    <row r="27" spans="1:32" x14ac:dyDescent="0.25">
      <c r="B27" s="28">
        <v>45194</v>
      </c>
      <c r="C27" s="28">
        <v>45195</v>
      </c>
      <c r="D27" s="28">
        <v>45196</v>
      </c>
      <c r="E27" s="28">
        <v>45197</v>
      </c>
      <c r="F27" s="28">
        <v>45198</v>
      </c>
      <c r="G27" s="29">
        <v>45199</v>
      </c>
      <c r="H27" s="29" t="str">
        <v/>
      </c>
      <c r="J27" s="28">
        <v>45222</v>
      </c>
      <c r="K27" s="28">
        <v>45223</v>
      </c>
      <c r="L27" s="28">
        <v>45224</v>
      </c>
      <c r="M27" s="28">
        <v>45225</v>
      </c>
      <c r="N27" s="28">
        <v>45226</v>
      </c>
      <c r="O27" s="29">
        <v>45227</v>
      </c>
      <c r="P27" s="29">
        <v>45228</v>
      </c>
      <c r="R27" s="28">
        <v>45257</v>
      </c>
      <c r="S27" s="28">
        <v>45258</v>
      </c>
      <c r="T27" s="28">
        <v>45259</v>
      </c>
      <c r="U27" s="28">
        <v>45260</v>
      </c>
      <c r="V27" s="28" t="str">
        <v/>
      </c>
      <c r="W27" s="29" t="str">
        <v/>
      </c>
      <c r="X27" s="29" t="str">
        <v/>
      </c>
      <c r="Z27" s="28">
        <v>45285</v>
      </c>
      <c r="AA27" s="28">
        <v>45286</v>
      </c>
      <c r="AB27" s="28">
        <v>45287</v>
      </c>
      <c r="AC27" s="28">
        <v>45288</v>
      </c>
      <c r="AD27" s="28">
        <v>45289</v>
      </c>
      <c r="AE27" s="29">
        <v>45290</v>
      </c>
      <c r="AF27" s="29">
        <v>45291</v>
      </c>
    </row>
    <row r="28" spans="1:32" x14ac:dyDescent="0.25">
      <c r="B28" s="28" t="str">
        <v/>
      </c>
      <c r="C28" s="28" t="str">
        <v/>
      </c>
      <c r="D28" s="28" t="str">
        <v/>
      </c>
      <c r="E28" s="28" t="str">
        <v/>
      </c>
      <c r="F28" s="28" t="str">
        <v/>
      </c>
      <c r="G28" s="29" t="str">
        <v/>
      </c>
      <c r="H28" s="29" t="str">
        <v/>
      </c>
      <c r="J28" s="28">
        <v>45229</v>
      </c>
      <c r="K28" s="28">
        <v>45230</v>
      </c>
      <c r="L28" s="28" t="str">
        <v/>
      </c>
      <c r="M28" s="28" t="str">
        <v/>
      </c>
      <c r="N28" s="28" t="str">
        <v/>
      </c>
      <c r="O28" s="29" t="str">
        <v/>
      </c>
      <c r="P28" s="29" t="str">
        <v/>
      </c>
      <c r="R28" s="28" t="str">
        <v/>
      </c>
      <c r="S28" s="28" t="str">
        <v/>
      </c>
      <c r="T28" s="28" t="str">
        <v/>
      </c>
      <c r="U28" s="28" t="str">
        <v/>
      </c>
      <c r="V28" s="28" t="str">
        <v/>
      </c>
      <c r="W28" s="29" t="str">
        <v/>
      </c>
      <c r="X28" s="29" t="str">
        <v/>
      </c>
      <c r="Z28" s="28" t="str">
        <v/>
      </c>
      <c r="AA28" s="28" t="str">
        <v/>
      </c>
      <c r="AB28" s="28" t="str">
        <v/>
      </c>
      <c r="AC28" s="28" t="str">
        <v/>
      </c>
      <c r="AD28" s="28" t="str">
        <v/>
      </c>
      <c r="AE28" s="29" t="str">
        <v/>
      </c>
      <c r="AF28" s="29" t="str">
        <v/>
      </c>
    </row>
    <row r="30" spans="1:32" ht="15.75" thickBot="1" x14ac:dyDescent="0.3">
      <c r="A30" s="4"/>
      <c r="B30" s="11" t="s">
        <v>18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3"/>
    </row>
    <row r="31" spans="1:32" x14ac:dyDescent="0.25">
      <c r="B31" s="6"/>
      <c r="X31" s="7"/>
    </row>
    <row r="32" spans="1:32" x14ac:dyDescent="0.25">
      <c r="B32" s="6"/>
      <c r="X32" s="7"/>
    </row>
    <row r="33" spans="2:27" x14ac:dyDescent="0.25">
      <c r="B33" s="6"/>
      <c r="X33" s="7"/>
    </row>
    <row r="34" spans="2:27" x14ac:dyDescent="0.25">
      <c r="B34" s="6"/>
      <c r="X34" s="7"/>
    </row>
    <row r="35" spans="2:27" x14ac:dyDescent="0.25">
      <c r="B35" s="6"/>
      <c r="X35" s="7"/>
      <c r="AA35" s="5"/>
    </row>
    <row r="36" spans="2:27" x14ac:dyDescent="0.25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10"/>
    </row>
  </sheetData>
  <mergeCells count="1">
    <mergeCell ref="B1:X1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9" id="{26A1CC71-6C47-409C-A322-627B8D33EE19}">
            <xm:f>NOT(ISERROR(VLOOKUP(B5,'Holidays 2023'!$H:$H,1,0)))</xm:f>
            <x14:dxf>
              <fill>
                <patternFill>
                  <bgColor rgb="FFFF572F"/>
                </patternFill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thin">
                  <color rgb="FFC00000"/>
                </top>
                <bottom style="thin">
                  <color rgb="FFC00000"/>
                </bottom>
                <vertical/>
                <horizontal/>
              </border>
            </x14:dxf>
          </x14:cfRule>
          <x14:cfRule type="expression" priority="10" id="{6203F670-A8F3-4D66-BFD3-EF12C62D90DB}">
            <xm:f>NOT(ISERROR(VLOOKUP(B5,'Holidays 2023'!$F:$F,1,0)))</xm:f>
            <x14:dxf>
              <fill>
                <patternFill>
                  <bgColor rgb="FFFAC04C"/>
                </patternFill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thin">
                  <color rgb="FFC00000"/>
                </top>
                <bottom style="thin">
                  <color rgb="FFC00000"/>
                </bottom>
                <vertical/>
                <horizontal/>
              </border>
            </x14:dxf>
          </x14:cfRule>
          <x14:cfRule type="expression" priority="11" id="{F473C8A6-417E-434A-AED9-F73E1D21994A}">
            <xm:f>NOT(ISERROR(VLOOKUP(B5,'Holidays 2023'!$D:$D,1,0)))</xm:f>
            <x14:dxf>
              <fill>
                <patternFill>
                  <bgColor rgb="FF07F9F3"/>
                </patternFill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thin">
                  <color rgb="FFC00000"/>
                </top>
                <bottom style="thin">
                  <color rgb="FFC00000"/>
                </bottom>
                <vertical/>
                <horizontal/>
              </border>
            </x14:dxf>
          </x14:cfRule>
          <x14:cfRule type="expression" priority="43" id="{BD8824FD-582A-44E1-8319-70C73C9E670B}">
            <xm:f>NOT(ISERROR(VLOOKUP(B5,'Holidays 2023'!$B:$B,1,0)))</xm:f>
            <x14:dxf>
              <fill>
                <patternFill>
                  <bgColor rgb="FFFF0000"/>
                </patternFill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thin">
                  <color rgb="FFC00000"/>
                </top>
                <bottom style="thin">
                  <color rgb="FFC00000"/>
                </bottom>
                <vertical/>
                <horizontal/>
              </border>
            </x14:dxf>
          </x14:cfRule>
          <xm:sqref>AH5 B5:H10 J5:P10 R5:X10 Z5:AF10 B14:H19 J14:P19 R14:X19 Z14:AF19 B23:H28 J23:P28 R23:X28 Z23:AF28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B975E-0E26-44D8-836F-0F359D446564}">
  <dimension ref="A1:T13"/>
  <sheetViews>
    <sheetView workbookViewId="0">
      <selection activeCell="G25" sqref="G25"/>
    </sheetView>
  </sheetViews>
  <sheetFormatPr defaultRowHeight="15" x14ac:dyDescent="0.25"/>
  <cols>
    <col min="1" max="1" width="7.42578125" bestFit="1" customWidth="1"/>
    <col min="2" max="2" width="8" bestFit="1" customWidth="1"/>
    <col min="3" max="3" width="10.28515625" bestFit="1" customWidth="1"/>
    <col min="4" max="4" width="8" bestFit="1" customWidth="1"/>
    <col min="5" max="5" width="9.42578125" bestFit="1" customWidth="1"/>
    <col min="6" max="6" width="12.28515625" bestFit="1" customWidth="1"/>
    <col min="7" max="7" width="8.5703125" bestFit="1" customWidth="1"/>
    <col min="8" max="8" width="10.7109375" bestFit="1" customWidth="1"/>
    <col min="9" max="9" width="12" bestFit="1" customWidth="1"/>
    <col min="11" max="11" width="7.42578125" bestFit="1" customWidth="1"/>
    <col min="12" max="12" width="9" bestFit="1" customWidth="1"/>
    <col min="13" max="13" width="10.28515625" bestFit="1" customWidth="1"/>
    <col min="14" max="14" width="9" bestFit="1" customWidth="1"/>
    <col min="15" max="15" width="9.42578125" bestFit="1" customWidth="1"/>
    <col min="16" max="16" width="12.28515625" bestFit="1" customWidth="1"/>
    <col min="17" max="17" width="8.7109375" bestFit="1" customWidth="1"/>
    <col min="18" max="18" width="10" bestFit="1" customWidth="1"/>
    <col min="19" max="19" width="10.7109375" bestFit="1" customWidth="1"/>
    <col min="20" max="20" width="12" bestFit="1" customWidth="1"/>
  </cols>
  <sheetData>
    <row r="1" spans="1:20" ht="15.75" thickBot="1" x14ac:dyDescent="0.3">
      <c r="B1" s="35" t="s">
        <v>36</v>
      </c>
      <c r="C1" s="35" t="s">
        <v>37</v>
      </c>
      <c r="D1" s="35" t="s">
        <v>38</v>
      </c>
      <c r="E1" s="35" t="s">
        <v>39</v>
      </c>
      <c r="F1" s="35" t="s">
        <v>40</v>
      </c>
      <c r="G1" s="35" t="s">
        <v>41</v>
      </c>
      <c r="H1" s="36" t="s">
        <v>42</v>
      </c>
      <c r="I1" s="36" t="s">
        <v>43</v>
      </c>
      <c r="L1" s="35" t="s">
        <v>36</v>
      </c>
      <c r="M1" s="35" t="s">
        <v>37</v>
      </c>
      <c r="N1" s="35" t="s">
        <v>38</v>
      </c>
      <c r="O1" s="35" t="s">
        <v>39</v>
      </c>
      <c r="P1" s="35" t="s">
        <v>40</v>
      </c>
      <c r="Q1" s="35" t="s">
        <v>41</v>
      </c>
      <c r="R1" s="35" t="s">
        <v>44</v>
      </c>
      <c r="S1" s="36" t="s">
        <v>42</v>
      </c>
      <c r="T1" s="36" t="s">
        <v>43</v>
      </c>
    </row>
    <row r="2" spans="1:20" x14ac:dyDescent="0.25">
      <c r="A2" s="37">
        <v>44197</v>
      </c>
      <c r="B2" s="38">
        <v>0</v>
      </c>
      <c r="C2" s="38">
        <v>0</v>
      </c>
      <c r="D2" s="38">
        <f>B2+C2</f>
        <v>0</v>
      </c>
      <c r="E2" s="38">
        <v>0</v>
      </c>
      <c r="F2" s="38">
        <v>0</v>
      </c>
      <c r="G2" s="38">
        <f>E2+F2</f>
        <v>0</v>
      </c>
      <c r="H2" s="38"/>
      <c r="I2" s="38"/>
      <c r="K2" s="37">
        <v>44562</v>
      </c>
      <c r="L2" s="38">
        <v>8.6666600000000003</v>
      </c>
      <c r="M2" s="38">
        <f>B13-H13</f>
        <v>8.6666600000000003</v>
      </c>
      <c r="N2" s="38">
        <f>L2+M2</f>
        <v>17.333320000000001</v>
      </c>
      <c r="O2" s="38">
        <v>1.66666</v>
      </c>
      <c r="P2" s="38">
        <f>E13-I13</f>
        <v>-5.3333399999999997</v>
      </c>
      <c r="Q2" s="38">
        <f>O2+P2</f>
        <v>-3.6666799999999995</v>
      </c>
      <c r="R2" s="38">
        <f>ROUND((L2+M2)/8+O2+P2,2)</f>
        <v>-1.5</v>
      </c>
      <c r="S2" s="38"/>
      <c r="T2" s="38">
        <v>1</v>
      </c>
    </row>
    <row r="3" spans="1:20" x14ac:dyDescent="0.25">
      <c r="A3" s="37">
        <v>44228</v>
      </c>
      <c r="B3" s="39">
        <v>0</v>
      </c>
      <c r="C3" s="39">
        <f>IF(C2&lt;H2,0,C2-H2)</f>
        <v>0</v>
      </c>
      <c r="D3" s="39">
        <f t="shared" ref="D3:D13" si="0">B3+C3</f>
        <v>0</v>
      </c>
      <c r="E3" s="39">
        <v>0</v>
      </c>
      <c r="F3" s="39">
        <f>IF(F2&lt;I2,0,F2-I2)</f>
        <v>0</v>
      </c>
      <c r="G3" s="39">
        <f t="shared" ref="G3:G13" si="1">E3+F3</f>
        <v>0</v>
      </c>
      <c r="H3" s="39"/>
      <c r="I3" s="39"/>
      <c r="K3" s="37">
        <v>44593</v>
      </c>
      <c r="L3" s="39">
        <f t="shared" ref="L3:L13" si="2">IF(M2&lt;S2,L2+8.66666-(S2-M2),L2+8.66666)</f>
        <v>17.333320000000001</v>
      </c>
      <c r="M3" s="39">
        <f t="shared" ref="M3:M13" si="3">IF(M2&lt;S2,0,M2-S2)</f>
        <v>8.6666600000000003</v>
      </c>
      <c r="N3" s="39">
        <f t="shared" ref="N3:N13" si="4">L3+M3</f>
        <v>25.999980000000001</v>
      </c>
      <c r="O3" s="39">
        <f t="shared" ref="O3:O13" si="5">IF(P2&lt;T2,O2+1.66666-(T2-P2),O2+1.66666)</f>
        <v>-3.0000199999999997</v>
      </c>
      <c r="P3" s="39">
        <f t="shared" ref="P3:P13" si="6">IF(P2&lt;T2,0,P2-T2)</f>
        <v>0</v>
      </c>
      <c r="Q3" s="39">
        <f t="shared" ref="Q3:Q13" si="7">O3+P3</f>
        <v>-3.0000199999999997</v>
      </c>
      <c r="R3" s="39">
        <f>ROUND((L3+M3)/8+O3+P3,2)</f>
        <v>0.25</v>
      </c>
      <c r="S3" s="39"/>
      <c r="T3" s="39"/>
    </row>
    <row r="4" spans="1:20" x14ac:dyDescent="0.25">
      <c r="A4" s="37">
        <v>44256</v>
      </c>
      <c r="B4" s="39">
        <v>0</v>
      </c>
      <c r="C4" s="39">
        <f>IF(C3&lt;H3,0,C3-H3)</f>
        <v>0</v>
      </c>
      <c r="D4" s="39">
        <f t="shared" si="0"/>
        <v>0</v>
      </c>
      <c r="E4" s="39">
        <v>0</v>
      </c>
      <c r="F4" s="39">
        <f t="shared" ref="F4:F13" si="8">IF(F3&lt;I3,0,F3-I3)</f>
        <v>0</v>
      </c>
      <c r="G4" s="39">
        <f t="shared" si="1"/>
        <v>0</v>
      </c>
      <c r="H4" s="39"/>
      <c r="I4" s="39"/>
      <c r="K4" s="37">
        <v>44621</v>
      </c>
      <c r="L4" s="39">
        <f t="shared" si="2"/>
        <v>25.999980000000001</v>
      </c>
      <c r="M4" s="39">
        <f t="shared" si="3"/>
        <v>8.6666600000000003</v>
      </c>
      <c r="N4" s="39">
        <f t="shared" si="4"/>
        <v>34.666640000000001</v>
      </c>
      <c r="O4" s="39">
        <f t="shared" si="5"/>
        <v>-1.3333599999999997</v>
      </c>
      <c r="P4" s="39">
        <f t="shared" si="6"/>
        <v>0</v>
      </c>
      <c r="Q4" s="39">
        <f t="shared" si="7"/>
        <v>-1.3333599999999997</v>
      </c>
      <c r="R4" s="39">
        <f t="shared" ref="R4:R13" si="9">ROUND((L4+M4)/8+O4+P4,2)</f>
        <v>3</v>
      </c>
      <c r="S4" s="39"/>
      <c r="T4" s="39"/>
    </row>
    <row r="5" spans="1:20" x14ac:dyDescent="0.25">
      <c r="A5" s="37">
        <v>44287</v>
      </c>
      <c r="B5" s="39">
        <v>0</v>
      </c>
      <c r="C5" s="39">
        <f t="shared" ref="C5:C12" si="10">IF(C4&lt;H4,0,C4-H4)</f>
        <v>0</v>
      </c>
      <c r="D5" s="39">
        <f t="shared" si="0"/>
        <v>0</v>
      </c>
      <c r="E5" s="39">
        <v>0</v>
      </c>
      <c r="F5" s="39">
        <f t="shared" si="8"/>
        <v>0</v>
      </c>
      <c r="G5" s="39">
        <f t="shared" si="1"/>
        <v>0</v>
      </c>
      <c r="H5" s="39"/>
      <c r="I5" s="39"/>
      <c r="K5" s="37">
        <v>44652</v>
      </c>
      <c r="L5" s="39">
        <f t="shared" si="2"/>
        <v>34.666640000000001</v>
      </c>
      <c r="M5" s="39">
        <f t="shared" si="3"/>
        <v>8.6666600000000003</v>
      </c>
      <c r="N5" s="39">
        <f t="shared" si="4"/>
        <v>43.333300000000001</v>
      </c>
      <c r="O5" s="39">
        <f t="shared" si="5"/>
        <v>0.33330000000000037</v>
      </c>
      <c r="P5" s="39">
        <f t="shared" si="6"/>
        <v>0</v>
      </c>
      <c r="Q5" s="39">
        <f t="shared" si="7"/>
        <v>0.33330000000000037</v>
      </c>
      <c r="R5" s="39">
        <f t="shared" si="9"/>
        <v>5.75</v>
      </c>
      <c r="S5" s="39">
        <v>7</v>
      </c>
      <c r="T5" s="39"/>
    </row>
    <row r="6" spans="1:20" x14ac:dyDescent="0.25">
      <c r="A6" s="37">
        <v>44317</v>
      </c>
      <c r="B6" s="39">
        <v>0</v>
      </c>
      <c r="C6" s="39">
        <f t="shared" si="10"/>
        <v>0</v>
      </c>
      <c r="D6" s="39">
        <f t="shared" si="0"/>
        <v>0</v>
      </c>
      <c r="E6" s="39">
        <v>0</v>
      </c>
      <c r="F6" s="39">
        <f t="shared" si="8"/>
        <v>0</v>
      </c>
      <c r="G6" s="39">
        <f t="shared" si="1"/>
        <v>0</v>
      </c>
      <c r="H6" s="39"/>
      <c r="I6" s="39"/>
      <c r="K6" s="37">
        <v>44682</v>
      </c>
      <c r="L6" s="39">
        <f t="shared" si="2"/>
        <v>43.333300000000001</v>
      </c>
      <c r="M6" s="39">
        <f t="shared" si="3"/>
        <v>1.6666600000000003</v>
      </c>
      <c r="N6" s="39">
        <f t="shared" si="4"/>
        <v>44.999960000000002</v>
      </c>
      <c r="O6" s="39">
        <f t="shared" si="5"/>
        <v>1.9999600000000004</v>
      </c>
      <c r="P6" s="39">
        <f t="shared" si="6"/>
        <v>0</v>
      </c>
      <c r="Q6" s="39">
        <f t="shared" si="7"/>
        <v>1.9999600000000004</v>
      </c>
      <c r="R6" s="39">
        <f t="shared" si="9"/>
        <v>7.62</v>
      </c>
      <c r="S6" s="39">
        <v>3</v>
      </c>
      <c r="T6" s="39"/>
    </row>
    <row r="7" spans="1:20" x14ac:dyDescent="0.25">
      <c r="A7" s="37">
        <v>44348</v>
      </c>
      <c r="B7" s="39">
        <v>0</v>
      </c>
      <c r="C7" s="39">
        <f t="shared" si="10"/>
        <v>0</v>
      </c>
      <c r="D7" s="39">
        <f t="shared" si="0"/>
        <v>0</v>
      </c>
      <c r="E7" s="39">
        <v>0</v>
      </c>
      <c r="F7" s="39">
        <f t="shared" si="8"/>
        <v>0</v>
      </c>
      <c r="G7" s="39">
        <f t="shared" si="1"/>
        <v>0</v>
      </c>
      <c r="H7" s="39"/>
      <c r="I7" s="39"/>
      <c r="K7" s="37">
        <v>44713</v>
      </c>
      <c r="L7" s="39">
        <f t="shared" si="2"/>
        <v>50.666620000000002</v>
      </c>
      <c r="M7" s="39">
        <f t="shared" si="3"/>
        <v>0</v>
      </c>
      <c r="N7" s="39">
        <f t="shared" si="4"/>
        <v>50.666620000000002</v>
      </c>
      <c r="O7" s="39">
        <f t="shared" si="5"/>
        <v>3.6666200000000004</v>
      </c>
      <c r="P7" s="39">
        <f t="shared" si="6"/>
        <v>0</v>
      </c>
      <c r="Q7" s="39">
        <f t="shared" si="7"/>
        <v>3.6666200000000004</v>
      </c>
      <c r="R7" s="39">
        <f t="shared" si="9"/>
        <v>10</v>
      </c>
      <c r="S7" s="39"/>
      <c r="T7" s="39">
        <v>1</v>
      </c>
    </row>
    <row r="8" spans="1:20" x14ac:dyDescent="0.25">
      <c r="A8" s="37">
        <v>44378</v>
      </c>
      <c r="B8" s="39">
        <v>0</v>
      </c>
      <c r="C8" s="39">
        <f>IF(C7&lt;H7,0,C7-H7)</f>
        <v>0</v>
      </c>
      <c r="D8" s="39">
        <f t="shared" si="0"/>
        <v>0</v>
      </c>
      <c r="E8" s="39">
        <v>0</v>
      </c>
      <c r="F8" s="39">
        <f t="shared" si="8"/>
        <v>0</v>
      </c>
      <c r="G8" s="39">
        <f t="shared" si="1"/>
        <v>0</v>
      </c>
      <c r="H8" s="39"/>
      <c r="I8" s="39"/>
      <c r="K8" s="37">
        <v>44743</v>
      </c>
      <c r="L8" s="39">
        <f t="shared" si="2"/>
        <v>59.333280000000002</v>
      </c>
      <c r="M8" s="39">
        <f t="shared" si="3"/>
        <v>0</v>
      </c>
      <c r="N8" s="39">
        <f t="shared" si="4"/>
        <v>59.333280000000002</v>
      </c>
      <c r="O8" s="39">
        <f t="shared" si="5"/>
        <v>4.3332800000000002</v>
      </c>
      <c r="P8" s="39">
        <f t="shared" si="6"/>
        <v>0</v>
      </c>
      <c r="Q8" s="39">
        <f t="shared" si="7"/>
        <v>4.3332800000000002</v>
      </c>
      <c r="R8" s="39">
        <f t="shared" si="9"/>
        <v>11.75</v>
      </c>
      <c r="S8" s="39"/>
      <c r="T8" s="39">
        <v>5</v>
      </c>
    </row>
    <row r="9" spans="1:20" x14ac:dyDescent="0.25">
      <c r="A9" s="37">
        <v>44409</v>
      </c>
      <c r="B9" s="39">
        <v>0</v>
      </c>
      <c r="C9" s="39">
        <f t="shared" si="10"/>
        <v>0</v>
      </c>
      <c r="D9" s="39">
        <f t="shared" si="0"/>
        <v>0</v>
      </c>
      <c r="E9" s="39">
        <v>0</v>
      </c>
      <c r="F9" s="39">
        <f t="shared" si="8"/>
        <v>0</v>
      </c>
      <c r="G9" s="39">
        <f t="shared" si="1"/>
        <v>0</v>
      </c>
      <c r="H9" s="39"/>
      <c r="I9" s="39"/>
      <c r="K9" s="37">
        <v>44774</v>
      </c>
      <c r="L9" s="39">
        <f t="shared" si="2"/>
        <v>67.999940000000009</v>
      </c>
      <c r="M9" s="39">
        <f t="shared" si="3"/>
        <v>0</v>
      </c>
      <c r="N9" s="39">
        <f t="shared" si="4"/>
        <v>67.999940000000009</v>
      </c>
      <c r="O9" s="39">
        <f t="shared" si="5"/>
        <v>0.9999400000000005</v>
      </c>
      <c r="P9" s="39">
        <f t="shared" si="6"/>
        <v>0</v>
      </c>
      <c r="Q9" s="39">
        <f t="shared" si="7"/>
        <v>0.9999400000000005</v>
      </c>
      <c r="R9" s="39">
        <f t="shared" si="9"/>
        <v>9.5</v>
      </c>
      <c r="S9" s="39"/>
      <c r="T9" s="39">
        <v>5</v>
      </c>
    </row>
    <row r="10" spans="1:20" x14ac:dyDescent="0.25">
      <c r="A10" s="37">
        <v>44440</v>
      </c>
      <c r="B10" s="39">
        <v>0</v>
      </c>
      <c r="C10" s="39">
        <f t="shared" si="10"/>
        <v>0</v>
      </c>
      <c r="D10" s="39">
        <f t="shared" si="0"/>
        <v>0</v>
      </c>
      <c r="E10" s="39">
        <v>0</v>
      </c>
      <c r="F10" s="39">
        <f t="shared" si="8"/>
        <v>0</v>
      </c>
      <c r="G10" s="39">
        <f t="shared" si="1"/>
        <v>0</v>
      </c>
      <c r="H10" s="39"/>
      <c r="I10" s="39"/>
      <c r="K10" s="37">
        <v>44805</v>
      </c>
      <c r="L10" s="39">
        <f t="shared" si="2"/>
        <v>76.666600000000017</v>
      </c>
      <c r="M10" s="39">
        <f t="shared" si="3"/>
        <v>0</v>
      </c>
      <c r="N10" s="39">
        <f t="shared" si="4"/>
        <v>76.666600000000017</v>
      </c>
      <c r="O10" s="39">
        <f t="shared" si="5"/>
        <v>-2.3333999999999993</v>
      </c>
      <c r="P10" s="39">
        <f t="shared" si="6"/>
        <v>0</v>
      </c>
      <c r="Q10" s="39">
        <f t="shared" si="7"/>
        <v>-2.3333999999999993</v>
      </c>
      <c r="R10" s="39">
        <f t="shared" si="9"/>
        <v>7.25</v>
      </c>
      <c r="S10" s="39">
        <v>16</v>
      </c>
      <c r="T10" s="39"/>
    </row>
    <row r="11" spans="1:20" x14ac:dyDescent="0.25">
      <c r="A11" s="37">
        <v>44470</v>
      </c>
      <c r="B11" s="39">
        <v>0</v>
      </c>
      <c r="C11" s="39">
        <f t="shared" si="10"/>
        <v>0</v>
      </c>
      <c r="D11" s="39">
        <f t="shared" si="0"/>
        <v>0</v>
      </c>
      <c r="E11" s="39">
        <v>0</v>
      </c>
      <c r="F11" s="39">
        <f t="shared" si="8"/>
        <v>0</v>
      </c>
      <c r="G11" s="39">
        <f t="shared" si="1"/>
        <v>0</v>
      </c>
      <c r="H11" s="39"/>
      <c r="I11" s="39"/>
      <c r="K11" s="37">
        <v>44835</v>
      </c>
      <c r="L11" s="39">
        <f t="shared" si="2"/>
        <v>69.333260000000024</v>
      </c>
      <c r="M11" s="39">
        <f t="shared" si="3"/>
        <v>0</v>
      </c>
      <c r="N11" s="39">
        <f t="shared" si="4"/>
        <v>69.333260000000024</v>
      </c>
      <c r="O11" s="39">
        <f t="shared" si="5"/>
        <v>-0.66673999999999922</v>
      </c>
      <c r="P11" s="39">
        <f t="shared" si="6"/>
        <v>0</v>
      </c>
      <c r="Q11" s="39">
        <f t="shared" si="7"/>
        <v>-0.66673999999999922</v>
      </c>
      <c r="R11" s="39">
        <f t="shared" si="9"/>
        <v>8</v>
      </c>
      <c r="S11" s="39">
        <v>10</v>
      </c>
      <c r="T11" s="39">
        <v>1</v>
      </c>
    </row>
    <row r="12" spans="1:20" x14ac:dyDescent="0.25">
      <c r="A12" s="37">
        <v>44501</v>
      </c>
      <c r="B12" s="39">
        <v>0</v>
      </c>
      <c r="C12" s="39">
        <f t="shared" si="10"/>
        <v>0</v>
      </c>
      <c r="D12" s="39">
        <f t="shared" si="0"/>
        <v>0</v>
      </c>
      <c r="E12" s="39">
        <v>0</v>
      </c>
      <c r="F12" s="39">
        <f t="shared" si="8"/>
        <v>0</v>
      </c>
      <c r="G12" s="39">
        <f t="shared" si="1"/>
        <v>0</v>
      </c>
      <c r="H12" s="39"/>
      <c r="I12" s="39"/>
      <c r="K12" s="37">
        <v>44866</v>
      </c>
      <c r="L12" s="39">
        <f t="shared" si="2"/>
        <v>67.999920000000031</v>
      </c>
      <c r="M12" s="39">
        <f t="shared" si="3"/>
        <v>0</v>
      </c>
      <c r="N12" s="39">
        <f t="shared" si="4"/>
        <v>67.999920000000031</v>
      </c>
      <c r="O12" s="39">
        <f t="shared" si="5"/>
        <v>-7.9999999999191829E-5</v>
      </c>
      <c r="P12" s="39">
        <f t="shared" si="6"/>
        <v>0</v>
      </c>
      <c r="Q12" s="39">
        <f t="shared" si="7"/>
        <v>-7.9999999999191829E-5</v>
      </c>
      <c r="R12" s="39">
        <f t="shared" si="9"/>
        <v>8.5</v>
      </c>
      <c r="S12" s="39"/>
      <c r="T12" s="39"/>
    </row>
    <row r="13" spans="1:20" x14ac:dyDescent="0.25">
      <c r="A13" s="37">
        <v>44531</v>
      </c>
      <c r="B13" s="39">
        <f>IF(C12&lt;H12,B12+8.66666-(H12-C12),B12+8.66666)</f>
        <v>8.6666600000000003</v>
      </c>
      <c r="C13" s="39">
        <f>IF(C12&lt;H12,0,C12-H12)</f>
        <v>0</v>
      </c>
      <c r="D13" s="39">
        <f t="shared" si="0"/>
        <v>8.6666600000000003</v>
      </c>
      <c r="E13" s="39">
        <f>IF(F12&lt;I12,E12+1.66666-(I12-F12),E12+1.66666)</f>
        <v>1.66666</v>
      </c>
      <c r="F13" s="39">
        <f t="shared" si="8"/>
        <v>0</v>
      </c>
      <c r="G13" s="39">
        <f t="shared" si="1"/>
        <v>1.66666</v>
      </c>
      <c r="H13" s="39"/>
      <c r="I13" s="39">
        <v>7</v>
      </c>
      <c r="K13" s="37">
        <v>44896</v>
      </c>
      <c r="L13" s="39">
        <f t="shared" si="2"/>
        <v>76.666580000000039</v>
      </c>
      <c r="M13" s="39">
        <f t="shared" si="3"/>
        <v>0</v>
      </c>
      <c r="N13" s="39">
        <f t="shared" si="4"/>
        <v>76.666580000000039</v>
      </c>
      <c r="O13" s="39">
        <f t="shared" si="5"/>
        <v>1.6665800000000008</v>
      </c>
      <c r="P13" s="39">
        <f t="shared" si="6"/>
        <v>0</v>
      </c>
      <c r="Q13" s="39">
        <f t="shared" si="7"/>
        <v>1.6665800000000008</v>
      </c>
      <c r="R13" s="39">
        <f t="shared" si="9"/>
        <v>11.25</v>
      </c>
      <c r="S13" s="39">
        <v>36</v>
      </c>
      <c r="T13" s="39">
        <v>2</v>
      </c>
    </row>
  </sheetData>
  <conditionalFormatting sqref="B1:T13">
    <cfRule type="cellIs" dxfId="20" priority="2" operator="lessThan">
      <formula>0</formula>
    </cfRule>
  </conditionalFormatting>
  <conditionalFormatting sqref="H2:I13">
    <cfRule type="cellIs" dxfId="19" priority="3" operator="greaterThan">
      <formula>0</formula>
    </cfRule>
  </conditionalFormatting>
  <conditionalFormatting sqref="S2:T13">
    <cfRule type="cellIs" dxfId="18" priority="1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5EAD-764B-43C7-9610-F43E158A32E6}">
  <dimension ref="A1:T13"/>
  <sheetViews>
    <sheetView workbookViewId="0">
      <selection activeCell="H26" sqref="H26"/>
    </sheetView>
  </sheetViews>
  <sheetFormatPr defaultRowHeight="15" x14ac:dyDescent="0.25"/>
  <cols>
    <col min="1" max="1" width="7.42578125" bestFit="1" customWidth="1"/>
    <col min="2" max="2" width="9" bestFit="1" customWidth="1"/>
    <col min="3" max="3" width="10.28515625" bestFit="1" customWidth="1"/>
    <col min="4" max="4" width="9" bestFit="1" customWidth="1"/>
    <col min="5" max="5" width="9.42578125" bestFit="1" customWidth="1"/>
    <col min="6" max="6" width="12.28515625" bestFit="1" customWidth="1"/>
    <col min="7" max="7" width="8.7109375" bestFit="1" customWidth="1"/>
    <col min="8" max="8" width="13.85546875" bestFit="1" customWidth="1"/>
    <col min="9" max="9" width="16" bestFit="1" customWidth="1"/>
    <col min="11" max="11" width="7.42578125" bestFit="1" customWidth="1"/>
    <col min="12" max="12" width="9" bestFit="1" customWidth="1"/>
    <col min="13" max="13" width="10.28515625" bestFit="1" customWidth="1"/>
    <col min="14" max="14" width="9" bestFit="1" customWidth="1"/>
    <col min="15" max="15" width="9.42578125" bestFit="1" customWidth="1"/>
    <col min="16" max="16" width="12.28515625" bestFit="1" customWidth="1"/>
    <col min="17" max="17" width="9" bestFit="1" customWidth="1"/>
    <col min="18" max="18" width="10" bestFit="1" customWidth="1"/>
    <col min="19" max="19" width="13.85546875" bestFit="1" customWidth="1"/>
    <col min="20" max="20" width="16" bestFit="1" customWidth="1"/>
  </cols>
  <sheetData>
    <row r="1" spans="1:20" ht="15.75" thickBot="1" x14ac:dyDescent="0.3">
      <c r="B1" s="35" t="s">
        <v>36</v>
      </c>
      <c r="C1" s="35" t="s">
        <v>37</v>
      </c>
      <c r="D1" s="35" t="s">
        <v>38</v>
      </c>
      <c r="E1" s="35" t="s">
        <v>39</v>
      </c>
      <c r="F1" s="35" t="s">
        <v>40</v>
      </c>
      <c r="G1" s="35" t="s">
        <v>41</v>
      </c>
      <c r="H1" s="36" t="s">
        <v>45</v>
      </c>
      <c r="I1" s="36" t="s">
        <v>46</v>
      </c>
      <c r="L1" s="35" t="s">
        <v>36</v>
      </c>
      <c r="M1" s="35" t="s">
        <v>37</v>
      </c>
      <c r="N1" s="35" t="s">
        <v>38</v>
      </c>
      <c r="O1" s="35" t="s">
        <v>39</v>
      </c>
      <c r="P1" s="35" t="s">
        <v>40</v>
      </c>
      <c r="Q1" s="35" t="s">
        <v>41</v>
      </c>
      <c r="R1" s="35" t="s">
        <v>44</v>
      </c>
      <c r="S1" s="36" t="s">
        <v>45</v>
      </c>
      <c r="T1" s="36" t="s">
        <v>46</v>
      </c>
    </row>
    <row r="2" spans="1:20" x14ac:dyDescent="0.25">
      <c r="A2" s="37">
        <v>44562</v>
      </c>
      <c r="B2" s="38">
        <v>8.6666600000000003</v>
      </c>
      <c r="C2" s="38">
        <f>'TimeOff 2021-2022'!M2</f>
        <v>8.6666600000000003</v>
      </c>
      <c r="D2" s="40">
        <f>B2+C2</f>
        <v>17.333320000000001</v>
      </c>
      <c r="E2" s="38">
        <v>1.66666</v>
      </c>
      <c r="F2" s="38">
        <f>'TimeOff 2021-2022'!P2</f>
        <v>-5.3333399999999997</v>
      </c>
      <c r="G2" s="40">
        <f>E2+F2</f>
        <v>-3.6666799999999995</v>
      </c>
      <c r="H2" s="38"/>
      <c r="I2" s="38">
        <v>1</v>
      </c>
      <c r="K2" s="37">
        <v>44927</v>
      </c>
      <c r="L2" s="38">
        <v>8.6666600000000003</v>
      </c>
      <c r="M2" s="38">
        <f>B13-H13</f>
        <v>40.666580000000039</v>
      </c>
      <c r="N2" s="40">
        <f>L2+M2</f>
        <v>49.333240000000039</v>
      </c>
      <c r="O2" s="38">
        <v>1.66666</v>
      </c>
      <c r="P2" s="38">
        <f>E13-I13</f>
        <v>-0.33341999999999916</v>
      </c>
      <c r="Q2" s="40">
        <f>O2+P2</f>
        <v>1.3332400000000009</v>
      </c>
      <c r="R2" s="38">
        <f>ROUND((L2+M2)/8+O2+P2,2)</f>
        <v>7.5</v>
      </c>
      <c r="S2" s="38">
        <v>32</v>
      </c>
      <c r="T2" s="38">
        <v>1</v>
      </c>
    </row>
    <row r="3" spans="1:20" x14ac:dyDescent="0.25">
      <c r="A3" s="37">
        <v>44593</v>
      </c>
      <c r="B3" s="39">
        <f>IF(C2&lt;H2,B2+8.66666-(H2-C2),B2+8.66666)</f>
        <v>17.333320000000001</v>
      </c>
      <c r="C3" s="39">
        <f>IF(C2&lt;H2,0,C2-H2)</f>
        <v>8.6666600000000003</v>
      </c>
      <c r="D3" s="41">
        <f t="shared" ref="D3:D13" si="0">B3+C3</f>
        <v>25.999980000000001</v>
      </c>
      <c r="E3" s="39">
        <f>IF(F2&lt;I2,E2+1.66666-(I2-F2),E2+1.66666)</f>
        <v>-3.0000199999999997</v>
      </c>
      <c r="F3" s="39">
        <f>IF(F2&lt;I2,0,F2-I2)</f>
        <v>0</v>
      </c>
      <c r="G3" s="41">
        <f t="shared" ref="G3:G13" si="1">E3+F3</f>
        <v>-3.0000199999999997</v>
      </c>
      <c r="H3" s="39"/>
      <c r="I3" s="39"/>
      <c r="K3" s="37">
        <v>44958</v>
      </c>
      <c r="L3" s="39">
        <f t="shared" ref="L3:L13" si="2">IF(M2&lt;S2,L2+8.66666-(S2-M2),L2+8.66666)</f>
        <v>17.333320000000001</v>
      </c>
      <c r="M3" s="39">
        <f t="shared" ref="M3:M13" si="3">IF(M2&lt;S2,0,M2-S2)</f>
        <v>8.6665800000000388</v>
      </c>
      <c r="N3" s="41">
        <f t="shared" ref="N3:N13" si="4">L3+M3</f>
        <v>25.999900000000039</v>
      </c>
      <c r="O3" s="39">
        <f t="shared" ref="O3:O13" si="5">IF(P2&lt;T2,O2+1.66666-(T2-P2),O2+1.66666)</f>
        <v>1.9999000000000009</v>
      </c>
      <c r="P3" s="39">
        <f t="shared" ref="P3:P13" si="6">IF(P2&lt;T2,0,P2-T2)</f>
        <v>0</v>
      </c>
      <c r="Q3" s="41">
        <f t="shared" ref="Q3:Q13" si="7">O3+P3</f>
        <v>1.9999000000000009</v>
      </c>
      <c r="R3" s="39">
        <f>ROUND((L3+M3)/8+O3+P3,2)</f>
        <v>5.25</v>
      </c>
      <c r="S3" s="39"/>
      <c r="T3" s="39"/>
    </row>
    <row r="4" spans="1:20" x14ac:dyDescent="0.25">
      <c r="A4" s="37">
        <v>44621</v>
      </c>
      <c r="B4" s="39">
        <f t="shared" ref="B4:B13" si="8">IF(C3&lt;H3,B3+8.66666-(H3-C3),B3+8.66666)</f>
        <v>25.999980000000001</v>
      </c>
      <c r="C4" s="39">
        <f t="shared" ref="C4:C13" si="9">IF(C3&lt;H3,0,C3-H3)</f>
        <v>8.6666600000000003</v>
      </c>
      <c r="D4" s="41">
        <f t="shared" si="0"/>
        <v>34.666640000000001</v>
      </c>
      <c r="E4" s="39">
        <f t="shared" ref="E4:E13" si="10">IF(F3&lt;I3,E3+1.66666-(I3-F3),E3+1.66666)</f>
        <v>-1.3333599999999997</v>
      </c>
      <c r="F4" s="39">
        <f t="shared" ref="F4:F13" si="11">IF(F3&lt;I3,0,F3-I3)</f>
        <v>0</v>
      </c>
      <c r="G4" s="41">
        <f t="shared" si="1"/>
        <v>-1.3333599999999997</v>
      </c>
      <c r="H4" s="39"/>
      <c r="I4" s="39"/>
      <c r="K4" s="37">
        <v>44986</v>
      </c>
      <c r="L4" s="39">
        <f t="shared" si="2"/>
        <v>25.999980000000001</v>
      </c>
      <c r="M4" s="39">
        <f t="shared" si="3"/>
        <v>8.6665800000000388</v>
      </c>
      <c r="N4" s="41">
        <f t="shared" si="4"/>
        <v>34.66656000000004</v>
      </c>
      <c r="O4" s="39">
        <f t="shared" si="5"/>
        <v>3.6665600000000009</v>
      </c>
      <c r="P4" s="39">
        <f t="shared" si="6"/>
        <v>0</v>
      </c>
      <c r="Q4" s="41">
        <f t="shared" si="7"/>
        <v>3.6665600000000009</v>
      </c>
      <c r="R4" s="39">
        <f t="shared" ref="R4:R13" si="12">ROUND((L4+M4)/8+O4+P4,2)</f>
        <v>8</v>
      </c>
      <c r="S4" s="39"/>
      <c r="T4" s="39">
        <v>1</v>
      </c>
    </row>
    <row r="5" spans="1:20" x14ac:dyDescent="0.25">
      <c r="A5" s="37">
        <v>44652</v>
      </c>
      <c r="B5" s="39">
        <f t="shared" si="8"/>
        <v>34.666640000000001</v>
      </c>
      <c r="C5" s="39">
        <f t="shared" si="9"/>
        <v>8.6666600000000003</v>
      </c>
      <c r="D5" s="41">
        <f t="shared" si="0"/>
        <v>43.333300000000001</v>
      </c>
      <c r="E5" s="39">
        <f t="shared" si="10"/>
        <v>0.33330000000000037</v>
      </c>
      <c r="F5" s="39">
        <f t="shared" si="11"/>
        <v>0</v>
      </c>
      <c r="G5" s="41">
        <f t="shared" si="1"/>
        <v>0.33330000000000037</v>
      </c>
      <c r="H5" s="39">
        <v>7</v>
      </c>
      <c r="I5" s="39"/>
      <c r="K5" s="37">
        <v>45017</v>
      </c>
      <c r="L5" s="39">
        <f t="shared" si="2"/>
        <v>34.666640000000001</v>
      </c>
      <c r="M5" s="39">
        <f t="shared" si="3"/>
        <v>8.6665800000000388</v>
      </c>
      <c r="N5" s="41">
        <f t="shared" si="4"/>
        <v>43.33322000000004</v>
      </c>
      <c r="O5" s="39">
        <f t="shared" si="5"/>
        <v>4.3332200000000007</v>
      </c>
      <c r="P5" s="39">
        <f t="shared" si="6"/>
        <v>0</v>
      </c>
      <c r="Q5" s="41">
        <f t="shared" si="7"/>
        <v>4.3332200000000007</v>
      </c>
      <c r="R5" s="39">
        <f t="shared" si="12"/>
        <v>9.75</v>
      </c>
      <c r="S5" s="39">
        <v>32</v>
      </c>
      <c r="T5" s="39"/>
    </row>
    <row r="6" spans="1:20" x14ac:dyDescent="0.25">
      <c r="A6" s="37">
        <v>44682</v>
      </c>
      <c r="B6" s="39">
        <f t="shared" si="8"/>
        <v>43.333300000000001</v>
      </c>
      <c r="C6" s="39">
        <f t="shared" si="9"/>
        <v>1.6666600000000003</v>
      </c>
      <c r="D6" s="41">
        <f t="shared" si="0"/>
        <v>44.999960000000002</v>
      </c>
      <c r="E6" s="39">
        <f t="shared" si="10"/>
        <v>1.9999600000000004</v>
      </c>
      <c r="F6" s="39">
        <f t="shared" si="11"/>
        <v>0</v>
      </c>
      <c r="G6" s="41">
        <f t="shared" si="1"/>
        <v>1.9999600000000004</v>
      </c>
      <c r="H6" s="39">
        <v>3</v>
      </c>
      <c r="I6" s="39"/>
      <c r="K6" s="37">
        <v>45047</v>
      </c>
      <c r="L6" s="39">
        <f t="shared" si="2"/>
        <v>19.99988000000004</v>
      </c>
      <c r="M6" s="39">
        <f t="shared" si="3"/>
        <v>0</v>
      </c>
      <c r="N6" s="41">
        <f t="shared" si="4"/>
        <v>19.99988000000004</v>
      </c>
      <c r="O6" s="39">
        <f t="shared" si="5"/>
        <v>5.999880000000001</v>
      </c>
      <c r="P6" s="39">
        <f t="shared" si="6"/>
        <v>0</v>
      </c>
      <c r="Q6" s="41">
        <f t="shared" si="7"/>
        <v>5.999880000000001</v>
      </c>
      <c r="R6" s="39">
        <f t="shared" si="12"/>
        <v>8.5</v>
      </c>
      <c r="S6" s="39">
        <v>8</v>
      </c>
      <c r="T6" s="39"/>
    </row>
    <row r="7" spans="1:20" x14ac:dyDescent="0.25">
      <c r="A7" s="37">
        <v>44713</v>
      </c>
      <c r="B7" s="39">
        <f t="shared" si="8"/>
        <v>50.666620000000002</v>
      </c>
      <c r="C7" s="39">
        <f t="shared" si="9"/>
        <v>0</v>
      </c>
      <c r="D7" s="41">
        <f t="shared" si="0"/>
        <v>50.666620000000002</v>
      </c>
      <c r="E7" s="39">
        <f t="shared" si="10"/>
        <v>3.6666200000000004</v>
      </c>
      <c r="F7" s="39">
        <f t="shared" si="11"/>
        <v>0</v>
      </c>
      <c r="G7" s="41">
        <f t="shared" si="1"/>
        <v>3.6666200000000004</v>
      </c>
      <c r="H7" s="39"/>
      <c r="I7" s="39">
        <v>1</v>
      </c>
      <c r="K7" s="37">
        <v>45078</v>
      </c>
      <c r="L7" s="39">
        <f t="shared" si="2"/>
        <v>20.66654000000004</v>
      </c>
      <c r="M7" s="39">
        <f t="shared" si="3"/>
        <v>0</v>
      </c>
      <c r="N7" s="41">
        <f t="shared" si="4"/>
        <v>20.66654000000004</v>
      </c>
      <c r="O7" s="39">
        <f t="shared" si="5"/>
        <v>7.6665400000000012</v>
      </c>
      <c r="P7" s="39">
        <f t="shared" si="6"/>
        <v>0</v>
      </c>
      <c r="Q7" s="41">
        <f t="shared" si="7"/>
        <v>7.6665400000000012</v>
      </c>
      <c r="R7" s="39">
        <f t="shared" si="12"/>
        <v>10.25</v>
      </c>
      <c r="S7" s="39">
        <v>8</v>
      </c>
      <c r="T7" s="39"/>
    </row>
    <row r="8" spans="1:20" x14ac:dyDescent="0.25">
      <c r="A8" s="37">
        <v>44743</v>
      </c>
      <c r="B8" s="39">
        <f t="shared" si="8"/>
        <v>59.333280000000002</v>
      </c>
      <c r="C8" s="39">
        <f t="shared" si="9"/>
        <v>0</v>
      </c>
      <c r="D8" s="41">
        <f t="shared" si="0"/>
        <v>59.333280000000002</v>
      </c>
      <c r="E8" s="39">
        <f t="shared" si="10"/>
        <v>4.3332800000000002</v>
      </c>
      <c r="F8" s="39">
        <f>IF(F7&lt;I7,0,F7-I7)</f>
        <v>0</v>
      </c>
      <c r="G8" s="41">
        <f t="shared" si="1"/>
        <v>4.3332800000000002</v>
      </c>
      <c r="H8" s="39"/>
      <c r="I8" s="39">
        <v>5</v>
      </c>
      <c r="K8" s="37">
        <v>45108</v>
      </c>
      <c r="L8" s="39">
        <f t="shared" si="2"/>
        <v>21.333200000000041</v>
      </c>
      <c r="M8" s="39">
        <f t="shared" si="3"/>
        <v>0</v>
      </c>
      <c r="N8" s="41">
        <f t="shared" si="4"/>
        <v>21.333200000000041</v>
      </c>
      <c r="O8" s="39">
        <f t="shared" si="5"/>
        <v>9.3332000000000015</v>
      </c>
      <c r="P8" s="39">
        <f t="shared" si="6"/>
        <v>0</v>
      </c>
      <c r="Q8" s="41">
        <f t="shared" si="7"/>
        <v>9.3332000000000015</v>
      </c>
      <c r="R8" s="39">
        <f t="shared" si="12"/>
        <v>12</v>
      </c>
      <c r="S8" s="39">
        <v>8</v>
      </c>
      <c r="T8" s="39"/>
    </row>
    <row r="9" spans="1:20" x14ac:dyDescent="0.25">
      <c r="A9" s="37">
        <v>44774</v>
      </c>
      <c r="B9" s="39">
        <f t="shared" si="8"/>
        <v>67.999940000000009</v>
      </c>
      <c r="C9" s="39">
        <f t="shared" si="9"/>
        <v>0</v>
      </c>
      <c r="D9" s="41">
        <f t="shared" si="0"/>
        <v>67.999940000000009</v>
      </c>
      <c r="E9" s="39">
        <f t="shared" si="10"/>
        <v>0.9999400000000005</v>
      </c>
      <c r="F9" s="39">
        <f t="shared" si="11"/>
        <v>0</v>
      </c>
      <c r="G9" s="41">
        <f t="shared" si="1"/>
        <v>0.9999400000000005</v>
      </c>
      <c r="H9" s="39"/>
      <c r="I9" s="39">
        <v>5</v>
      </c>
      <c r="K9" s="37">
        <v>45139</v>
      </c>
      <c r="L9" s="39">
        <f t="shared" si="2"/>
        <v>21.999860000000041</v>
      </c>
      <c r="M9" s="39">
        <f t="shared" si="3"/>
        <v>0</v>
      </c>
      <c r="N9" s="41">
        <f t="shared" si="4"/>
        <v>21.999860000000041</v>
      </c>
      <c r="O9" s="39">
        <f t="shared" si="5"/>
        <v>10.999860000000002</v>
      </c>
      <c r="P9" s="39">
        <f t="shared" si="6"/>
        <v>0</v>
      </c>
      <c r="Q9" s="41">
        <f t="shared" si="7"/>
        <v>10.999860000000002</v>
      </c>
      <c r="R9" s="39">
        <f t="shared" si="12"/>
        <v>13.75</v>
      </c>
      <c r="S9" s="39">
        <v>24</v>
      </c>
      <c r="T9" s="39">
        <v>11</v>
      </c>
    </row>
    <row r="10" spans="1:20" x14ac:dyDescent="0.25">
      <c r="A10" s="37">
        <v>44805</v>
      </c>
      <c r="B10" s="39">
        <f t="shared" si="8"/>
        <v>76.666600000000017</v>
      </c>
      <c r="C10" s="39">
        <f t="shared" si="9"/>
        <v>0</v>
      </c>
      <c r="D10" s="41">
        <f t="shared" si="0"/>
        <v>76.666600000000017</v>
      </c>
      <c r="E10" s="39">
        <f t="shared" si="10"/>
        <v>-2.3333999999999993</v>
      </c>
      <c r="F10" s="39">
        <f t="shared" si="11"/>
        <v>0</v>
      </c>
      <c r="G10" s="41">
        <f t="shared" si="1"/>
        <v>-2.3333999999999993</v>
      </c>
      <c r="H10" s="39">
        <v>16</v>
      </c>
      <c r="I10" s="39"/>
      <c r="K10" s="37">
        <v>45170</v>
      </c>
      <c r="L10" s="39">
        <f t="shared" si="2"/>
        <v>6.6665200000000411</v>
      </c>
      <c r="M10" s="39">
        <f t="shared" si="3"/>
        <v>0</v>
      </c>
      <c r="N10" s="41">
        <f t="shared" si="4"/>
        <v>6.6665200000000411</v>
      </c>
      <c r="O10" s="39">
        <f t="shared" si="5"/>
        <v>1.666520000000002</v>
      </c>
      <c r="P10" s="39">
        <f t="shared" si="6"/>
        <v>0</v>
      </c>
      <c r="Q10" s="41">
        <f t="shared" si="7"/>
        <v>1.666520000000002</v>
      </c>
      <c r="R10" s="39">
        <f t="shared" si="12"/>
        <v>2.5</v>
      </c>
      <c r="S10" s="39"/>
      <c r="T10" s="39">
        <v>2</v>
      </c>
    </row>
    <row r="11" spans="1:20" x14ac:dyDescent="0.25">
      <c r="A11" s="37">
        <v>44835</v>
      </c>
      <c r="B11" s="39">
        <f t="shared" si="8"/>
        <v>69.333260000000024</v>
      </c>
      <c r="C11" s="39">
        <f t="shared" si="9"/>
        <v>0</v>
      </c>
      <c r="D11" s="41">
        <f t="shared" si="0"/>
        <v>69.333260000000024</v>
      </c>
      <c r="E11" s="39">
        <f t="shared" si="10"/>
        <v>-0.66673999999999922</v>
      </c>
      <c r="F11" s="39">
        <f t="shared" si="11"/>
        <v>0</v>
      </c>
      <c r="G11" s="41">
        <f t="shared" si="1"/>
        <v>-0.66673999999999922</v>
      </c>
      <c r="H11" s="39">
        <v>10</v>
      </c>
      <c r="I11" s="39">
        <v>1</v>
      </c>
      <c r="K11" s="37">
        <v>45200</v>
      </c>
      <c r="L11" s="39">
        <f t="shared" si="2"/>
        <v>15.333180000000041</v>
      </c>
      <c r="M11" s="39">
        <f t="shared" si="3"/>
        <v>0</v>
      </c>
      <c r="N11" s="41">
        <f t="shared" si="4"/>
        <v>15.333180000000041</v>
      </c>
      <c r="O11" s="39">
        <f t="shared" si="5"/>
        <v>1.3331800000000023</v>
      </c>
      <c r="P11" s="39">
        <f t="shared" si="6"/>
        <v>0</v>
      </c>
      <c r="Q11" s="41">
        <f t="shared" si="7"/>
        <v>1.3331800000000023</v>
      </c>
      <c r="R11" s="39">
        <f t="shared" si="12"/>
        <v>3.25</v>
      </c>
      <c r="S11" s="39">
        <v>8</v>
      </c>
      <c r="T11" s="39"/>
    </row>
    <row r="12" spans="1:20" x14ac:dyDescent="0.25">
      <c r="A12" s="37">
        <v>44866</v>
      </c>
      <c r="B12" s="39">
        <f t="shared" si="8"/>
        <v>67.999920000000031</v>
      </c>
      <c r="C12" s="39">
        <f t="shared" si="9"/>
        <v>0</v>
      </c>
      <c r="D12" s="41">
        <f t="shared" si="0"/>
        <v>67.999920000000031</v>
      </c>
      <c r="E12" s="39">
        <f>IF(F11&lt;I11,E11+1.66666-(I11-F11),E11+1.66666)</f>
        <v>-7.9999999999191829E-5</v>
      </c>
      <c r="F12" s="39">
        <f t="shared" si="11"/>
        <v>0</v>
      </c>
      <c r="G12" s="41">
        <f t="shared" si="1"/>
        <v>-7.9999999999191829E-5</v>
      </c>
      <c r="H12" s="39"/>
      <c r="I12" s="39"/>
      <c r="K12" s="37">
        <v>45231</v>
      </c>
      <c r="L12" s="39">
        <f t="shared" si="2"/>
        <v>15.999840000000042</v>
      </c>
      <c r="M12" s="39">
        <f t="shared" si="3"/>
        <v>0</v>
      </c>
      <c r="N12" s="41">
        <f t="shared" si="4"/>
        <v>15.999840000000042</v>
      </c>
      <c r="O12" s="39">
        <f t="shared" si="5"/>
        <v>2.9998400000000025</v>
      </c>
      <c r="P12" s="39">
        <f t="shared" si="6"/>
        <v>0</v>
      </c>
      <c r="Q12" s="41">
        <f t="shared" si="7"/>
        <v>2.9998400000000025</v>
      </c>
      <c r="R12" s="39">
        <f t="shared" si="12"/>
        <v>5</v>
      </c>
      <c r="S12" s="39"/>
      <c r="T12" s="39"/>
    </row>
    <row r="13" spans="1:20" x14ac:dyDescent="0.25">
      <c r="A13" s="37">
        <v>44896</v>
      </c>
      <c r="B13" s="39">
        <f t="shared" si="8"/>
        <v>76.666580000000039</v>
      </c>
      <c r="C13" s="39">
        <f t="shared" si="9"/>
        <v>0</v>
      </c>
      <c r="D13" s="41">
        <f t="shared" si="0"/>
        <v>76.666580000000039</v>
      </c>
      <c r="E13" s="39">
        <f t="shared" si="10"/>
        <v>1.6665800000000008</v>
      </c>
      <c r="F13" s="39">
        <f t="shared" si="11"/>
        <v>0</v>
      </c>
      <c r="G13" s="41">
        <f t="shared" si="1"/>
        <v>1.6665800000000008</v>
      </c>
      <c r="H13" s="39">
        <v>36</v>
      </c>
      <c r="I13" s="39">
        <v>2</v>
      </c>
      <c r="K13" s="37">
        <v>45261</v>
      </c>
      <c r="L13" s="39">
        <f t="shared" si="2"/>
        <v>24.666500000000042</v>
      </c>
      <c r="M13" s="39">
        <f t="shared" si="3"/>
        <v>0</v>
      </c>
      <c r="N13" s="41">
        <f t="shared" si="4"/>
        <v>24.666500000000042</v>
      </c>
      <c r="O13" s="39">
        <f t="shared" si="5"/>
        <v>4.6665000000000028</v>
      </c>
      <c r="P13" s="39">
        <f t="shared" si="6"/>
        <v>0</v>
      </c>
      <c r="Q13" s="41">
        <f t="shared" si="7"/>
        <v>4.6665000000000028</v>
      </c>
      <c r="R13" s="39">
        <f t="shared" si="12"/>
        <v>7.75</v>
      </c>
      <c r="S13" s="39">
        <v>16</v>
      </c>
      <c r="T13" s="39">
        <v>3</v>
      </c>
    </row>
  </sheetData>
  <conditionalFormatting sqref="B1:T13">
    <cfRule type="cellIs" dxfId="17" priority="2" operator="lessThan">
      <formula>0</formula>
    </cfRule>
  </conditionalFormatting>
  <conditionalFormatting sqref="H2:I13">
    <cfRule type="cellIs" dxfId="16" priority="3" operator="greaterThan">
      <formula>0</formula>
    </cfRule>
  </conditionalFormatting>
  <conditionalFormatting sqref="S2:T13">
    <cfRule type="cellIs" dxfId="15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6B29-A52E-4914-A0A0-C74C81EE73AE}">
  <dimension ref="A1:T13"/>
  <sheetViews>
    <sheetView workbookViewId="0">
      <selection activeCell="S2" sqref="S2"/>
    </sheetView>
  </sheetViews>
  <sheetFormatPr defaultRowHeight="15" x14ac:dyDescent="0.25"/>
  <cols>
    <col min="1" max="1" width="7.42578125" bestFit="1" customWidth="1"/>
    <col min="2" max="2" width="9" bestFit="1" customWidth="1"/>
    <col min="3" max="3" width="10.28515625" bestFit="1" customWidth="1"/>
    <col min="4" max="4" width="9" bestFit="1" customWidth="1"/>
    <col min="5" max="5" width="9.42578125" bestFit="1" customWidth="1"/>
    <col min="6" max="6" width="12.28515625" bestFit="1" customWidth="1"/>
    <col min="7" max="7" width="9" bestFit="1" customWidth="1"/>
    <col min="8" max="8" width="13.85546875" bestFit="1" customWidth="1"/>
    <col min="9" max="9" width="16" bestFit="1" customWidth="1"/>
    <col min="11" max="11" width="7.42578125" bestFit="1" customWidth="1"/>
    <col min="12" max="12" width="10" bestFit="1" customWidth="1"/>
    <col min="13" max="13" width="10.28515625" bestFit="1" customWidth="1"/>
    <col min="14" max="14" width="10" bestFit="1" customWidth="1"/>
    <col min="15" max="15" width="9.42578125" bestFit="1" customWidth="1"/>
    <col min="16" max="16" width="12.28515625" bestFit="1" customWidth="1"/>
    <col min="17" max="17" width="9" bestFit="1" customWidth="1"/>
    <col min="18" max="18" width="10" bestFit="1" customWidth="1"/>
    <col min="19" max="19" width="13.85546875" bestFit="1" customWidth="1"/>
    <col min="20" max="20" width="16" bestFit="1" customWidth="1"/>
  </cols>
  <sheetData>
    <row r="1" spans="1:20" ht="15.75" thickBot="1" x14ac:dyDescent="0.3">
      <c r="A1" s="42"/>
      <c r="B1" s="35" t="s">
        <v>36</v>
      </c>
      <c r="C1" s="35" t="s">
        <v>37</v>
      </c>
      <c r="D1" s="35" t="s">
        <v>38</v>
      </c>
      <c r="E1" s="35" t="s">
        <v>39</v>
      </c>
      <c r="F1" s="35" t="s">
        <v>40</v>
      </c>
      <c r="G1" s="35" t="s">
        <v>41</v>
      </c>
      <c r="H1" s="36" t="s">
        <v>45</v>
      </c>
      <c r="I1" s="36" t="s">
        <v>46</v>
      </c>
      <c r="L1" s="35" t="s">
        <v>36</v>
      </c>
      <c r="M1" s="35" t="s">
        <v>37</v>
      </c>
      <c r="N1" s="35" t="s">
        <v>38</v>
      </c>
      <c r="O1" s="35" t="s">
        <v>39</v>
      </c>
      <c r="P1" s="35" t="s">
        <v>40</v>
      </c>
      <c r="Q1" s="35" t="s">
        <v>41</v>
      </c>
      <c r="R1" s="35" t="s">
        <v>44</v>
      </c>
      <c r="S1" s="36" t="s">
        <v>45</v>
      </c>
      <c r="T1" s="36" t="s">
        <v>46</v>
      </c>
    </row>
    <row r="2" spans="1:20" x14ac:dyDescent="0.25">
      <c r="A2" s="37">
        <v>44927</v>
      </c>
      <c r="B2" s="38">
        <v>8.6666600000000003</v>
      </c>
      <c r="C2" s="38">
        <f>'TimeOff 2022-2023'!M2</f>
        <v>40.666580000000039</v>
      </c>
      <c r="D2" s="40">
        <f>B2+C2</f>
        <v>49.333240000000039</v>
      </c>
      <c r="E2" s="38">
        <v>1.66666</v>
      </c>
      <c r="F2" s="38">
        <f>'TimeOff 2022-2023'!P2</f>
        <v>-0.33341999999999916</v>
      </c>
      <c r="G2" s="40">
        <f>E2+F2</f>
        <v>1.3332400000000009</v>
      </c>
      <c r="H2" s="38">
        <v>32</v>
      </c>
      <c r="I2" s="38">
        <v>1</v>
      </c>
      <c r="K2" s="37">
        <v>45292</v>
      </c>
      <c r="L2" s="38">
        <v>8.6666600000000003</v>
      </c>
      <c r="M2" s="38">
        <f>B13-H13</f>
        <v>-1.3334999999999582</v>
      </c>
      <c r="N2" s="40">
        <f>L2+M2</f>
        <v>7.3331600000000421</v>
      </c>
      <c r="O2" s="38">
        <v>1.66666</v>
      </c>
      <c r="P2" s="38">
        <f>E13-I13</f>
        <v>-0.33349999999999724</v>
      </c>
      <c r="Q2" s="40">
        <f>O2+P2</f>
        <v>1.3331600000000028</v>
      </c>
      <c r="R2" s="38">
        <f>ROUND((L2+M2)/8+O2+P2,2)</f>
        <v>2.25</v>
      </c>
      <c r="S2" s="38">
        <v>8</v>
      </c>
      <c r="T2" s="38">
        <v>1</v>
      </c>
    </row>
    <row r="3" spans="1:20" x14ac:dyDescent="0.25">
      <c r="A3" s="37">
        <v>44958</v>
      </c>
      <c r="B3" s="39">
        <f>IF(C2&lt;H2,B2+8.66666-(H2-C2),B2+8.66666)</f>
        <v>17.333320000000001</v>
      </c>
      <c r="C3" s="39">
        <f>IF(C2&lt;H2,0,C2-H2)</f>
        <v>8.6665800000000388</v>
      </c>
      <c r="D3" s="41">
        <f t="shared" ref="D3:D13" si="0">B3+C3</f>
        <v>25.999900000000039</v>
      </c>
      <c r="E3" s="39">
        <f>IF(F2&lt;I2,E2+1.66666-(I2-F2),E2+1.66666)</f>
        <v>1.9999000000000009</v>
      </c>
      <c r="F3" s="39">
        <f>IF(F2&lt;I2,0,F2-I2)</f>
        <v>0</v>
      </c>
      <c r="G3" s="41">
        <f t="shared" ref="G3:G13" si="1">E3+F3</f>
        <v>1.9999000000000009</v>
      </c>
      <c r="H3" s="39"/>
      <c r="I3" s="39"/>
      <c r="K3" s="37">
        <v>45323</v>
      </c>
      <c r="L3" s="39">
        <f t="shared" ref="L3:L13" si="2">IF(M2&lt;S2,L2+8.66666-(S2-M2),L2+8.66666)</f>
        <v>7.9998200000000423</v>
      </c>
      <c r="M3" s="39">
        <f t="shared" ref="M3:M13" si="3">IF(M2&lt;S2,0,M2-S2)</f>
        <v>0</v>
      </c>
      <c r="N3" s="41">
        <f t="shared" ref="N3:N13" si="4">L3+M3</f>
        <v>7.9998200000000423</v>
      </c>
      <c r="O3" s="39">
        <f t="shared" ref="O3:O13" si="5">IF(P2&lt;T2,O2+1.66666-(T2-P2),O2+1.66666)</f>
        <v>1.9998200000000028</v>
      </c>
      <c r="P3" s="39">
        <f t="shared" ref="P3:P13" si="6">IF(P2&lt;T2,0,P2-T2)</f>
        <v>0</v>
      </c>
      <c r="Q3" s="41">
        <f t="shared" ref="Q3:Q13" si="7">O3+P3</f>
        <v>1.9998200000000028</v>
      </c>
      <c r="R3" s="39">
        <f>ROUND((L3+M3)/8+O3+P3,2)</f>
        <v>3</v>
      </c>
      <c r="S3" s="39"/>
      <c r="T3" s="39"/>
    </row>
    <row r="4" spans="1:20" x14ac:dyDescent="0.25">
      <c r="A4" s="37">
        <v>44986</v>
      </c>
      <c r="B4" s="39">
        <f t="shared" ref="B4:B13" si="8">IF(C3&lt;H3,B3+8.66666-(H3-C3),B3+8.66666)</f>
        <v>25.999980000000001</v>
      </c>
      <c r="C4" s="39">
        <f t="shared" ref="C4:C13" si="9">IF(C3&lt;H3,0,C3-H3)</f>
        <v>8.6665800000000388</v>
      </c>
      <c r="D4" s="41">
        <f t="shared" si="0"/>
        <v>34.66656000000004</v>
      </c>
      <c r="E4" s="39">
        <f t="shared" ref="E4:E13" si="10">IF(F3&lt;I3,E3+1.66666-(I3-F3),E3+1.66666)</f>
        <v>3.6665600000000009</v>
      </c>
      <c r="F4" s="39">
        <f t="shared" ref="F4:F13" si="11">IF(F3&lt;I3,0,F3-I3)</f>
        <v>0</v>
      </c>
      <c r="G4" s="41">
        <f t="shared" si="1"/>
        <v>3.6665600000000009</v>
      </c>
      <c r="H4" s="39"/>
      <c r="I4" s="39">
        <v>1</v>
      </c>
      <c r="K4" s="37">
        <v>45352</v>
      </c>
      <c r="L4" s="39">
        <f t="shared" si="2"/>
        <v>16.666480000000043</v>
      </c>
      <c r="M4" s="39">
        <f t="shared" si="3"/>
        <v>0</v>
      </c>
      <c r="N4" s="41">
        <f t="shared" si="4"/>
        <v>16.666480000000043</v>
      </c>
      <c r="O4" s="39">
        <f t="shared" si="5"/>
        <v>3.6664800000000026</v>
      </c>
      <c r="P4" s="39">
        <f t="shared" si="6"/>
        <v>0</v>
      </c>
      <c r="Q4" s="41">
        <f t="shared" si="7"/>
        <v>3.6664800000000026</v>
      </c>
      <c r="R4" s="39">
        <f t="shared" ref="R4:R12" si="12">ROUND((L4+M4)/8+O4+P4,2)</f>
        <v>5.75</v>
      </c>
      <c r="S4" s="39"/>
      <c r="T4" s="39"/>
    </row>
    <row r="5" spans="1:20" x14ac:dyDescent="0.25">
      <c r="A5" s="37">
        <v>45017</v>
      </c>
      <c r="B5" s="39">
        <f t="shared" si="8"/>
        <v>34.666640000000001</v>
      </c>
      <c r="C5" s="39">
        <f t="shared" si="9"/>
        <v>8.6665800000000388</v>
      </c>
      <c r="D5" s="41">
        <f t="shared" si="0"/>
        <v>43.33322000000004</v>
      </c>
      <c r="E5" s="39">
        <f t="shared" si="10"/>
        <v>4.3332200000000007</v>
      </c>
      <c r="F5" s="39">
        <f t="shared" si="11"/>
        <v>0</v>
      </c>
      <c r="G5" s="41">
        <f t="shared" si="1"/>
        <v>4.3332200000000007</v>
      </c>
      <c r="H5" s="39">
        <v>32</v>
      </c>
      <c r="I5" s="39"/>
      <c r="K5" s="37">
        <v>45383</v>
      </c>
      <c r="L5" s="39">
        <f t="shared" si="2"/>
        <v>25.333140000000043</v>
      </c>
      <c r="M5" s="39">
        <f t="shared" si="3"/>
        <v>0</v>
      </c>
      <c r="N5" s="41">
        <f t="shared" si="4"/>
        <v>25.333140000000043</v>
      </c>
      <c r="O5" s="39">
        <f t="shared" si="5"/>
        <v>5.3331400000000029</v>
      </c>
      <c r="P5" s="39">
        <f t="shared" si="6"/>
        <v>0</v>
      </c>
      <c r="Q5" s="41">
        <f t="shared" si="7"/>
        <v>5.3331400000000029</v>
      </c>
      <c r="R5" s="39">
        <f t="shared" si="12"/>
        <v>8.5</v>
      </c>
      <c r="S5" s="39"/>
      <c r="T5" s="39"/>
    </row>
    <row r="6" spans="1:20" x14ac:dyDescent="0.25">
      <c r="A6" s="37">
        <v>45047</v>
      </c>
      <c r="B6" s="39">
        <f t="shared" si="8"/>
        <v>19.99988000000004</v>
      </c>
      <c r="C6" s="39">
        <f t="shared" si="9"/>
        <v>0</v>
      </c>
      <c r="D6" s="41">
        <f t="shared" si="0"/>
        <v>19.99988000000004</v>
      </c>
      <c r="E6" s="39">
        <f t="shared" si="10"/>
        <v>5.999880000000001</v>
      </c>
      <c r="F6" s="39">
        <f t="shared" si="11"/>
        <v>0</v>
      </c>
      <c r="G6" s="41">
        <f t="shared" si="1"/>
        <v>5.999880000000001</v>
      </c>
      <c r="H6" s="39">
        <v>8</v>
      </c>
      <c r="I6" s="39"/>
      <c r="K6" s="37">
        <v>45413</v>
      </c>
      <c r="L6" s="39">
        <f t="shared" si="2"/>
        <v>33.999800000000043</v>
      </c>
      <c r="M6" s="39">
        <f t="shared" si="3"/>
        <v>0</v>
      </c>
      <c r="N6" s="41">
        <f t="shared" si="4"/>
        <v>33.999800000000043</v>
      </c>
      <c r="O6" s="39">
        <f t="shared" si="5"/>
        <v>6.9998000000000031</v>
      </c>
      <c r="P6" s="39">
        <f t="shared" si="6"/>
        <v>0</v>
      </c>
      <c r="Q6" s="41">
        <f t="shared" si="7"/>
        <v>6.9998000000000031</v>
      </c>
      <c r="R6" s="39">
        <f t="shared" si="12"/>
        <v>11.25</v>
      </c>
      <c r="S6" s="39"/>
      <c r="T6" s="39"/>
    </row>
    <row r="7" spans="1:20" x14ac:dyDescent="0.25">
      <c r="A7" s="37">
        <v>45078</v>
      </c>
      <c r="B7" s="39">
        <f t="shared" si="8"/>
        <v>20.66654000000004</v>
      </c>
      <c r="C7" s="39">
        <f t="shared" si="9"/>
        <v>0</v>
      </c>
      <c r="D7" s="41">
        <f t="shared" si="0"/>
        <v>20.66654000000004</v>
      </c>
      <c r="E7" s="39">
        <f t="shared" si="10"/>
        <v>7.6665400000000012</v>
      </c>
      <c r="F7" s="39">
        <f t="shared" si="11"/>
        <v>0</v>
      </c>
      <c r="G7" s="41">
        <f t="shared" si="1"/>
        <v>7.6665400000000012</v>
      </c>
      <c r="H7" s="39">
        <v>8</v>
      </c>
      <c r="I7" s="39"/>
      <c r="K7" s="37">
        <v>45444</v>
      </c>
      <c r="L7" s="39">
        <f t="shared" si="2"/>
        <v>42.666460000000043</v>
      </c>
      <c r="M7" s="39">
        <f t="shared" si="3"/>
        <v>0</v>
      </c>
      <c r="N7" s="41">
        <f t="shared" si="4"/>
        <v>42.666460000000043</v>
      </c>
      <c r="O7" s="39">
        <f t="shared" si="5"/>
        <v>8.6664600000000025</v>
      </c>
      <c r="P7" s="39">
        <f t="shared" si="6"/>
        <v>0</v>
      </c>
      <c r="Q7" s="41">
        <f t="shared" si="7"/>
        <v>8.6664600000000025</v>
      </c>
      <c r="R7" s="39">
        <f t="shared" si="12"/>
        <v>14</v>
      </c>
      <c r="S7" s="39"/>
      <c r="T7" s="39"/>
    </row>
    <row r="8" spans="1:20" x14ac:dyDescent="0.25">
      <c r="A8" s="37">
        <v>45108</v>
      </c>
      <c r="B8" s="39">
        <f t="shared" si="8"/>
        <v>21.333200000000041</v>
      </c>
      <c r="C8" s="39">
        <f t="shared" si="9"/>
        <v>0</v>
      </c>
      <c r="D8" s="41">
        <f t="shared" si="0"/>
        <v>21.333200000000041</v>
      </c>
      <c r="E8" s="39">
        <f t="shared" si="10"/>
        <v>9.3332000000000015</v>
      </c>
      <c r="F8" s="39">
        <f>IF(F7&lt;I7,0,F7-I7)</f>
        <v>0</v>
      </c>
      <c r="G8" s="41">
        <f t="shared" si="1"/>
        <v>9.3332000000000015</v>
      </c>
      <c r="H8" s="39">
        <v>8</v>
      </c>
      <c r="I8" s="39"/>
      <c r="K8" s="37">
        <v>45474</v>
      </c>
      <c r="L8" s="39">
        <f t="shared" si="2"/>
        <v>51.333120000000044</v>
      </c>
      <c r="M8" s="39">
        <f t="shared" si="3"/>
        <v>0</v>
      </c>
      <c r="N8" s="41">
        <f t="shared" si="4"/>
        <v>51.333120000000044</v>
      </c>
      <c r="O8" s="39">
        <f t="shared" si="5"/>
        <v>10.333120000000003</v>
      </c>
      <c r="P8" s="39">
        <f t="shared" si="6"/>
        <v>0</v>
      </c>
      <c r="Q8" s="41">
        <f t="shared" si="7"/>
        <v>10.333120000000003</v>
      </c>
      <c r="R8" s="39">
        <f t="shared" si="12"/>
        <v>16.75</v>
      </c>
      <c r="S8" s="39"/>
      <c r="T8" s="39"/>
    </row>
    <row r="9" spans="1:20" x14ac:dyDescent="0.25">
      <c r="A9" s="37">
        <v>45139</v>
      </c>
      <c r="B9" s="39">
        <f t="shared" si="8"/>
        <v>21.999860000000041</v>
      </c>
      <c r="C9" s="39">
        <f t="shared" si="9"/>
        <v>0</v>
      </c>
      <c r="D9" s="41">
        <f t="shared" si="0"/>
        <v>21.999860000000041</v>
      </c>
      <c r="E9" s="39">
        <f t="shared" si="10"/>
        <v>10.999860000000002</v>
      </c>
      <c r="F9" s="39">
        <f t="shared" si="11"/>
        <v>0</v>
      </c>
      <c r="G9" s="41">
        <f t="shared" si="1"/>
        <v>10.999860000000002</v>
      </c>
      <c r="H9" s="39">
        <v>24</v>
      </c>
      <c r="I9" s="39">
        <v>11</v>
      </c>
      <c r="K9" s="37">
        <v>45505</v>
      </c>
      <c r="L9" s="39">
        <f t="shared" si="2"/>
        <v>59.999780000000044</v>
      </c>
      <c r="M9" s="39">
        <f t="shared" si="3"/>
        <v>0</v>
      </c>
      <c r="N9" s="41">
        <f t="shared" si="4"/>
        <v>59.999780000000044</v>
      </c>
      <c r="O9" s="39">
        <f t="shared" si="5"/>
        <v>11.999780000000003</v>
      </c>
      <c r="P9" s="39">
        <f t="shared" si="6"/>
        <v>0</v>
      </c>
      <c r="Q9" s="41">
        <f t="shared" si="7"/>
        <v>11.999780000000003</v>
      </c>
      <c r="R9" s="39">
        <f t="shared" si="12"/>
        <v>19.5</v>
      </c>
      <c r="S9" s="39"/>
      <c r="T9" s="39"/>
    </row>
    <row r="10" spans="1:20" x14ac:dyDescent="0.25">
      <c r="A10" s="37">
        <v>45170</v>
      </c>
      <c r="B10" s="39">
        <f t="shared" si="8"/>
        <v>6.6665200000000411</v>
      </c>
      <c r="C10" s="39">
        <f t="shared" si="9"/>
        <v>0</v>
      </c>
      <c r="D10" s="41">
        <f t="shared" si="0"/>
        <v>6.6665200000000411</v>
      </c>
      <c r="E10" s="39">
        <f t="shared" si="10"/>
        <v>1.666520000000002</v>
      </c>
      <c r="F10" s="39">
        <f t="shared" si="11"/>
        <v>0</v>
      </c>
      <c r="G10" s="41">
        <f t="shared" si="1"/>
        <v>1.666520000000002</v>
      </c>
      <c r="H10" s="39"/>
      <c r="I10" s="39">
        <v>2</v>
      </c>
      <c r="K10" s="37">
        <v>45536</v>
      </c>
      <c r="L10" s="39">
        <f t="shared" si="2"/>
        <v>68.666440000000051</v>
      </c>
      <c r="M10" s="39">
        <f t="shared" si="3"/>
        <v>0</v>
      </c>
      <c r="N10" s="41">
        <f t="shared" si="4"/>
        <v>68.666440000000051</v>
      </c>
      <c r="O10" s="39">
        <f t="shared" si="5"/>
        <v>13.666440000000003</v>
      </c>
      <c r="P10" s="39">
        <f t="shared" si="6"/>
        <v>0</v>
      </c>
      <c r="Q10" s="41">
        <f t="shared" si="7"/>
        <v>13.666440000000003</v>
      </c>
      <c r="R10" s="39">
        <f t="shared" si="12"/>
        <v>22.25</v>
      </c>
      <c r="S10" s="39"/>
      <c r="T10" s="39"/>
    </row>
    <row r="11" spans="1:20" x14ac:dyDescent="0.25">
      <c r="A11" s="37">
        <v>45200</v>
      </c>
      <c r="B11" s="39">
        <f t="shared" si="8"/>
        <v>15.333180000000041</v>
      </c>
      <c r="C11" s="39">
        <f t="shared" si="9"/>
        <v>0</v>
      </c>
      <c r="D11" s="41">
        <f t="shared" si="0"/>
        <v>15.333180000000041</v>
      </c>
      <c r="E11" s="39">
        <f t="shared" si="10"/>
        <v>1.3331800000000023</v>
      </c>
      <c r="F11" s="39">
        <f t="shared" si="11"/>
        <v>0</v>
      </c>
      <c r="G11" s="41">
        <f t="shared" si="1"/>
        <v>1.3331800000000023</v>
      </c>
      <c r="H11" s="39">
        <v>8</v>
      </c>
      <c r="I11" s="39"/>
      <c r="K11" s="37">
        <v>45566</v>
      </c>
      <c r="L11" s="39">
        <f t="shared" si="2"/>
        <v>77.333100000000059</v>
      </c>
      <c r="M11" s="39">
        <f t="shared" si="3"/>
        <v>0</v>
      </c>
      <c r="N11" s="41">
        <f t="shared" si="4"/>
        <v>77.333100000000059</v>
      </c>
      <c r="O11" s="39">
        <f t="shared" si="5"/>
        <v>15.333100000000004</v>
      </c>
      <c r="P11" s="39">
        <f t="shared" si="6"/>
        <v>0</v>
      </c>
      <c r="Q11" s="41">
        <f t="shared" si="7"/>
        <v>15.333100000000004</v>
      </c>
      <c r="R11" s="39">
        <f t="shared" si="12"/>
        <v>25</v>
      </c>
      <c r="S11" s="39"/>
      <c r="T11" s="39"/>
    </row>
    <row r="12" spans="1:20" x14ac:dyDescent="0.25">
      <c r="A12" s="37">
        <v>45231</v>
      </c>
      <c r="B12" s="39">
        <f t="shared" si="8"/>
        <v>15.999840000000042</v>
      </c>
      <c r="C12" s="39">
        <f t="shared" si="9"/>
        <v>0</v>
      </c>
      <c r="D12" s="41">
        <f t="shared" si="0"/>
        <v>15.999840000000042</v>
      </c>
      <c r="E12" s="39">
        <f>IF(F11&lt;I11,E11+1.66666-(I11-F11),E11+1.66666)</f>
        <v>2.9998400000000025</v>
      </c>
      <c r="F12" s="39">
        <f t="shared" si="11"/>
        <v>0</v>
      </c>
      <c r="G12" s="41">
        <f t="shared" si="1"/>
        <v>2.9998400000000025</v>
      </c>
      <c r="H12" s="39">
        <v>2</v>
      </c>
      <c r="I12" s="39">
        <v>3</v>
      </c>
      <c r="K12" s="37">
        <v>45597</v>
      </c>
      <c r="L12" s="39">
        <f t="shared" si="2"/>
        <v>85.999760000000066</v>
      </c>
      <c r="M12" s="39">
        <f t="shared" si="3"/>
        <v>0</v>
      </c>
      <c r="N12" s="41">
        <f t="shared" si="4"/>
        <v>85.999760000000066</v>
      </c>
      <c r="O12" s="39">
        <f t="shared" si="5"/>
        <v>16.999760000000002</v>
      </c>
      <c r="P12" s="39">
        <f t="shared" si="6"/>
        <v>0</v>
      </c>
      <c r="Q12" s="41">
        <f t="shared" si="7"/>
        <v>16.999760000000002</v>
      </c>
      <c r="R12" s="39">
        <f t="shared" si="12"/>
        <v>27.75</v>
      </c>
      <c r="S12" s="39"/>
      <c r="T12" s="39"/>
    </row>
    <row r="13" spans="1:20" x14ac:dyDescent="0.25">
      <c r="A13" s="37">
        <v>45261</v>
      </c>
      <c r="B13" s="39">
        <f t="shared" si="8"/>
        <v>22.666500000000042</v>
      </c>
      <c r="C13" s="39">
        <f t="shared" si="9"/>
        <v>0</v>
      </c>
      <c r="D13" s="41">
        <f t="shared" si="0"/>
        <v>22.666500000000042</v>
      </c>
      <c r="E13" s="39">
        <f t="shared" si="10"/>
        <v>1.6665000000000028</v>
      </c>
      <c r="F13" s="39">
        <f t="shared" si="11"/>
        <v>0</v>
      </c>
      <c r="G13" s="41">
        <f t="shared" si="1"/>
        <v>1.6665000000000028</v>
      </c>
      <c r="H13" s="39">
        <v>24</v>
      </c>
      <c r="I13" s="39">
        <v>2</v>
      </c>
      <c r="K13" s="37">
        <v>45627</v>
      </c>
      <c r="L13" s="39">
        <f t="shared" si="2"/>
        <v>94.666420000000073</v>
      </c>
      <c r="M13" s="39">
        <f t="shared" si="3"/>
        <v>0</v>
      </c>
      <c r="N13" s="41">
        <f t="shared" si="4"/>
        <v>94.666420000000073</v>
      </c>
      <c r="O13" s="39">
        <f t="shared" si="5"/>
        <v>18.666420000000002</v>
      </c>
      <c r="P13" s="39">
        <f t="shared" si="6"/>
        <v>0</v>
      </c>
      <c r="Q13" s="41">
        <f t="shared" si="7"/>
        <v>18.666420000000002</v>
      </c>
      <c r="R13" s="39">
        <f>ROUND((L13+M13)/8+O13+P13,2)</f>
        <v>30.5</v>
      </c>
      <c r="S13" s="39"/>
      <c r="T13" s="39"/>
    </row>
  </sheetData>
  <conditionalFormatting sqref="B1:T13">
    <cfRule type="cellIs" dxfId="14" priority="2" operator="lessThan">
      <formula>0</formula>
    </cfRule>
  </conditionalFormatting>
  <conditionalFormatting sqref="H2:I13">
    <cfRule type="cellIs" dxfId="13" priority="1" operator="greaterThan">
      <formula>0</formula>
    </cfRule>
  </conditionalFormatting>
  <conditionalFormatting sqref="S2:T13">
    <cfRule type="cellIs" dxfId="12" priority="3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1E3B-F805-44FB-B004-C8A9F2C2EB67}">
  <dimension ref="A1:H30"/>
  <sheetViews>
    <sheetView showGridLines="0" topLeftCell="B1" workbookViewId="0">
      <selection activeCell="B14" sqref="B14"/>
    </sheetView>
  </sheetViews>
  <sheetFormatPr defaultRowHeight="15" x14ac:dyDescent="0.25"/>
  <cols>
    <col min="1" max="1" width="21.140625" bestFit="1" customWidth="1"/>
    <col min="2" max="2" width="15.85546875" bestFit="1" customWidth="1"/>
    <col min="4" max="4" width="15.85546875" bestFit="1" customWidth="1"/>
    <col min="6" max="6" width="15.140625" bestFit="1" customWidth="1"/>
    <col min="8" max="8" width="15.7109375" bestFit="1" customWidth="1"/>
  </cols>
  <sheetData>
    <row r="1" spans="1:8" x14ac:dyDescent="0.25">
      <c r="A1" s="27" t="str">
        <f>"Holidays " &amp; '2023'!$B$1</f>
        <v>Holidays 2023</v>
      </c>
      <c r="B1" s="27" t="s">
        <v>17</v>
      </c>
      <c r="D1" s="27" t="str">
        <f>"Ferie " &amp; '2024'!$B$1</f>
        <v>Ferie 2024</v>
      </c>
      <c r="F1" s="27" t="str">
        <f>"Permessi " &amp; '2024'!$B$1</f>
        <v>Permessi 2024</v>
      </c>
      <c r="H1" s="27" t="str">
        <f>"Malattia " &amp; '2024'!$B$1</f>
        <v>Malattia 2024</v>
      </c>
    </row>
    <row r="2" spans="1:8" x14ac:dyDescent="0.25">
      <c r="A2" s="26" t="s">
        <v>20</v>
      </c>
      <c r="B2" s="30">
        <f>DATE('2024'!$B$1,1,1)</f>
        <v>45292</v>
      </c>
      <c r="D2" s="30">
        <f>DATE(2024,1,4)</f>
        <v>45295</v>
      </c>
      <c r="F2" s="30">
        <f>DATE(2024,1,5)</f>
        <v>45296</v>
      </c>
      <c r="H2" s="30"/>
    </row>
    <row r="3" spans="1:8" x14ac:dyDescent="0.25">
      <c r="A3" s="26" t="s">
        <v>19</v>
      </c>
      <c r="B3" s="30">
        <f>DATE('2024'!$B$1,1,6)</f>
        <v>45297</v>
      </c>
      <c r="D3" s="30"/>
      <c r="F3" s="30"/>
      <c r="H3" s="30"/>
    </row>
    <row r="4" spans="1:8" x14ac:dyDescent="0.25">
      <c r="A4" s="26" t="s">
        <v>21</v>
      </c>
      <c r="B4" s="30">
        <f>DATE('2024'!$B$1,3,31)</f>
        <v>45382</v>
      </c>
      <c r="D4" s="30"/>
      <c r="F4" s="30"/>
      <c r="H4" s="30"/>
    </row>
    <row r="5" spans="1:8" x14ac:dyDescent="0.25">
      <c r="A5" s="26" t="s">
        <v>22</v>
      </c>
      <c r="B5" s="30">
        <f>DATE('2024'!$B$1,4,1)</f>
        <v>45383</v>
      </c>
      <c r="D5" s="30"/>
      <c r="F5" s="30"/>
      <c r="H5" s="30"/>
    </row>
    <row r="6" spans="1:8" x14ac:dyDescent="0.25">
      <c r="A6" s="26" t="s">
        <v>23</v>
      </c>
      <c r="B6" s="30">
        <f>DATE('2024'!$B$1,4,25)</f>
        <v>45407</v>
      </c>
      <c r="D6" s="30"/>
      <c r="F6" s="30"/>
      <c r="H6" s="30"/>
    </row>
    <row r="7" spans="1:8" x14ac:dyDescent="0.25">
      <c r="A7" s="26" t="s">
        <v>30</v>
      </c>
      <c r="B7" s="30">
        <f>DATE('2024'!$B$1,5,1)</f>
        <v>45413</v>
      </c>
      <c r="D7" s="30"/>
      <c r="F7" s="30"/>
      <c r="H7" s="30"/>
    </row>
    <row r="8" spans="1:8" x14ac:dyDescent="0.25">
      <c r="A8" s="26" t="s">
        <v>31</v>
      </c>
      <c r="B8" s="30">
        <f>DATE('2024'!$B$1,6,2)</f>
        <v>45445</v>
      </c>
      <c r="D8" s="30"/>
      <c r="F8" s="30"/>
      <c r="H8" s="30"/>
    </row>
    <row r="9" spans="1:8" x14ac:dyDescent="0.25">
      <c r="A9" s="26" t="s">
        <v>24</v>
      </c>
      <c r="B9" s="30">
        <f>DATE('2024'!$B$1,8,15)</f>
        <v>45519</v>
      </c>
      <c r="D9" s="30"/>
      <c r="F9" s="30"/>
      <c r="H9" s="30"/>
    </row>
    <row r="10" spans="1:8" x14ac:dyDescent="0.25">
      <c r="A10" s="26" t="s">
        <v>25</v>
      </c>
      <c r="B10" s="30">
        <f>DATE('2024'!$B$1,11,1)</f>
        <v>45597</v>
      </c>
      <c r="D10" s="30"/>
      <c r="F10" s="30"/>
      <c r="H10" s="30"/>
    </row>
    <row r="11" spans="1:8" x14ac:dyDescent="0.25">
      <c r="A11" s="26" t="s">
        <v>26</v>
      </c>
      <c r="B11" s="30">
        <f>DATE('2024'!$B$1,12,8)</f>
        <v>45634</v>
      </c>
      <c r="D11" s="30"/>
      <c r="F11" s="30"/>
      <c r="H11" s="30"/>
    </row>
    <row r="12" spans="1:8" x14ac:dyDescent="0.25">
      <c r="A12" s="26" t="s">
        <v>27</v>
      </c>
      <c r="B12" s="30">
        <f>DATE('2024'!$B$1,12,25)</f>
        <v>45651</v>
      </c>
      <c r="D12" s="30"/>
      <c r="F12" s="30"/>
      <c r="H12" s="30"/>
    </row>
    <row r="13" spans="1:8" x14ac:dyDescent="0.25">
      <c r="A13" s="26" t="s">
        <v>28</v>
      </c>
      <c r="B13" s="30">
        <f>DATE('2024'!$B$1,12,26)</f>
        <v>45652</v>
      </c>
      <c r="D13" s="30"/>
      <c r="F13" s="30"/>
      <c r="H13" s="30"/>
    </row>
    <row r="14" spans="1:8" x14ac:dyDescent="0.25">
      <c r="A14" s="26" t="s">
        <v>29</v>
      </c>
      <c r="B14" s="30">
        <f>DATE('2024'!$B$1,6,24)</f>
        <v>45467</v>
      </c>
      <c r="D14" s="30"/>
      <c r="F14" s="30"/>
      <c r="H14" s="30"/>
    </row>
    <row r="15" spans="1:8" x14ac:dyDescent="0.25">
      <c r="A15" s="26"/>
      <c r="B15" s="30"/>
      <c r="D15" s="30"/>
      <c r="F15" s="30"/>
      <c r="H15" s="30"/>
    </row>
    <row r="16" spans="1:8" x14ac:dyDescent="0.25">
      <c r="A16" s="26"/>
      <c r="B16" s="30"/>
      <c r="D16" s="30"/>
      <c r="F16" s="30"/>
      <c r="H16" s="30"/>
    </row>
    <row r="17" spans="1:8" x14ac:dyDescent="0.25">
      <c r="A17" s="26"/>
      <c r="B17" s="30"/>
      <c r="D17" s="30"/>
      <c r="F17" s="30"/>
      <c r="H17" s="30"/>
    </row>
    <row r="18" spans="1:8" x14ac:dyDescent="0.25">
      <c r="A18" s="26"/>
      <c r="B18" s="30"/>
      <c r="D18" s="30"/>
      <c r="F18" s="30"/>
      <c r="H18" s="30"/>
    </row>
    <row r="19" spans="1:8" x14ac:dyDescent="0.25">
      <c r="A19" s="26"/>
      <c r="B19" s="30"/>
      <c r="D19" s="30"/>
      <c r="F19" s="30"/>
      <c r="H19" s="30"/>
    </row>
    <row r="20" spans="1:8" x14ac:dyDescent="0.25">
      <c r="A20" s="26"/>
      <c r="B20" s="30"/>
      <c r="D20" s="30"/>
      <c r="F20" s="30"/>
      <c r="H20" s="30"/>
    </row>
    <row r="21" spans="1:8" x14ac:dyDescent="0.25">
      <c r="A21" s="26"/>
      <c r="B21" s="30"/>
      <c r="D21" s="30"/>
      <c r="F21" s="30"/>
      <c r="H21" s="30"/>
    </row>
    <row r="22" spans="1:8" x14ac:dyDescent="0.25">
      <c r="A22" s="26"/>
      <c r="B22" s="30"/>
      <c r="D22" s="30"/>
      <c r="F22" s="30"/>
      <c r="H22" s="30"/>
    </row>
    <row r="23" spans="1:8" x14ac:dyDescent="0.25">
      <c r="A23" s="26"/>
      <c r="B23" s="30"/>
      <c r="D23" s="30"/>
      <c r="F23" s="30"/>
      <c r="H23" s="30"/>
    </row>
    <row r="24" spans="1:8" x14ac:dyDescent="0.25">
      <c r="A24" s="26"/>
      <c r="B24" s="30"/>
      <c r="D24" s="30"/>
      <c r="F24" s="30"/>
      <c r="H24" s="30"/>
    </row>
    <row r="25" spans="1:8" x14ac:dyDescent="0.25">
      <c r="A25" s="26"/>
      <c r="B25" s="30"/>
      <c r="D25" s="30"/>
      <c r="F25" s="30"/>
      <c r="H25" s="30"/>
    </row>
    <row r="26" spans="1:8" x14ac:dyDescent="0.25">
      <c r="A26" s="26"/>
      <c r="B26" s="30"/>
      <c r="D26" s="30"/>
      <c r="F26" s="30"/>
      <c r="H26" s="30"/>
    </row>
    <row r="27" spans="1:8" x14ac:dyDescent="0.25">
      <c r="A27" s="26"/>
      <c r="B27" s="30"/>
      <c r="D27" s="30"/>
      <c r="F27" s="30"/>
      <c r="H27" s="30"/>
    </row>
    <row r="28" spans="1:8" x14ac:dyDescent="0.25">
      <c r="A28" s="26"/>
      <c r="B28" s="30"/>
      <c r="D28" s="30"/>
      <c r="F28" s="30"/>
      <c r="H28" s="30"/>
    </row>
    <row r="29" spans="1:8" x14ac:dyDescent="0.25">
      <c r="A29" s="26"/>
      <c r="B29" s="30"/>
      <c r="D29" s="30"/>
      <c r="F29" s="30"/>
      <c r="H29" s="30"/>
    </row>
    <row r="30" spans="1:8" x14ac:dyDescent="0.25">
      <c r="A30" s="26"/>
      <c r="B30" s="30"/>
      <c r="D30" s="30"/>
      <c r="F30" s="30"/>
      <c r="H30" s="3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2416-AE2F-43CF-98F4-F33B20C574CA}">
  <dimension ref="A1:AH36"/>
  <sheetViews>
    <sheetView showGridLines="0" tabSelected="1" zoomScaleNormal="100" workbookViewId="0">
      <selection activeCell="AM15" sqref="AM15"/>
    </sheetView>
  </sheetViews>
  <sheetFormatPr defaultRowHeight="15" x14ac:dyDescent="0.25"/>
  <cols>
    <col min="1" max="1" width="1.42578125" customWidth="1"/>
    <col min="2" max="25" width="3.5703125" customWidth="1"/>
    <col min="26" max="32" width="3.85546875" bestFit="1" customWidth="1"/>
  </cols>
  <sheetData>
    <row r="1" spans="1:34" ht="36" customHeight="1" thickBot="1" x14ac:dyDescent="0.4">
      <c r="A1" s="3"/>
      <c r="B1" s="43">
        <v>2024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34" ht="21.75" customHeight="1" thickTop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34" x14ac:dyDescent="0.25">
      <c r="B3" s="14">
        <v>1</v>
      </c>
      <c r="C3" s="2"/>
      <c r="D3" s="2"/>
      <c r="E3" s="2"/>
      <c r="F3" s="2"/>
      <c r="G3" s="2"/>
      <c r="H3" s="2"/>
      <c r="J3" s="15">
        <v>2</v>
      </c>
      <c r="K3" s="2"/>
      <c r="L3" s="2"/>
      <c r="M3" s="2"/>
      <c r="N3" s="2"/>
      <c r="O3" s="2"/>
      <c r="P3" s="2"/>
      <c r="R3" s="16">
        <v>3</v>
      </c>
      <c r="S3" s="2"/>
      <c r="T3" s="2"/>
      <c r="U3" s="2"/>
      <c r="V3" s="2"/>
      <c r="W3" s="2"/>
      <c r="X3" s="2"/>
      <c r="Z3" s="19">
        <v>4</v>
      </c>
      <c r="AA3" s="2"/>
      <c r="AB3" s="2"/>
      <c r="AC3" s="2"/>
      <c r="AD3" s="2"/>
      <c r="AE3" s="2"/>
      <c r="AF3" s="2"/>
    </row>
    <row r="4" spans="1:34" x14ac:dyDescent="0.25">
      <c r="B4" s="1" t="s">
        <v>12</v>
      </c>
      <c r="C4" s="1" t="s">
        <v>13</v>
      </c>
      <c r="D4" s="1" t="s">
        <v>14</v>
      </c>
      <c r="E4" s="1" t="s">
        <v>13</v>
      </c>
      <c r="F4" s="1" t="s">
        <v>15</v>
      </c>
      <c r="G4" s="1" t="s">
        <v>16</v>
      </c>
      <c r="H4" s="1" t="s">
        <v>16</v>
      </c>
      <c r="J4" s="1" t="s">
        <v>12</v>
      </c>
      <c r="K4" s="1" t="s">
        <v>13</v>
      </c>
      <c r="L4" s="1" t="s">
        <v>14</v>
      </c>
      <c r="M4" s="1" t="s">
        <v>13</v>
      </c>
      <c r="N4" s="1" t="s">
        <v>15</v>
      </c>
      <c r="O4" s="1" t="s">
        <v>16</v>
      </c>
      <c r="P4" s="1" t="s">
        <v>16</v>
      </c>
      <c r="R4" s="1" t="s">
        <v>12</v>
      </c>
      <c r="S4" s="1" t="s">
        <v>13</v>
      </c>
      <c r="T4" s="1" t="s">
        <v>14</v>
      </c>
      <c r="U4" s="1" t="s">
        <v>13</v>
      </c>
      <c r="V4" s="1" t="s">
        <v>15</v>
      </c>
      <c r="W4" s="1" t="s">
        <v>16</v>
      </c>
      <c r="X4" s="1" t="s">
        <v>16</v>
      </c>
      <c r="Z4" s="1" t="s">
        <v>12</v>
      </c>
      <c r="AA4" s="1" t="s">
        <v>13</v>
      </c>
      <c r="AB4" s="1" t="s">
        <v>14</v>
      </c>
      <c r="AC4" s="1" t="s">
        <v>13</v>
      </c>
      <c r="AD4" s="1" t="s">
        <v>15</v>
      </c>
      <c r="AE4" s="1" t="s">
        <v>16</v>
      </c>
      <c r="AF4" s="1" t="s">
        <v>16</v>
      </c>
      <c r="AH4" s="31" t="s">
        <v>32</v>
      </c>
    </row>
    <row r="5" spans="1:34" x14ac:dyDescent="0.25">
      <c r="B5" s="28" cm="1">
        <f t="array" ref="B5:H10">IF(MONTH(DATE($B$1,$B$3,1)+_xlfn.SEQUENCE(6,7)-WEEKDAY(DATE($B$1,$B$3,1),2))=$B$3,DATE($B$1,$B$3,1)+_xlfn.SEQUENCE(6,7)-WEEKDAY(DATE($B$1,$B$3,1),2),"")</f>
        <v>45292</v>
      </c>
      <c r="C5" s="28">
        <v>45293</v>
      </c>
      <c r="D5" s="28">
        <v>45294</v>
      </c>
      <c r="E5" s="28">
        <v>45295</v>
      </c>
      <c r="F5" s="28">
        <v>45296</v>
      </c>
      <c r="G5" s="44">
        <v>45297</v>
      </c>
      <c r="H5" s="44">
        <v>45298</v>
      </c>
      <c r="J5" s="28" t="str" cm="1">
        <f t="array" ref="J5:P10">IF(MONTH(DATE($B$1,$J$3,1)+_xlfn.SEQUENCE(6,7)-WEEKDAY(DATE($B$1,$J$3,1),2))=$J$3,DATE($B$1,$J$3,1)+_xlfn.SEQUENCE(6,7)-WEEKDAY(DATE($B$1,$J$3,1),2),"")</f>
        <v/>
      </c>
      <c r="K5" s="28" t="str">
        <v/>
      </c>
      <c r="L5" s="28" t="str">
        <v/>
      </c>
      <c r="M5" s="28">
        <v>45323</v>
      </c>
      <c r="N5" s="28">
        <v>45324</v>
      </c>
      <c r="O5" s="44">
        <v>45325</v>
      </c>
      <c r="P5" s="44">
        <v>45326</v>
      </c>
      <c r="R5" s="28" t="str" cm="1">
        <f t="array" ref="R5:X10">IF(MONTH(DATE($B$1,$R$3,1)+_xlfn.SEQUENCE(6,7)-WEEKDAY(DATE($B$1,$R$3,1),2))=$R$3,DATE($B$1,$R$3,1)+_xlfn.SEQUENCE(6,7)-WEEKDAY(DATE($B$1,$R$3,1),2),"")</f>
        <v/>
      </c>
      <c r="S5" s="28" t="str">
        <v/>
      </c>
      <c r="T5" s="28" t="str">
        <v/>
      </c>
      <c r="U5" s="28" t="str">
        <v/>
      </c>
      <c r="V5" s="28">
        <v>45352</v>
      </c>
      <c r="W5" s="44">
        <v>45353</v>
      </c>
      <c r="X5" s="44">
        <v>45354</v>
      </c>
      <c r="Z5" s="28" cm="1">
        <f t="array" ref="Z5:AF10">IF(MONTH(DATE($B$1,$Z$3,1)+_xlfn.SEQUENCE(6,7)-WEEKDAY(DATE($B$1,$Z$3,1),2))=$Z$3,DATE($B$1,$Z$3,1)+_xlfn.SEQUENCE(6,7)-WEEKDAY(DATE($B$1,$Z$3,1),2),"")</f>
        <v>45383</v>
      </c>
      <c r="AA5" s="28">
        <v>45384</v>
      </c>
      <c r="AB5" s="28">
        <v>45385</v>
      </c>
      <c r="AC5" s="28">
        <v>45386</v>
      </c>
      <c r="AD5" s="28">
        <v>45387</v>
      </c>
      <c r="AE5" s="44">
        <v>45388</v>
      </c>
      <c r="AF5" s="44">
        <v>45389</v>
      </c>
      <c r="AH5" s="32" t="s">
        <v>33</v>
      </c>
    </row>
    <row r="6" spans="1:34" x14ac:dyDescent="0.25">
      <c r="B6" s="28">
        <v>45299</v>
      </c>
      <c r="C6" s="28">
        <v>45300</v>
      </c>
      <c r="D6" s="28">
        <v>45301</v>
      </c>
      <c r="E6" s="28">
        <v>45302</v>
      </c>
      <c r="F6" s="28">
        <v>45303</v>
      </c>
      <c r="G6" s="44">
        <v>45304</v>
      </c>
      <c r="H6" s="44">
        <v>45305</v>
      </c>
      <c r="J6" s="28">
        <v>45327</v>
      </c>
      <c r="K6" s="28">
        <v>45328</v>
      </c>
      <c r="L6" s="28">
        <v>45329</v>
      </c>
      <c r="M6" s="28">
        <v>45330</v>
      </c>
      <c r="N6" s="28">
        <v>45331</v>
      </c>
      <c r="O6" s="44">
        <v>45332</v>
      </c>
      <c r="P6" s="44">
        <v>45333</v>
      </c>
      <c r="R6" s="28">
        <v>45355</v>
      </c>
      <c r="S6" s="28">
        <v>45356</v>
      </c>
      <c r="T6" s="28">
        <v>45357</v>
      </c>
      <c r="U6" s="28">
        <v>45358</v>
      </c>
      <c r="V6" s="28">
        <v>45359</v>
      </c>
      <c r="W6" s="44">
        <v>45360</v>
      </c>
      <c r="X6" s="44">
        <v>45361</v>
      </c>
      <c r="Z6" s="28">
        <v>45390</v>
      </c>
      <c r="AA6" s="28">
        <v>45391</v>
      </c>
      <c r="AB6" s="28">
        <v>45392</v>
      </c>
      <c r="AC6" s="28">
        <v>45393</v>
      </c>
      <c r="AD6" s="28">
        <v>45394</v>
      </c>
      <c r="AE6" s="44">
        <v>45395</v>
      </c>
      <c r="AF6" s="44">
        <v>45396</v>
      </c>
      <c r="AH6" s="33" t="s">
        <v>34</v>
      </c>
    </row>
    <row r="7" spans="1:34" x14ac:dyDescent="0.25">
      <c r="B7" s="28">
        <v>45306</v>
      </c>
      <c r="C7" s="28">
        <v>45307</v>
      </c>
      <c r="D7" s="28">
        <v>45308</v>
      </c>
      <c r="E7" s="28">
        <v>45309</v>
      </c>
      <c r="F7" s="28">
        <v>45310</v>
      </c>
      <c r="G7" s="44">
        <v>45311</v>
      </c>
      <c r="H7" s="44">
        <v>45312</v>
      </c>
      <c r="J7" s="28">
        <v>45334</v>
      </c>
      <c r="K7" s="28">
        <v>45335</v>
      </c>
      <c r="L7" s="28">
        <v>45336</v>
      </c>
      <c r="M7" s="28">
        <v>45337</v>
      </c>
      <c r="N7" s="28">
        <v>45338</v>
      </c>
      <c r="O7" s="44">
        <v>45339</v>
      </c>
      <c r="P7" s="44">
        <v>45340</v>
      </c>
      <c r="R7" s="28">
        <v>45362</v>
      </c>
      <c r="S7" s="28">
        <v>45363</v>
      </c>
      <c r="T7" s="28">
        <v>45364</v>
      </c>
      <c r="U7" s="28">
        <v>45365</v>
      </c>
      <c r="V7" s="28">
        <v>45366</v>
      </c>
      <c r="W7" s="44">
        <v>45367</v>
      </c>
      <c r="X7" s="44">
        <v>45368</v>
      </c>
      <c r="Z7" s="28">
        <v>45397</v>
      </c>
      <c r="AA7" s="28">
        <v>45398</v>
      </c>
      <c r="AB7" s="28">
        <v>45399</v>
      </c>
      <c r="AC7" s="28">
        <v>45400</v>
      </c>
      <c r="AD7" s="28">
        <v>45401</v>
      </c>
      <c r="AE7" s="44">
        <v>45402</v>
      </c>
      <c r="AF7" s="44">
        <v>45403</v>
      </c>
      <c r="AH7" s="34" t="s">
        <v>35</v>
      </c>
    </row>
    <row r="8" spans="1:34" x14ac:dyDescent="0.25">
      <c r="B8" s="28">
        <v>45313</v>
      </c>
      <c r="C8" s="28">
        <v>45314</v>
      </c>
      <c r="D8" s="28">
        <v>45315</v>
      </c>
      <c r="E8" s="28">
        <v>45316</v>
      </c>
      <c r="F8" s="28">
        <v>45317</v>
      </c>
      <c r="G8" s="44">
        <v>45318</v>
      </c>
      <c r="H8" s="44">
        <v>45319</v>
      </c>
      <c r="J8" s="28">
        <v>45341</v>
      </c>
      <c r="K8" s="28">
        <v>45342</v>
      </c>
      <c r="L8" s="28">
        <v>45343</v>
      </c>
      <c r="M8" s="28">
        <v>45344</v>
      </c>
      <c r="N8" s="28">
        <v>45345</v>
      </c>
      <c r="O8" s="44">
        <v>45346</v>
      </c>
      <c r="P8" s="44">
        <v>45347</v>
      </c>
      <c r="R8" s="28">
        <v>45369</v>
      </c>
      <c r="S8" s="28">
        <v>45370</v>
      </c>
      <c r="T8" s="28">
        <v>45371</v>
      </c>
      <c r="U8" s="28">
        <v>45372</v>
      </c>
      <c r="V8" s="28">
        <v>45373</v>
      </c>
      <c r="W8" s="44">
        <v>45374</v>
      </c>
      <c r="X8" s="44">
        <v>45375</v>
      </c>
      <c r="Z8" s="28">
        <v>45404</v>
      </c>
      <c r="AA8" s="28">
        <v>45405</v>
      </c>
      <c r="AB8" s="28">
        <v>45406</v>
      </c>
      <c r="AC8" s="28">
        <v>45407</v>
      </c>
      <c r="AD8" s="28">
        <v>45408</v>
      </c>
      <c r="AE8" s="44">
        <v>45409</v>
      </c>
      <c r="AF8" s="44">
        <v>45410</v>
      </c>
    </row>
    <row r="9" spans="1:34" x14ac:dyDescent="0.25">
      <c r="B9" s="28">
        <v>45320</v>
      </c>
      <c r="C9" s="28">
        <v>45321</v>
      </c>
      <c r="D9" s="28">
        <v>45322</v>
      </c>
      <c r="E9" s="28" t="str">
        <v/>
      </c>
      <c r="F9" s="28" t="str">
        <v/>
      </c>
      <c r="G9" s="44" t="str">
        <v/>
      </c>
      <c r="H9" s="44" t="str">
        <v/>
      </c>
      <c r="J9" s="28">
        <v>45348</v>
      </c>
      <c r="K9" s="28">
        <v>45349</v>
      </c>
      <c r="L9" s="28">
        <v>45350</v>
      </c>
      <c r="M9" s="28">
        <v>45351</v>
      </c>
      <c r="N9" s="28" t="str">
        <v/>
      </c>
      <c r="O9" s="44" t="str">
        <v/>
      </c>
      <c r="P9" s="44" t="str">
        <v/>
      </c>
      <c r="R9" s="28">
        <v>45376</v>
      </c>
      <c r="S9" s="28">
        <v>45377</v>
      </c>
      <c r="T9" s="28">
        <v>45378</v>
      </c>
      <c r="U9" s="28">
        <v>45379</v>
      </c>
      <c r="V9" s="28">
        <v>45380</v>
      </c>
      <c r="W9" s="44">
        <v>45381</v>
      </c>
      <c r="X9" s="44">
        <v>45382</v>
      </c>
      <c r="Z9" s="28">
        <v>45411</v>
      </c>
      <c r="AA9" s="28">
        <v>45412</v>
      </c>
      <c r="AB9" s="28" t="str">
        <v/>
      </c>
      <c r="AC9" s="28" t="str">
        <v/>
      </c>
      <c r="AD9" s="28" t="str">
        <v/>
      </c>
      <c r="AE9" s="44" t="str">
        <v/>
      </c>
      <c r="AF9" s="44" t="str">
        <v/>
      </c>
    </row>
    <row r="10" spans="1:34" x14ac:dyDescent="0.25">
      <c r="B10" s="28" t="str">
        <v/>
      </c>
      <c r="C10" s="28" t="str">
        <v/>
      </c>
      <c r="D10" s="28" t="str">
        <v/>
      </c>
      <c r="E10" s="28" t="str">
        <v/>
      </c>
      <c r="F10" s="28" t="str">
        <v/>
      </c>
      <c r="G10" s="44" t="str">
        <v/>
      </c>
      <c r="H10" s="44" t="str">
        <v/>
      </c>
      <c r="J10" s="28" t="str">
        <v/>
      </c>
      <c r="K10" s="28" t="str">
        <v/>
      </c>
      <c r="L10" s="28" t="str">
        <v/>
      </c>
      <c r="M10" s="28" t="str">
        <v/>
      </c>
      <c r="N10" s="28" t="str">
        <v/>
      </c>
      <c r="O10" s="44" t="str">
        <v/>
      </c>
      <c r="P10" s="44" t="str">
        <v/>
      </c>
      <c r="R10" s="28" t="str">
        <v/>
      </c>
      <c r="S10" s="28" t="str">
        <v/>
      </c>
      <c r="T10" s="28" t="str">
        <v/>
      </c>
      <c r="U10" s="28" t="str">
        <v/>
      </c>
      <c r="V10" s="28" t="str">
        <v/>
      </c>
      <c r="W10" s="44" t="str">
        <v/>
      </c>
      <c r="X10" s="44" t="str">
        <v/>
      </c>
      <c r="Z10" s="28" t="str">
        <v/>
      </c>
      <c r="AA10" s="28" t="str">
        <v/>
      </c>
      <c r="AB10" s="28" t="str">
        <v/>
      </c>
      <c r="AC10" s="28" t="str">
        <v/>
      </c>
      <c r="AD10" s="28" t="str">
        <v/>
      </c>
      <c r="AE10" s="44" t="str">
        <v/>
      </c>
      <c r="AF10" s="44" t="str">
        <v/>
      </c>
    </row>
    <row r="12" spans="1:34" x14ac:dyDescent="0.25">
      <c r="B12" s="18">
        <v>5</v>
      </c>
      <c r="C12" s="2"/>
      <c r="D12" s="2"/>
      <c r="E12" s="2"/>
      <c r="F12" s="2"/>
      <c r="G12" s="2"/>
      <c r="H12" s="2"/>
      <c r="J12" s="17">
        <v>6</v>
      </c>
      <c r="K12" s="2"/>
      <c r="L12" s="2"/>
      <c r="M12" s="2"/>
      <c r="N12" s="2"/>
      <c r="O12" s="2"/>
      <c r="P12" s="2"/>
      <c r="R12" s="20">
        <v>7</v>
      </c>
      <c r="S12" s="2"/>
      <c r="T12" s="2"/>
      <c r="U12" s="2"/>
      <c r="V12" s="2"/>
      <c r="W12" s="2"/>
      <c r="X12" s="2"/>
      <c r="Z12" s="21">
        <v>8</v>
      </c>
      <c r="AA12" s="2"/>
      <c r="AB12" s="2"/>
      <c r="AC12" s="2"/>
      <c r="AD12" s="2"/>
      <c r="AE12" s="2"/>
      <c r="AF12" s="2"/>
    </row>
    <row r="13" spans="1:34" x14ac:dyDescent="0.25">
      <c r="B13" s="1" t="s">
        <v>12</v>
      </c>
      <c r="C13" s="1" t="s">
        <v>13</v>
      </c>
      <c r="D13" s="1" t="s">
        <v>14</v>
      </c>
      <c r="E13" s="1" t="s">
        <v>13</v>
      </c>
      <c r="F13" s="1" t="s">
        <v>15</v>
      </c>
      <c r="G13" s="1" t="s">
        <v>16</v>
      </c>
      <c r="H13" s="1" t="s">
        <v>16</v>
      </c>
      <c r="J13" s="1" t="s">
        <v>12</v>
      </c>
      <c r="K13" s="1" t="s">
        <v>13</v>
      </c>
      <c r="L13" s="1" t="s">
        <v>14</v>
      </c>
      <c r="M13" s="1" t="s">
        <v>13</v>
      </c>
      <c r="N13" s="1" t="s">
        <v>15</v>
      </c>
      <c r="O13" s="1" t="s">
        <v>16</v>
      </c>
      <c r="P13" s="1" t="s">
        <v>16</v>
      </c>
      <c r="R13" s="1" t="s">
        <v>12</v>
      </c>
      <c r="S13" s="1" t="s">
        <v>13</v>
      </c>
      <c r="T13" s="1" t="s">
        <v>14</v>
      </c>
      <c r="U13" s="1" t="s">
        <v>13</v>
      </c>
      <c r="V13" s="1" t="s">
        <v>15</v>
      </c>
      <c r="W13" s="1" t="s">
        <v>16</v>
      </c>
      <c r="X13" s="1" t="s">
        <v>16</v>
      </c>
      <c r="Z13" s="1" t="s">
        <v>12</v>
      </c>
      <c r="AA13" s="1" t="s">
        <v>13</v>
      </c>
      <c r="AB13" s="1" t="s">
        <v>14</v>
      </c>
      <c r="AC13" s="1" t="s">
        <v>13</v>
      </c>
      <c r="AD13" s="1" t="s">
        <v>15</v>
      </c>
      <c r="AE13" s="1" t="s">
        <v>16</v>
      </c>
      <c r="AF13" s="1" t="s">
        <v>16</v>
      </c>
    </row>
    <row r="14" spans="1:34" x14ac:dyDescent="0.25">
      <c r="B14" s="28" t="str" cm="1">
        <f t="array" ref="B14:H19">IF(MONTH(DATE($B$1,$B$12,1)+_xlfn.SEQUENCE(6,7)-WEEKDAY(DATE($B$1,$B$12,1),2))=$B$12,DATE($B$1,$B$12,1)+_xlfn.SEQUENCE(6,7)-WEEKDAY(DATE($B$1,$B$12,1),2),"")</f>
        <v/>
      </c>
      <c r="C14" s="28" t="str">
        <v/>
      </c>
      <c r="D14" s="28">
        <v>45413</v>
      </c>
      <c r="E14" s="28">
        <v>45414</v>
      </c>
      <c r="F14" s="28">
        <v>45415</v>
      </c>
      <c r="G14" s="44">
        <v>45416</v>
      </c>
      <c r="H14" s="44">
        <v>45417</v>
      </c>
      <c r="J14" s="28" t="str" cm="1">
        <f t="array" ref="J14:P19">IF(MONTH(DATE($B$1,$J$12,1)+_xlfn.SEQUENCE(6,7)-WEEKDAY(DATE($B$1,$J$12,1),2))=$J$12,DATE($B$1,$J$12,1)+_xlfn.SEQUENCE(6,7)-WEEKDAY(DATE($B$1,$J$12,1),2),"")</f>
        <v/>
      </c>
      <c r="K14" s="28" t="str">
        <v/>
      </c>
      <c r="L14" s="28" t="str">
        <v/>
      </c>
      <c r="M14" s="28" t="str">
        <v/>
      </c>
      <c r="N14" s="28" t="str">
        <v/>
      </c>
      <c r="O14" s="44">
        <v>45444</v>
      </c>
      <c r="P14" s="44">
        <v>45445</v>
      </c>
      <c r="R14" s="28" cm="1">
        <f t="array" ref="R14:X19">IF(MONTH(DATE($B$1,$R$12,1)+_xlfn.SEQUENCE(6,7)-WEEKDAY(DATE($B$1,$R$12,1),2))=$R$12,DATE($B$1,$R$12,1)+_xlfn.SEQUENCE(6,7)-WEEKDAY(DATE($B$1,$R$12,1),2),"")</f>
        <v>45474</v>
      </c>
      <c r="S14" s="28">
        <v>45475</v>
      </c>
      <c r="T14" s="28">
        <v>45476</v>
      </c>
      <c r="U14" s="28">
        <v>45477</v>
      </c>
      <c r="V14" s="28">
        <v>45478</v>
      </c>
      <c r="W14" s="44">
        <v>45479</v>
      </c>
      <c r="X14" s="44">
        <v>45480</v>
      </c>
      <c r="Z14" s="28" t="str" cm="1">
        <f t="array" ref="Z14:AF19">IF(MONTH(DATE($B$1,$Z$12,1)+_xlfn.SEQUENCE(6,7)-WEEKDAY(DATE($B$1,$Z$12,1),2))=$Z$12,DATE($B$1,$Z$12,1)+_xlfn.SEQUENCE(6,7)-WEEKDAY(DATE($B$1,$Z$12,1),2),"")</f>
        <v/>
      </c>
      <c r="AA14" s="28" t="str">
        <v/>
      </c>
      <c r="AB14" s="28" t="str">
        <v/>
      </c>
      <c r="AC14" s="28">
        <v>45505</v>
      </c>
      <c r="AD14" s="28">
        <v>45506</v>
      </c>
      <c r="AE14" s="44">
        <v>45507</v>
      </c>
      <c r="AF14" s="44">
        <v>45508</v>
      </c>
    </row>
    <row r="15" spans="1:34" x14ac:dyDescent="0.25">
      <c r="B15" s="28">
        <v>45418</v>
      </c>
      <c r="C15" s="28">
        <v>45419</v>
      </c>
      <c r="D15" s="28">
        <v>45420</v>
      </c>
      <c r="E15" s="28">
        <v>45421</v>
      </c>
      <c r="F15" s="28">
        <v>45422</v>
      </c>
      <c r="G15" s="44">
        <v>45423</v>
      </c>
      <c r="H15" s="44">
        <v>45424</v>
      </c>
      <c r="J15" s="28">
        <v>45446</v>
      </c>
      <c r="K15" s="28">
        <v>45447</v>
      </c>
      <c r="L15" s="28">
        <v>45448</v>
      </c>
      <c r="M15" s="28">
        <v>45449</v>
      </c>
      <c r="N15" s="28">
        <v>45450</v>
      </c>
      <c r="O15" s="44">
        <v>45451</v>
      </c>
      <c r="P15" s="44">
        <v>45452</v>
      </c>
      <c r="R15" s="28">
        <v>45481</v>
      </c>
      <c r="S15" s="28">
        <v>45482</v>
      </c>
      <c r="T15" s="28">
        <v>45483</v>
      </c>
      <c r="U15" s="28">
        <v>45484</v>
      </c>
      <c r="V15" s="28">
        <v>45485</v>
      </c>
      <c r="W15" s="44">
        <v>45486</v>
      </c>
      <c r="X15" s="44">
        <v>45487</v>
      </c>
      <c r="Z15" s="28">
        <v>45509</v>
      </c>
      <c r="AA15" s="28">
        <v>45510</v>
      </c>
      <c r="AB15" s="28">
        <v>45511</v>
      </c>
      <c r="AC15" s="28">
        <v>45512</v>
      </c>
      <c r="AD15" s="28">
        <v>45513</v>
      </c>
      <c r="AE15" s="44">
        <v>45514</v>
      </c>
      <c r="AF15" s="44">
        <v>45515</v>
      </c>
    </row>
    <row r="16" spans="1:34" x14ac:dyDescent="0.25">
      <c r="B16" s="28">
        <v>45425</v>
      </c>
      <c r="C16" s="28">
        <v>45426</v>
      </c>
      <c r="D16" s="28">
        <v>45427</v>
      </c>
      <c r="E16" s="28">
        <v>45428</v>
      </c>
      <c r="F16" s="28">
        <v>45429</v>
      </c>
      <c r="G16" s="44">
        <v>45430</v>
      </c>
      <c r="H16" s="44">
        <v>45431</v>
      </c>
      <c r="J16" s="28">
        <v>45453</v>
      </c>
      <c r="K16" s="28">
        <v>45454</v>
      </c>
      <c r="L16" s="28">
        <v>45455</v>
      </c>
      <c r="M16" s="28">
        <v>45456</v>
      </c>
      <c r="N16" s="28">
        <v>45457</v>
      </c>
      <c r="O16" s="44">
        <v>45458</v>
      </c>
      <c r="P16" s="44">
        <v>45459</v>
      </c>
      <c r="R16" s="28">
        <v>45488</v>
      </c>
      <c r="S16" s="28">
        <v>45489</v>
      </c>
      <c r="T16" s="28">
        <v>45490</v>
      </c>
      <c r="U16" s="28">
        <v>45491</v>
      </c>
      <c r="V16" s="28">
        <v>45492</v>
      </c>
      <c r="W16" s="44">
        <v>45493</v>
      </c>
      <c r="X16" s="44">
        <v>45494</v>
      </c>
      <c r="Z16" s="28">
        <v>45516</v>
      </c>
      <c r="AA16" s="28">
        <v>45517</v>
      </c>
      <c r="AB16" s="28">
        <v>45518</v>
      </c>
      <c r="AC16" s="28">
        <v>45519</v>
      </c>
      <c r="AD16" s="28">
        <v>45520</v>
      </c>
      <c r="AE16" s="44">
        <v>45521</v>
      </c>
      <c r="AF16" s="44">
        <v>45522</v>
      </c>
    </row>
    <row r="17" spans="1:32" x14ac:dyDescent="0.25">
      <c r="B17" s="28">
        <v>45432</v>
      </c>
      <c r="C17" s="28">
        <v>45433</v>
      </c>
      <c r="D17" s="28">
        <v>45434</v>
      </c>
      <c r="E17" s="28">
        <v>45435</v>
      </c>
      <c r="F17" s="28">
        <v>45436</v>
      </c>
      <c r="G17" s="44">
        <v>45437</v>
      </c>
      <c r="H17" s="44">
        <v>45438</v>
      </c>
      <c r="J17" s="28">
        <v>45460</v>
      </c>
      <c r="K17" s="28">
        <v>45461</v>
      </c>
      <c r="L17" s="28">
        <v>45462</v>
      </c>
      <c r="M17" s="28">
        <v>45463</v>
      </c>
      <c r="N17" s="28">
        <v>45464</v>
      </c>
      <c r="O17" s="44">
        <v>45465</v>
      </c>
      <c r="P17" s="44">
        <v>45466</v>
      </c>
      <c r="R17" s="28">
        <v>45495</v>
      </c>
      <c r="S17" s="28">
        <v>45496</v>
      </c>
      <c r="T17" s="28">
        <v>45497</v>
      </c>
      <c r="U17" s="28">
        <v>45498</v>
      </c>
      <c r="V17" s="28">
        <v>45499</v>
      </c>
      <c r="W17" s="44">
        <v>45500</v>
      </c>
      <c r="X17" s="44">
        <v>45501</v>
      </c>
      <c r="Z17" s="28">
        <v>45523</v>
      </c>
      <c r="AA17" s="28">
        <v>45524</v>
      </c>
      <c r="AB17" s="28">
        <v>45525</v>
      </c>
      <c r="AC17" s="28">
        <v>45526</v>
      </c>
      <c r="AD17" s="28">
        <v>45527</v>
      </c>
      <c r="AE17" s="44">
        <v>45528</v>
      </c>
      <c r="AF17" s="44">
        <v>45529</v>
      </c>
    </row>
    <row r="18" spans="1:32" x14ac:dyDescent="0.25">
      <c r="B18" s="28">
        <v>45439</v>
      </c>
      <c r="C18" s="28">
        <v>45440</v>
      </c>
      <c r="D18" s="28">
        <v>45441</v>
      </c>
      <c r="E18" s="28">
        <v>45442</v>
      </c>
      <c r="F18" s="28">
        <v>45443</v>
      </c>
      <c r="G18" s="44" t="str">
        <v/>
      </c>
      <c r="H18" s="44" t="str">
        <v/>
      </c>
      <c r="J18" s="28">
        <v>45467</v>
      </c>
      <c r="K18" s="28">
        <v>45468</v>
      </c>
      <c r="L18" s="28">
        <v>45469</v>
      </c>
      <c r="M18" s="28">
        <v>45470</v>
      </c>
      <c r="N18" s="28">
        <v>45471</v>
      </c>
      <c r="O18" s="44">
        <v>45472</v>
      </c>
      <c r="P18" s="44">
        <v>45473</v>
      </c>
      <c r="R18" s="28">
        <v>45502</v>
      </c>
      <c r="S18" s="28">
        <v>45503</v>
      </c>
      <c r="T18" s="28">
        <v>45504</v>
      </c>
      <c r="U18" s="28" t="str">
        <v/>
      </c>
      <c r="V18" s="28" t="str">
        <v/>
      </c>
      <c r="W18" s="44" t="str">
        <v/>
      </c>
      <c r="X18" s="44" t="str">
        <v/>
      </c>
      <c r="Z18" s="28">
        <v>45530</v>
      </c>
      <c r="AA18" s="28">
        <v>45531</v>
      </c>
      <c r="AB18" s="28">
        <v>45532</v>
      </c>
      <c r="AC18" s="28">
        <v>45533</v>
      </c>
      <c r="AD18" s="28">
        <v>45534</v>
      </c>
      <c r="AE18" s="44">
        <v>45535</v>
      </c>
      <c r="AF18" s="44" t="str">
        <v/>
      </c>
    </row>
    <row r="19" spans="1:32" x14ac:dyDescent="0.25">
      <c r="B19" s="28" t="str">
        <v/>
      </c>
      <c r="C19" s="28" t="str">
        <v/>
      </c>
      <c r="D19" s="28" t="str">
        <v/>
      </c>
      <c r="E19" s="28" t="str">
        <v/>
      </c>
      <c r="F19" s="28" t="str">
        <v/>
      </c>
      <c r="G19" s="44" t="str">
        <v/>
      </c>
      <c r="H19" s="44" t="str">
        <v/>
      </c>
      <c r="J19" s="28" t="str">
        <v/>
      </c>
      <c r="K19" s="28" t="str">
        <v/>
      </c>
      <c r="L19" s="28" t="str">
        <v/>
      </c>
      <c r="M19" s="28" t="str">
        <v/>
      </c>
      <c r="N19" s="28" t="str">
        <v/>
      </c>
      <c r="O19" s="44" t="str">
        <v/>
      </c>
      <c r="P19" s="44" t="str">
        <v/>
      </c>
      <c r="R19" s="28" t="str">
        <v/>
      </c>
      <c r="S19" s="28" t="str">
        <v/>
      </c>
      <c r="T19" s="28" t="str">
        <v/>
      </c>
      <c r="U19" s="28" t="str">
        <v/>
      </c>
      <c r="V19" s="28" t="str">
        <v/>
      </c>
      <c r="W19" s="44" t="str">
        <v/>
      </c>
      <c r="X19" s="44" t="str">
        <v/>
      </c>
      <c r="Z19" s="28" t="str">
        <v/>
      </c>
      <c r="AA19" s="28" t="str">
        <v/>
      </c>
      <c r="AB19" s="28" t="str">
        <v/>
      </c>
      <c r="AC19" s="28" t="str">
        <v/>
      </c>
      <c r="AD19" s="28" t="str">
        <v/>
      </c>
      <c r="AE19" s="44" t="str">
        <v/>
      </c>
      <c r="AF19" s="44" t="str">
        <v/>
      </c>
    </row>
    <row r="21" spans="1:32" x14ac:dyDescent="0.25">
      <c r="B21" s="22">
        <v>9</v>
      </c>
      <c r="C21" s="2"/>
      <c r="D21" s="2"/>
      <c r="E21" s="2"/>
      <c r="F21" s="2"/>
      <c r="G21" s="2"/>
      <c r="H21" s="2"/>
      <c r="J21" s="25">
        <v>10</v>
      </c>
      <c r="K21" s="2"/>
      <c r="L21" s="2"/>
      <c r="M21" s="2"/>
      <c r="N21" s="2"/>
      <c r="O21" s="2"/>
      <c r="P21" s="2"/>
      <c r="R21" s="24">
        <v>11</v>
      </c>
      <c r="S21" s="2"/>
      <c r="T21" s="2"/>
      <c r="U21" s="2"/>
      <c r="V21" s="2"/>
      <c r="W21" s="2"/>
      <c r="X21" s="2"/>
      <c r="Z21" s="23">
        <v>12</v>
      </c>
      <c r="AA21" s="2"/>
      <c r="AB21" s="2"/>
      <c r="AC21" s="2"/>
      <c r="AD21" s="2"/>
      <c r="AE21" s="2"/>
      <c r="AF21" s="2"/>
    </row>
    <row r="22" spans="1:32" x14ac:dyDescent="0.25">
      <c r="B22" s="1" t="s">
        <v>12</v>
      </c>
      <c r="C22" s="1" t="s">
        <v>13</v>
      </c>
      <c r="D22" s="1" t="s">
        <v>14</v>
      </c>
      <c r="E22" s="1" t="s">
        <v>13</v>
      </c>
      <c r="F22" s="1" t="s">
        <v>15</v>
      </c>
      <c r="G22" s="1" t="s">
        <v>16</v>
      </c>
      <c r="H22" s="1" t="s">
        <v>16</v>
      </c>
      <c r="J22" s="1" t="s">
        <v>12</v>
      </c>
      <c r="K22" s="1" t="s">
        <v>13</v>
      </c>
      <c r="L22" s="1" t="s">
        <v>14</v>
      </c>
      <c r="M22" s="1" t="s">
        <v>13</v>
      </c>
      <c r="N22" s="1" t="s">
        <v>15</v>
      </c>
      <c r="O22" s="1" t="s">
        <v>16</v>
      </c>
      <c r="P22" s="1" t="s">
        <v>16</v>
      </c>
      <c r="R22" s="1" t="s">
        <v>12</v>
      </c>
      <c r="S22" s="1" t="s">
        <v>13</v>
      </c>
      <c r="T22" s="1" t="s">
        <v>14</v>
      </c>
      <c r="U22" s="1" t="s">
        <v>13</v>
      </c>
      <c r="V22" s="1" t="s">
        <v>15</v>
      </c>
      <c r="W22" s="1" t="s">
        <v>16</v>
      </c>
      <c r="X22" s="1" t="s">
        <v>16</v>
      </c>
      <c r="Z22" s="1" t="s">
        <v>12</v>
      </c>
      <c r="AA22" s="1" t="s">
        <v>13</v>
      </c>
      <c r="AB22" s="1" t="s">
        <v>14</v>
      </c>
      <c r="AC22" s="1" t="s">
        <v>13</v>
      </c>
      <c r="AD22" s="1" t="s">
        <v>15</v>
      </c>
      <c r="AE22" s="1" t="s">
        <v>16</v>
      </c>
      <c r="AF22" s="1" t="s">
        <v>16</v>
      </c>
    </row>
    <row r="23" spans="1:32" x14ac:dyDescent="0.25">
      <c r="B23" s="28" t="str" cm="1">
        <f t="array" ref="B23:H28">IF(MONTH(DATE($B$1,$B$21,1)+_xlfn.SEQUENCE(6,7)-WEEKDAY(DATE($B$1,$B$21,1),2))=$B$21,DATE($B$1,$B$21,1)+_xlfn.SEQUENCE(6,7)-WEEKDAY(DATE($B$1,$B$21,1),2),"")</f>
        <v/>
      </c>
      <c r="C23" s="28" t="str">
        <v/>
      </c>
      <c r="D23" s="28" t="str">
        <v/>
      </c>
      <c r="E23" s="28" t="str">
        <v/>
      </c>
      <c r="F23" s="28" t="str">
        <v/>
      </c>
      <c r="G23" s="44" t="str">
        <v/>
      </c>
      <c r="H23" s="44">
        <v>45536</v>
      </c>
      <c r="J23" s="28" t="str" cm="1">
        <f t="array" ref="J23:P28">IF(MONTH(DATE($B$1,$J$21,1)+_xlfn.SEQUENCE(6,7)-WEEKDAY(DATE($B$1,$J$21,1),2))=$J$21,DATE($B$1,$J$21,1)+_xlfn.SEQUENCE(6,7)-WEEKDAY(DATE($B$1,$J$21,1),2),"")</f>
        <v/>
      </c>
      <c r="K23" s="28">
        <v>45566</v>
      </c>
      <c r="L23" s="28">
        <v>45567</v>
      </c>
      <c r="M23" s="28">
        <v>45568</v>
      </c>
      <c r="N23" s="28">
        <v>45569</v>
      </c>
      <c r="O23" s="44">
        <v>45570</v>
      </c>
      <c r="P23" s="44">
        <v>45571</v>
      </c>
      <c r="R23" s="28" t="str" cm="1">
        <f t="array" ref="R23:X28">IF(MONTH(DATE($B$1,$R$21,1)+_xlfn.SEQUENCE(6,7)-WEEKDAY(DATE($B$1,$R$21,1),2))=$R$21,DATE($B$1,$R$21,1)+_xlfn.SEQUENCE(6,7)-WEEKDAY(DATE($B$1,$R$21,1),2),"")</f>
        <v/>
      </c>
      <c r="S23" s="28" t="str">
        <v/>
      </c>
      <c r="T23" s="28" t="str">
        <v/>
      </c>
      <c r="U23" s="28" t="str">
        <v/>
      </c>
      <c r="V23" s="28">
        <v>45597</v>
      </c>
      <c r="W23" s="44">
        <v>45598</v>
      </c>
      <c r="X23" s="44">
        <v>45599</v>
      </c>
      <c r="Z23" s="28" t="str" cm="1">
        <f t="array" ref="Z23:AF28">IF(MONTH(DATE($B$1,$Z$21,1)+_xlfn.SEQUENCE(6,7)-WEEKDAY(DATE($B$1,$Z$21,1),2))=$Z$21,DATE($B$1,$Z$21,1)+_xlfn.SEQUENCE(6,7)-WEEKDAY(DATE($B$1,$Z$21,1),2),"")</f>
        <v/>
      </c>
      <c r="AA23" s="28" t="str">
        <v/>
      </c>
      <c r="AB23" s="28" t="str">
        <v/>
      </c>
      <c r="AC23" s="28" t="str">
        <v/>
      </c>
      <c r="AD23" s="28" t="str">
        <v/>
      </c>
      <c r="AE23" s="44" t="str">
        <v/>
      </c>
      <c r="AF23" s="44">
        <v>45627</v>
      </c>
    </row>
    <row r="24" spans="1:32" x14ac:dyDescent="0.25">
      <c r="B24" s="28">
        <v>45537</v>
      </c>
      <c r="C24" s="28">
        <v>45538</v>
      </c>
      <c r="D24" s="28">
        <v>45539</v>
      </c>
      <c r="E24" s="28">
        <v>45540</v>
      </c>
      <c r="F24" s="28">
        <v>45541</v>
      </c>
      <c r="G24" s="44">
        <v>45542</v>
      </c>
      <c r="H24" s="44">
        <v>45543</v>
      </c>
      <c r="J24" s="28">
        <v>45572</v>
      </c>
      <c r="K24" s="28">
        <v>45573</v>
      </c>
      <c r="L24" s="28">
        <v>45574</v>
      </c>
      <c r="M24" s="28">
        <v>45575</v>
      </c>
      <c r="N24" s="28">
        <v>45576</v>
      </c>
      <c r="O24" s="44">
        <v>45577</v>
      </c>
      <c r="P24" s="44">
        <v>45578</v>
      </c>
      <c r="R24" s="28">
        <v>45600</v>
      </c>
      <c r="S24" s="28">
        <v>45601</v>
      </c>
      <c r="T24" s="28">
        <v>45602</v>
      </c>
      <c r="U24" s="28">
        <v>45603</v>
      </c>
      <c r="V24" s="28">
        <v>45604</v>
      </c>
      <c r="W24" s="44">
        <v>45605</v>
      </c>
      <c r="X24" s="44">
        <v>45606</v>
      </c>
      <c r="Z24" s="28">
        <v>45628</v>
      </c>
      <c r="AA24" s="28">
        <v>45629</v>
      </c>
      <c r="AB24" s="28">
        <v>45630</v>
      </c>
      <c r="AC24" s="28">
        <v>45631</v>
      </c>
      <c r="AD24" s="28">
        <v>45632</v>
      </c>
      <c r="AE24" s="44">
        <v>45633</v>
      </c>
      <c r="AF24" s="44">
        <v>45634</v>
      </c>
    </row>
    <row r="25" spans="1:32" x14ac:dyDescent="0.25">
      <c r="B25" s="28">
        <v>45544</v>
      </c>
      <c r="C25" s="28">
        <v>45545</v>
      </c>
      <c r="D25" s="28">
        <v>45546</v>
      </c>
      <c r="E25" s="28">
        <v>45547</v>
      </c>
      <c r="F25" s="28">
        <v>45548</v>
      </c>
      <c r="G25" s="44">
        <v>45549</v>
      </c>
      <c r="H25" s="44">
        <v>45550</v>
      </c>
      <c r="J25" s="28">
        <v>45579</v>
      </c>
      <c r="K25" s="28">
        <v>45580</v>
      </c>
      <c r="L25" s="28">
        <v>45581</v>
      </c>
      <c r="M25" s="28">
        <v>45582</v>
      </c>
      <c r="N25" s="28">
        <v>45583</v>
      </c>
      <c r="O25" s="44">
        <v>45584</v>
      </c>
      <c r="P25" s="44">
        <v>45585</v>
      </c>
      <c r="R25" s="28">
        <v>45607</v>
      </c>
      <c r="S25" s="28">
        <v>45608</v>
      </c>
      <c r="T25" s="28">
        <v>45609</v>
      </c>
      <c r="U25" s="28">
        <v>45610</v>
      </c>
      <c r="V25" s="28">
        <v>45611</v>
      </c>
      <c r="W25" s="44">
        <v>45612</v>
      </c>
      <c r="X25" s="44">
        <v>45613</v>
      </c>
      <c r="Z25" s="28">
        <v>45635</v>
      </c>
      <c r="AA25" s="28">
        <v>45636</v>
      </c>
      <c r="AB25" s="28">
        <v>45637</v>
      </c>
      <c r="AC25" s="28">
        <v>45638</v>
      </c>
      <c r="AD25" s="28">
        <v>45639</v>
      </c>
      <c r="AE25" s="44">
        <v>45640</v>
      </c>
      <c r="AF25" s="44">
        <v>45641</v>
      </c>
    </row>
    <row r="26" spans="1:32" x14ac:dyDescent="0.25">
      <c r="B26" s="28">
        <v>45551</v>
      </c>
      <c r="C26" s="28">
        <v>45552</v>
      </c>
      <c r="D26" s="28">
        <v>45553</v>
      </c>
      <c r="E26" s="28">
        <v>45554</v>
      </c>
      <c r="F26" s="28">
        <v>45555</v>
      </c>
      <c r="G26" s="44">
        <v>45556</v>
      </c>
      <c r="H26" s="44">
        <v>45557</v>
      </c>
      <c r="J26" s="28">
        <v>45586</v>
      </c>
      <c r="K26" s="28">
        <v>45587</v>
      </c>
      <c r="L26" s="28">
        <v>45588</v>
      </c>
      <c r="M26" s="28">
        <v>45589</v>
      </c>
      <c r="N26" s="28">
        <v>45590</v>
      </c>
      <c r="O26" s="44">
        <v>45591</v>
      </c>
      <c r="P26" s="44">
        <v>45592</v>
      </c>
      <c r="R26" s="28">
        <v>45614</v>
      </c>
      <c r="S26" s="28">
        <v>45615</v>
      </c>
      <c r="T26" s="28">
        <v>45616</v>
      </c>
      <c r="U26" s="28">
        <v>45617</v>
      </c>
      <c r="V26" s="28">
        <v>45618</v>
      </c>
      <c r="W26" s="44">
        <v>45619</v>
      </c>
      <c r="X26" s="44">
        <v>45620</v>
      </c>
      <c r="Z26" s="28">
        <v>45642</v>
      </c>
      <c r="AA26" s="28">
        <v>45643</v>
      </c>
      <c r="AB26" s="28">
        <v>45644</v>
      </c>
      <c r="AC26" s="28">
        <v>45645</v>
      </c>
      <c r="AD26" s="28">
        <v>45646</v>
      </c>
      <c r="AE26" s="44">
        <v>45647</v>
      </c>
      <c r="AF26" s="44">
        <v>45648</v>
      </c>
    </row>
    <row r="27" spans="1:32" x14ac:dyDescent="0.25">
      <c r="B27" s="28">
        <v>45558</v>
      </c>
      <c r="C27" s="28">
        <v>45559</v>
      </c>
      <c r="D27" s="28">
        <v>45560</v>
      </c>
      <c r="E27" s="28">
        <v>45561</v>
      </c>
      <c r="F27" s="28">
        <v>45562</v>
      </c>
      <c r="G27" s="44">
        <v>45563</v>
      </c>
      <c r="H27" s="44">
        <v>45564</v>
      </c>
      <c r="J27" s="28">
        <v>45593</v>
      </c>
      <c r="K27" s="28">
        <v>45594</v>
      </c>
      <c r="L27" s="28">
        <v>45595</v>
      </c>
      <c r="M27" s="28">
        <v>45596</v>
      </c>
      <c r="N27" s="28" t="str">
        <v/>
      </c>
      <c r="O27" s="44" t="str">
        <v/>
      </c>
      <c r="P27" s="44" t="str">
        <v/>
      </c>
      <c r="R27" s="28">
        <v>45621</v>
      </c>
      <c r="S27" s="28">
        <v>45622</v>
      </c>
      <c r="T27" s="28">
        <v>45623</v>
      </c>
      <c r="U27" s="28">
        <v>45624</v>
      </c>
      <c r="V27" s="28">
        <v>45625</v>
      </c>
      <c r="W27" s="44">
        <v>45626</v>
      </c>
      <c r="X27" s="44" t="str">
        <v/>
      </c>
      <c r="Z27" s="28">
        <v>45649</v>
      </c>
      <c r="AA27" s="28">
        <v>45650</v>
      </c>
      <c r="AB27" s="28">
        <v>45651</v>
      </c>
      <c r="AC27" s="28">
        <v>45652</v>
      </c>
      <c r="AD27" s="28">
        <v>45653</v>
      </c>
      <c r="AE27" s="44">
        <v>45654</v>
      </c>
      <c r="AF27" s="44">
        <v>45655</v>
      </c>
    </row>
    <row r="28" spans="1:32" x14ac:dyDescent="0.25">
      <c r="B28" s="28">
        <v>45565</v>
      </c>
      <c r="C28" s="28" t="str">
        <v/>
      </c>
      <c r="D28" s="28" t="str">
        <v/>
      </c>
      <c r="E28" s="28" t="str">
        <v/>
      </c>
      <c r="F28" s="28" t="str">
        <v/>
      </c>
      <c r="G28" s="44" t="str">
        <v/>
      </c>
      <c r="H28" s="44" t="str">
        <v/>
      </c>
      <c r="J28" s="28" t="str">
        <v/>
      </c>
      <c r="K28" s="28" t="str">
        <v/>
      </c>
      <c r="L28" s="28" t="str">
        <v/>
      </c>
      <c r="M28" s="28" t="str">
        <v/>
      </c>
      <c r="N28" s="28" t="str">
        <v/>
      </c>
      <c r="O28" s="44" t="str">
        <v/>
      </c>
      <c r="P28" s="44" t="str">
        <v/>
      </c>
      <c r="R28" s="28" t="str">
        <v/>
      </c>
      <c r="S28" s="28" t="str">
        <v/>
      </c>
      <c r="T28" s="28" t="str">
        <v/>
      </c>
      <c r="U28" s="28" t="str">
        <v/>
      </c>
      <c r="V28" s="28" t="str">
        <v/>
      </c>
      <c r="W28" s="44" t="str">
        <v/>
      </c>
      <c r="X28" s="44" t="str">
        <v/>
      </c>
      <c r="Z28" s="28">
        <v>45656</v>
      </c>
      <c r="AA28" s="28">
        <v>45657</v>
      </c>
      <c r="AB28" s="28" t="str">
        <v/>
      </c>
      <c r="AC28" s="28" t="str">
        <v/>
      </c>
      <c r="AD28" s="28" t="str">
        <v/>
      </c>
      <c r="AE28" s="44" t="str">
        <v/>
      </c>
      <c r="AF28" s="44" t="str">
        <v/>
      </c>
    </row>
    <row r="30" spans="1:32" ht="15.75" thickBot="1" x14ac:dyDescent="0.3">
      <c r="A30" s="4"/>
      <c r="B30" s="11" t="s">
        <v>18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3"/>
    </row>
    <row r="31" spans="1:32" x14ac:dyDescent="0.25">
      <c r="B31" s="6"/>
      <c r="X31" s="7"/>
    </row>
    <row r="32" spans="1:32" x14ac:dyDescent="0.25">
      <c r="B32" s="6"/>
      <c r="X32" s="7"/>
    </row>
    <row r="33" spans="2:27" x14ac:dyDescent="0.25">
      <c r="B33" s="6"/>
      <c r="X33" s="7"/>
    </row>
    <row r="34" spans="2:27" x14ac:dyDescent="0.25">
      <c r="B34" s="6"/>
      <c r="X34" s="7"/>
    </row>
    <row r="35" spans="2:27" x14ac:dyDescent="0.25">
      <c r="B35" s="6"/>
      <c r="X35" s="7"/>
      <c r="AA35" s="5"/>
    </row>
    <row r="36" spans="2:27" x14ac:dyDescent="0.25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10"/>
    </row>
  </sheetData>
  <mergeCells count="1">
    <mergeCell ref="B1:X1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CF9E61F-1B53-4D7D-BB1C-8F8772A91B76}">
            <xm:f>NOT(ISERROR(VLOOKUP(B5,'Holidays 2024'!$H:$H,1,0)))</xm:f>
            <x14:dxf>
              <fill>
                <patternFill>
                  <bgColor rgb="FFFF572F"/>
                </patternFill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thin">
                  <color rgb="FFC00000"/>
                </top>
                <bottom style="thin">
                  <color rgb="FFC00000"/>
                </bottom>
                <vertical/>
                <horizontal/>
              </border>
            </x14:dxf>
          </x14:cfRule>
          <x14:cfRule type="expression" priority="2" id="{651BDC3B-975E-4794-9AAB-A01273F27125}">
            <xm:f>NOT(ISERROR(VLOOKUP(B5,'Holidays 2024'!$F:$F,1,0)))</xm:f>
            <x14:dxf>
              <fill>
                <patternFill>
                  <bgColor rgb="FFFAC04C"/>
                </patternFill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thin">
                  <color rgb="FFC00000"/>
                </top>
                <bottom style="thin">
                  <color rgb="FFC00000"/>
                </bottom>
                <vertical/>
                <horizontal/>
              </border>
            </x14:dxf>
          </x14:cfRule>
          <x14:cfRule type="expression" priority="3" id="{FDC67D27-42EA-45F5-8E92-B2A0DA00A593}">
            <xm:f>NOT(ISERROR(VLOOKUP(B5,'Holidays 2024'!$D:$D,1,0)))</xm:f>
            <x14:dxf>
              <fill>
                <patternFill>
                  <bgColor rgb="FF07F9F3"/>
                </patternFill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thin">
                  <color rgb="FFC00000"/>
                </top>
                <bottom style="thin">
                  <color rgb="FFC00000"/>
                </bottom>
                <vertical/>
                <horizontal/>
              </border>
            </x14:dxf>
          </x14:cfRule>
          <x14:cfRule type="expression" priority="4" id="{71EC39B0-C0DA-4389-AA8C-8FD6532C5E5F}">
            <xm:f>NOT(ISERROR(VLOOKUP(B5,'Holidays 2024'!$B:$B,1,0)))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thin">
                  <color rgb="FFC00000"/>
                </top>
                <bottom style="thin">
                  <color rgb="FFC00000"/>
                </bottom>
                <vertical/>
                <horizontal/>
              </border>
            </x14:dxf>
          </x14:cfRule>
          <xm:sqref>AH5 B5:H10 J5:P10 R5:X10 Z5:AF10 B14:H19 J14:P19 R14:X19 Z14:AF19 B23:H28 J23:P28 R23:X28 Z23:AF28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535B5-25F6-4F7F-9A2C-F7E416965DAE}">
  <dimension ref="A1:T13"/>
  <sheetViews>
    <sheetView workbookViewId="0">
      <selection activeCell="I3" sqref="I3"/>
    </sheetView>
  </sheetViews>
  <sheetFormatPr defaultRowHeight="15" x14ac:dyDescent="0.25"/>
  <cols>
    <col min="1" max="1" width="7.42578125" bestFit="1" customWidth="1"/>
    <col min="2" max="2" width="10" bestFit="1" customWidth="1"/>
    <col min="3" max="3" width="10.28515625" bestFit="1" customWidth="1"/>
    <col min="4" max="4" width="10" bestFit="1" customWidth="1"/>
    <col min="5" max="5" width="9.42578125" bestFit="1" customWidth="1"/>
    <col min="6" max="6" width="12.28515625" bestFit="1" customWidth="1"/>
    <col min="7" max="7" width="9" bestFit="1" customWidth="1"/>
    <col min="8" max="8" width="13.85546875" bestFit="1" customWidth="1"/>
    <col min="9" max="9" width="16" bestFit="1" customWidth="1"/>
    <col min="11" max="11" width="7.42578125" bestFit="1" customWidth="1"/>
    <col min="12" max="12" width="8" bestFit="1" customWidth="1"/>
    <col min="13" max="13" width="10.28515625" bestFit="1" customWidth="1"/>
    <col min="14" max="14" width="7.5703125" bestFit="1" customWidth="1"/>
    <col min="15" max="15" width="9.42578125" bestFit="1" customWidth="1"/>
    <col min="16" max="16" width="12.28515625" bestFit="1" customWidth="1"/>
    <col min="17" max="17" width="9" bestFit="1" customWidth="1"/>
    <col min="18" max="18" width="10" bestFit="1" customWidth="1"/>
    <col min="19" max="19" width="13.85546875" bestFit="1" customWidth="1"/>
    <col min="20" max="20" width="16" bestFit="1" customWidth="1"/>
  </cols>
  <sheetData>
    <row r="1" spans="1:20" ht="15.75" thickBot="1" x14ac:dyDescent="0.3">
      <c r="B1" s="35" t="s">
        <v>36</v>
      </c>
      <c r="C1" s="35" t="s">
        <v>37</v>
      </c>
      <c r="D1" s="35" t="s">
        <v>38</v>
      </c>
      <c r="E1" s="35" t="s">
        <v>39</v>
      </c>
      <c r="F1" s="35" t="s">
        <v>40</v>
      </c>
      <c r="G1" s="35" t="s">
        <v>41</v>
      </c>
      <c r="H1" s="36" t="s">
        <v>45</v>
      </c>
      <c r="I1" s="36" t="s">
        <v>46</v>
      </c>
      <c r="L1" s="35" t="s">
        <v>36</v>
      </c>
      <c r="M1" s="35" t="s">
        <v>37</v>
      </c>
      <c r="N1" s="35" t="s">
        <v>38</v>
      </c>
      <c r="O1" s="35" t="s">
        <v>39</v>
      </c>
      <c r="P1" s="35" t="s">
        <v>40</v>
      </c>
      <c r="Q1" s="35" t="s">
        <v>41</v>
      </c>
      <c r="R1" s="35" t="s">
        <v>44</v>
      </c>
      <c r="S1" s="36" t="s">
        <v>45</v>
      </c>
      <c r="T1" s="36" t="s">
        <v>46</v>
      </c>
    </row>
    <row r="2" spans="1:20" x14ac:dyDescent="0.25">
      <c r="A2" s="37">
        <v>45292</v>
      </c>
      <c r="B2" s="38">
        <v>8.6666600000000003</v>
      </c>
      <c r="C2" s="38">
        <f>'TimeOff 2023-2024'!M2</f>
        <v>-1.3334999999999582</v>
      </c>
      <c r="D2" s="40">
        <f>B2+C2</f>
        <v>7.3331600000000421</v>
      </c>
      <c r="E2" s="38">
        <v>1.66666</v>
      </c>
      <c r="F2" s="38">
        <f>'TimeOff 2023-2024'!P2</f>
        <v>-0.33349999999999724</v>
      </c>
      <c r="G2" s="40">
        <f>E2+F2</f>
        <v>1.3331600000000028</v>
      </c>
      <c r="H2" s="38">
        <v>8</v>
      </c>
      <c r="I2" s="38">
        <v>1</v>
      </c>
      <c r="K2" s="37">
        <v>45658</v>
      </c>
      <c r="L2" s="38">
        <v>8.6666600000000003</v>
      </c>
      <c r="M2" s="38">
        <f>B13-H13</f>
        <v>94.666420000000073</v>
      </c>
      <c r="N2" s="40">
        <f>L2+M2</f>
        <v>103.33308000000008</v>
      </c>
      <c r="O2" s="38">
        <v>1.66666</v>
      </c>
      <c r="P2" s="38">
        <f>E13-I13</f>
        <v>18.666420000000002</v>
      </c>
      <c r="Q2" s="40">
        <f>O2+P2</f>
        <v>20.333080000000002</v>
      </c>
      <c r="R2" s="38">
        <f>ROUND((L2+M2)/8+O2+P2,2)</f>
        <v>33.25</v>
      </c>
      <c r="S2" s="38"/>
      <c r="T2" s="38"/>
    </row>
    <row r="3" spans="1:20" x14ac:dyDescent="0.25">
      <c r="A3" s="37">
        <v>45323</v>
      </c>
      <c r="B3" s="39">
        <f t="shared" ref="B3:B13" si="0">IF(C2&lt;H2,B2+8.66666-(H2-C2),B2+8.66666)</f>
        <v>7.9998200000000423</v>
      </c>
      <c r="C3" s="39">
        <f t="shared" ref="C3:C13" si="1">IF(C2&lt;H2,0,C2-H2)</f>
        <v>0</v>
      </c>
      <c r="D3" s="41">
        <f t="shared" ref="D3:D13" si="2">B3+C3</f>
        <v>7.9998200000000423</v>
      </c>
      <c r="E3" s="39">
        <f t="shared" ref="E3:E13" si="3">IF(F2&lt;I2,E2+1.66666-(I2-F2),E2+1.66666)</f>
        <v>1.9998200000000028</v>
      </c>
      <c r="F3" s="39">
        <f t="shared" ref="F3:F13" si="4">IF(F2&lt;I2,0,F2-I2)</f>
        <v>0</v>
      </c>
      <c r="G3" s="41">
        <f t="shared" ref="G3:G13" si="5">E3+F3</f>
        <v>1.9998200000000028</v>
      </c>
      <c r="H3" s="39"/>
      <c r="I3" s="39"/>
      <c r="K3" s="37">
        <v>45689</v>
      </c>
      <c r="L3" s="39">
        <f t="shared" ref="L3:L13" si="6">IF(M2&lt;S2,L2+8.66666-(S2-M2),L2+8.66666)</f>
        <v>17.333320000000001</v>
      </c>
      <c r="M3" s="39">
        <f t="shared" ref="M3:M13" si="7">IF(M2&lt;S2,0,M2-S2)</f>
        <v>94.666420000000073</v>
      </c>
      <c r="N3" s="41">
        <f t="shared" ref="N3:N13" si="8">L3+M3</f>
        <v>111.99974000000007</v>
      </c>
      <c r="O3" s="39">
        <f t="shared" ref="O3:O13" si="9">IF(P2&lt;T2,O2+1.66666-(T2-P2),O2+1.66666)</f>
        <v>3.3333200000000001</v>
      </c>
      <c r="P3" s="39">
        <f t="shared" ref="P3:P13" si="10">IF(P2&lt;T2,0,P2-T2)</f>
        <v>18.666420000000002</v>
      </c>
      <c r="Q3" s="41">
        <f t="shared" ref="Q3:Q13" si="11">O3+P3</f>
        <v>21.999740000000003</v>
      </c>
      <c r="R3" s="39">
        <f>ROUND((L3+M3)/8+O3+P3,2)</f>
        <v>36</v>
      </c>
      <c r="S3" s="39"/>
      <c r="T3" s="39"/>
    </row>
    <row r="4" spans="1:20" x14ac:dyDescent="0.25">
      <c r="A4" s="37">
        <v>45352</v>
      </c>
      <c r="B4" s="39">
        <f t="shared" si="0"/>
        <v>16.666480000000043</v>
      </c>
      <c r="C4" s="39">
        <f t="shared" si="1"/>
        <v>0</v>
      </c>
      <c r="D4" s="41">
        <f t="shared" si="2"/>
        <v>16.666480000000043</v>
      </c>
      <c r="E4" s="39">
        <f t="shared" si="3"/>
        <v>3.6664800000000026</v>
      </c>
      <c r="F4" s="39">
        <f t="shared" si="4"/>
        <v>0</v>
      </c>
      <c r="G4" s="41">
        <f t="shared" si="5"/>
        <v>3.6664800000000026</v>
      </c>
      <c r="H4" s="39"/>
      <c r="I4" s="39"/>
      <c r="K4" s="37">
        <v>45717</v>
      </c>
      <c r="L4" s="39">
        <f t="shared" si="6"/>
        <v>25.999980000000001</v>
      </c>
      <c r="M4" s="39">
        <f t="shared" si="7"/>
        <v>94.666420000000073</v>
      </c>
      <c r="N4" s="41">
        <f t="shared" si="8"/>
        <v>120.66640000000007</v>
      </c>
      <c r="O4" s="39">
        <f t="shared" si="9"/>
        <v>4.9999799999999999</v>
      </c>
      <c r="P4" s="39">
        <f t="shared" si="10"/>
        <v>18.666420000000002</v>
      </c>
      <c r="Q4" s="41">
        <f t="shared" si="11"/>
        <v>23.666400000000003</v>
      </c>
      <c r="R4" s="39">
        <f t="shared" ref="R4:R12" si="12">ROUND((L4+M4)/8+O4+P4,2)</f>
        <v>38.75</v>
      </c>
      <c r="S4" s="39"/>
      <c r="T4" s="39"/>
    </row>
    <row r="5" spans="1:20" x14ac:dyDescent="0.25">
      <c r="A5" s="37">
        <v>45383</v>
      </c>
      <c r="B5" s="39">
        <f t="shared" si="0"/>
        <v>25.333140000000043</v>
      </c>
      <c r="C5" s="39">
        <f t="shared" si="1"/>
        <v>0</v>
      </c>
      <c r="D5" s="41">
        <f t="shared" si="2"/>
        <v>25.333140000000043</v>
      </c>
      <c r="E5" s="39">
        <f t="shared" si="3"/>
        <v>5.3331400000000029</v>
      </c>
      <c r="F5" s="39">
        <f t="shared" si="4"/>
        <v>0</v>
      </c>
      <c r="G5" s="41">
        <f t="shared" si="5"/>
        <v>5.3331400000000029</v>
      </c>
      <c r="H5" s="39"/>
      <c r="I5" s="39"/>
      <c r="K5" s="37">
        <v>45748</v>
      </c>
      <c r="L5" s="39">
        <f t="shared" si="6"/>
        <v>34.666640000000001</v>
      </c>
      <c r="M5" s="39">
        <f t="shared" si="7"/>
        <v>94.666420000000073</v>
      </c>
      <c r="N5" s="41">
        <f t="shared" si="8"/>
        <v>129.33306000000007</v>
      </c>
      <c r="O5" s="39">
        <f t="shared" si="9"/>
        <v>6.6666400000000001</v>
      </c>
      <c r="P5" s="39">
        <f t="shared" si="10"/>
        <v>18.666420000000002</v>
      </c>
      <c r="Q5" s="41">
        <f t="shared" si="11"/>
        <v>25.333060000000003</v>
      </c>
      <c r="R5" s="39">
        <f t="shared" si="12"/>
        <v>41.5</v>
      </c>
      <c r="S5" s="39"/>
      <c r="T5" s="39"/>
    </row>
    <row r="6" spans="1:20" x14ac:dyDescent="0.25">
      <c r="A6" s="37">
        <v>45413</v>
      </c>
      <c r="B6" s="39">
        <f t="shared" si="0"/>
        <v>33.999800000000043</v>
      </c>
      <c r="C6" s="39">
        <f t="shared" si="1"/>
        <v>0</v>
      </c>
      <c r="D6" s="41">
        <f t="shared" si="2"/>
        <v>33.999800000000043</v>
      </c>
      <c r="E6" s="39">
        <f t="shared" si="3"/>
        <v>6.9998000000000031</v>
      </c>
      <c r="F6" s="39">
        <f t="shared" si="4"/>
        <v>0</v>
      </c>
      <c r="G6" s="41">
        <f t="shared" si="5"/>
        <v>6.9998000000000031</v>
      </c>
      <c r="H6" s="39"/>
      <c r="I6" s="39"/>
      <c r="K6" s="37">
        <v>45778</v>
      </c>
      <c r="L6" s="39">
        <f t="shared" si="6"/>
        <v>43.333300000000001</v>
      </c>
      <c r="M6" s="39">
        <f t="shared" si="7"/>
        <v>94.666420000000073</v>
      </c>
      <c r="N6" s="41">
        <f t="shared" si="8"/>
        <v>137.99972000000008</v>
      </c>
      <c r="O6" s="39">
        <f t="shared" si="9"/>
        <v>8.3332999999999995</v>
      </c>
      <c r="P6" s="39">
        <f t="shared" si="10"/>
        <v>18.666420000000002</v>
      </c>
      <c r="Q6" s="41">
        <f t="shared" si="11"/>
        <v>26.999720000000003</v>
      </c>
      <c r="R6" s="39">
        <f t="shared" si="12"/>
        <v>44.25</v>
      </c>
      <c r="S6" s="39"/>
      <c r="T6" s="39"/>
    </row>
    <row r="7" spans="1:20" x14ac:dyDescent="0.25">
      <c r="A7" s="37">
        <v>45444</v>
      </c>
      <c r="B7" s="39">
        <f t="shared" si="0"/>
        <v>42.666460000000043</v>
      </c>
      <c r="C7" s="39">
        <f t="shared" si="1"/>
        <v>0</v>
      </c>
      <c r="D7" s="41">
        <f t="shared" si="2"/>
        <v>42.666460000000043</v>
      </c>
      <c r="E7" s="39">
        <f t="shared" si="3"/>
        <v>8.6664600000000025</v>
      </c>
      <c r="F7" s="39">
        <f t="shared" si="4"/>
        <v>0</v>
      </c>
      <c r="G7" s="41">
        <f t="shared" si="5"/>
        <v>8.6664600000000025</v>
      </c>
      <c r="H7" s="39"/>
      <c r="I7" s="39"/>
      <c r="K7" s="37">
        <v>45809</v>
      </c>
      <c r="L7" s="39">
        <f t="shared" si="6"/>
        <v>51.999960000000002</v>
      </c>
      <c r="M7" s="39">
        <f t="shared" si="7"/>
        <v>94.666420000000073</v>
      </c>
      <c r="N7" s="41">
        <f t="shared" si="8"/>
        <v>146.66638000000006</v>
      </c>
      <c r="O7" s="39">
        <f t="shared" si="9"/>
        <v>9.9999599999999997</v>
      </c>
      <c r="P7" s="39">
        <f t="shared" si="10"/>
        <v>18.666420000000002</v>
      </c>
      <c r="Q7" s="41">
        <f t="shared" si="11"/>
        <v>28.666380000000004</v>
      </c>
      <c r="R7" s="39">
        <f t="shared" si="12"/>
        <v>47</v>
      </c>
      <c r="S7" s="39"/>
      <c r="T7" s="39"/>
    </row>
    <row r="8" spans="1:20" x14ac:dyDescent="0.25">
      <c r="A8" s="37">
        <v>45474</v>
      </c>
      <c r="B8" s="39">
        <f t="shared" si="0"/>
        <v>51.333120000000044</v>
      </c>
      <c r="C8" s="39">
        <f t="shared" si="1"/>
        <v>0</v>
      </c>
      <c r="D8" s="41">
        <f t="shared" si="2"/>
        <v>51.333120000000044</v>
      </c>
      <c r="E8" s="39">
        <f t="shared" si="3"/>
        <v>10.333120000000003</v>
      </c>
      <c r="F8" s="39">
        <f t="shared" si="4"/>
        <v>0</v>
      </c>
      <c r="G8" s="41">
        <f t="shared" si="5"/>
        <v>10.333120000000003</v>
      </c>
      <c r="H8" s="39"/>
      <c r="I8" s="39"/>
      <c r="K8" s="37">
        <v>45839</v>
      </c>
      <c r="L8" s="39">
        <f t="shared" si="6"/>
        <v>60.666620000000002</v>
      </c>
      <c r="M8" s="39">
        <f t="shared" si="7"/>
        <v>94.666420000000073</v>
      </c>
      <c r="N8" s="41">
        <f t="shared" si="8"/>
        <v>155.33304000000007</v>
      </c>
      <c r="O8" s="39">
        <f t="shared" si="9"/>
        <v>11.66662</v>
      </c>
      <c r="P8" s="39">
        <f t="shared" si="10"/>
        <v>18.666420000000002</v>
      </c>
      <c r="Q8" s="41">
        <f t="shared" si="11"/>
        <v>30.333040000000004</v>
      </c>
      <c r="R8" s="39">
        <f t="shared" si="12"/>
        <v>49.75</v>
      </c>
      <c r="S8" s="39"/>
      <c r="T8" s="39"/>
    </row>
    <row r="9" spans="1:20" x14ac:dyDescent="0.25">
      <c r="A9" s="37">
        <v>45505</v>
      </c>
      <c r="B9" s="39">
        <f t="shared" si="0"/>
        <v>59.999780000000044</v>
      </c>
      <c r="C9" s="39">
        <f t="shared" si="1"/>
        <v>0</v>
      </c>
      <c r="D9" s="41">
        <f t="shared" si="2"/>
        <v>59.999780000000044</v>
      </c>
      <c r="E9" s="39">
        <f t="shared" si="3"/>
        <v>11.999780000000003</v>
      </c>
      <c r="F9" s="39">
        <f t="shared" si="4"/>
        <v>0</v>
      </c>
      <c r="G9" s="41">
        <f t="shared" si="5"/>
        <v>11.999780000000003</v>
      </c>
      <c r="H9" s="39"/>
      <c r="I9" s="39"/>
      <c r="K9" s="37">
        <v>45870</v>
      </c>
      <c r="L9" s="39">
        <f t="shared" si="6"/>
        <v>69.333280000000002</v>
      </c>
      <c r="M9" s="39">
        <f t="shared" si="7"/>
        <v>94.666420000000073</v>
      </c>
      <c r="N9" s="41">
        <f t="shared" si="8"/>
        <v>163.99970000000008</v>
      </c>
      <c r="O9" s="39">
        <f t="shared" si="9"/>
        <v>13.33328</v>
      </c>
      <c r="P9" s="39">
        <f t="shared" si="10"/>
        <v>18.666420000000002</v>
      </c>
      <c r="Q9" s="41">
        <f t="shared" si="11"/>
        <v>31.999700000000004</v>
      </c>
      <c r="R9" s="39">
        <f t="shared" si="12"/>
        <v>52.5</v>
      </c>
      <c r="S9" s="39"/>
      <c r="T9" s="39"/>
    </row>
    <row r="10" spans="1:20" x14ac:dyDescent="0.25">
      <c r="A10" s="37">
        <v>45536</v>
      </c>
      <c r="B10" s="39">
        <f t="shared" si="0"/>
        <v>68.666440000000051</v>
      </c>
      <c r="C10" s="39">
        <f t="shared" si="1"/>
        <v>0</v>
      </c>
      <c r="D10" s="41">
        <f t="shared" si="2"/>
        <v>68.666440000000051</v>
      </c>
      <c r="E10" s="39">
        <f t="shared" si="3"/>
        <v>13.666440000000003</v>
      </c>
      <c r="F10" s="39">
        <f t="shared" si="4"/>
        <v>0</v>
      </c>
      <c r="G10" s="41">
        <f t="shared" si="5"/>
        <v>13.666440000000003</v>
      </c>
      <c r="H10" s="39"/>
      <c r="I10" s="39"/>
      <c r="K10" s="37">
        <v>45901</v>
      </c>
      <c r="L10" s="39">
        <f t="shared" si="6"/>
        <v>77.999940000000009</v>
      </c>
      <c r="M10" s="39">
        <f t="shared" si="7"/>
        <v>94.666420000000073</v>
      </c>
      <c r="N10" s="41">
        <f t="shared" si="8"/>
        <v>172.66636000000008</v>
      </c>
      <c r="O10" s="39">
        <f t="shared" si="9"/>
        <v>14.99994</v>
      </c>
      <c r="P10" s="39">
        <f t="shared" si="10"/>
        <v>18.666420000000002</v>
      </c>
      <c r="Q10" s="41">
        <f t="shared" si="11"/>
        <v>33.666360000000005</v>
      </c>
      <c r="R10" s="39">
        <f t="shared" si="12"/>
        <v>55.25</v>
      </c>
      <c r="S10" s="39"/>
      <c r="T10" s="39"/>
    </row>
    <row r="11" spans="1:20" x14ac:dyDescent="0.25">
      <c r="A11" s="37">
        <v>45566</v>
      </c>
      <c r="B11" s="39">
        <f t="shared" si="0"/>
        <v>77.333100000000059</v>
      </c>
      <c r="C11" s="39">
        <f t="shared" si="1"/>
        <v>0</v>
      </c>
      <c r="D11" s="41">
        <f t="shared" si="2"/>
        <v>77.333100000000059</v>
      </c>
      <c r="E11" s="39">
        <f t="shared" si="3"/>
        <v>15.333100000000004</v>
      </c>
      <c r="F11" s="39">
        <f t="shared" si="4"/>
        <v>0</v>
      </c>
      <c r="G11" s="41">
        <f t="shared" si="5"/>
        <v>15.333100000000004</v>
      </c>
      <c r="H11" s="39"/>
      <c r="I11" s="39"/>
      <c r="K11" s="37">
        <v>45931</v>
      </c>
      <c r="L11" s="39">
        <f t="shared" si="6"/>
        <v>86.666600000000017</v>
      </c>
      <c r="M11" s="39">
        <f t="shared" si="7"/>
        <v>94.666420000000073</v>
      </c>
      <c r="N11" s="41">
        <f t="shared" si="8"/>
        <v>181.33302000000009</v>
      </c>
      <c r="O11" s="39">
        <f t="shared" si="9"/>
        <v>16.666599999999999</v>
      </c>
      <c r="P11" s="39">
        <f t="shared" si="10"/>
        <v>18.666420000000002</v>
      </c>
      <c r="Q11" s="41">
        <f t="shared" si="11"/>
        <v>35.333020000000005</v>
      </c>
      <c r="R11" s="39">
        <f t="shared" si="12"/>
        <v>58</v>
      </c>
      <c r="S11" s="39"/>
      <c r="T11" s="39"/>
    </row>
    <row r="12" spans="1:20" x14ac:dyDescent="0.25">
      <c r="A12" s="37">
        <v>45597</v>
      </c>
      <c r="B12" s="39">
        <f t="shared" si="0"/>
        <v>85.999760000000066</v>
      </c>
      <c r="C12" s="39">
        <f t="shared" si="1"/>
        <v>0</v>
      </c>
      <c r="D12" s="41">
        <f t="shared" si="2"/>
        <v>85.999760000000066</v>
      </c>
      <c r="E12" s="39">
        <f t="shared" si="3"/>
        <v>16.999760000000002</v>
      </c>
      <c r="F12" s="39">
        <f t="shared" si="4"/>
        <v>0</v>
      </c>
      <c r="G12" s="41">
        <f t="shared" si="5"/>
        <v>16.999760000000002</v>
      </c>
      <c r="H12" s="39"/>
      <c r="I12" s="39"/>
      <c r="K12" s="37">
        <v>45962</v>
      </c>
      <c r="L12" s="39">
        <f t="shared" si="6"/>
        <v>95.333260000000024</v>
      </c>
      <c r="M12" s="39">
        <f t="shared" si="7"/>
        <v>94.666420000000073</v>
      </c>
      <c r="N12" s="41">
        <f t="shared" si="8"/>
        <v>189.9996800000001</v>
      </c>
      <c r="O12" s="39">
        <f t="shared" si="9"/>
        <v>18.333259999999999</v>
      </c>
      <c r="P12" s="39">
        <f t="shared" si="10"/>
        <v>18.666420000000002</v>
      </c>
      <c r="Q12" s="41">
        <f t="shared" si="11"/>
        <v>36.999679999999998</v>
      </c>
      <c r="R12" s="39">
        <f t="shared" si="12"/>
        <v>60.75</v>
      </c>
      <c r="S12" s="39"/>
      <c r="T12" s="39"/>
    </row>
    <row r="13" spans="1:20" x14ac:dyDescent="0.25">
      <c r="A13" s="37">
        <v>45627</v>
      </c>
      <c r="B13" s="39">
        <f t="shared" si="0"/>
        <v>94.666420000000073</v>
      </c>
      <c r="C13" s="39">
        <f t="shared" si="1"/>
        <v>0</v>
      </c>
      <c r="D13" s="41">
        <f t="shared" si="2"/>
        <v>94.666420000000073</v>
      </c>
      <c r="E13" s="39">
        <f t="shared" si="3"/>
        <v>18.666420000000002</v>
      </c>
      <c r="F13" s="39">
        <f t="shared" si="4"/>
        <v>0</v>
      </c>
      <c r="G13" s="41">
        <f t="shared" si="5"/>
        <v>18.666420000000002</v>
      </c>
      <c r="H13" s="39"/>
      <c r="I13" s="39"/>
      <c r="K13" s="37">
        <v>45992</v>
      </c>
      <c r="L13" s="39">
        <f t="shared" si="6"/>
        <v>103.99992000000003</v>
      </c>
      <c r="M13" s="39">
        <f t="shared" si="7"/>
        <v>94.666420000000073</v>
      </c>
      <c r="N13" s="41">
        <f t="shared" si="8"/>
        <v>198.6663400000001</v>
      </c>
      <c r="O13" s="39">
        <f t="shared" si="9"/>
        <v>19.999919999999999</v>
      </c>
      <c r="P13" s="39">
        <f t="shared" si="10"/>
        <v>18.666420000000002</v>
      </c>
      <c r="Q13" s="41">
        <f t="shared" si="11"/>
        <v>38.666340000000005</v>
      </c>
      <c r="R13" s="39">
        <f>ROUND((L13+M13)/8+O13+P13,2)</f>
        <v>63.5</v>
      </c>
      <c r="S13" s="39"/>
      <c r="T13" s="39"/>
    </row>
  </sheetData>
  <conditionalFormatting sqref="A1:I13">
    <cfRule type="cellIs" dxfId="11" priority="5" operator="lessThan">
      <formula>0</formula>
    </cfRule>
  </conditionalFormatting>
  <conditionalFormatting sqref="H2:I13">
    <cfRule type="cellIs" dxfId="10" priority="6" operator="greaterThan">
      <formula>0</formula>
    </cfRule>
  </conditionalFormatting>
  <conditionalFormatting sqref="K1:T13">
    <cfRule type="cellIs" dxfId="9" priority="1" operator="lessThan">
      <formula>0</formula>
    </cfRule>
  </conditionalFormatting>
  <conditionalFormatting sqref="S2:T13">
    <cfRule type="cellIs" dxfId="8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Month Names</vt:lpstr>
      <vt:lpstr>Holidays 2023</vt:lpstr>
      <vt:lpstr>2023</vt:lpstr>
      <vt:lpstr>TimeOff 2021-2022</vt:lpstr>
      <vt:lpstr>TimeOff 2022-2023</vt:lpstr>
      <vt:lpstr>TimeOff 2023-2024</vt:lpstr>
      <vt:lpstr>Holidays 2024</vt:lpstr>
      <vt:lpstr>2024</vt:lpstr>
      <vt:lpstr>TimeOff 2024-2025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Giulio D'errico</cp:lastModifiedBy>
  <cp:lastPrinted>2017-06-14T13:34:41Z</cp:lastPrinted>
  <dcterms:created xsi:type="dcterms:W3CDTF">2017-06-14T07:46:43Z</dcterms:created>
  <dcterms:modified xsi:type="dcterms:W3CDTF">2023-12-15T09:39:58Z</dcterms:modified>
</cp:coreProperties>
</file>