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6.xml" ContentType="application/vnd.openxmlformats-officedocument.drawing+xml"/>
  <Override PartName="/xl/comments9.xml" ContentType="application/vnd.openxmlformats-officedocument.spreadsheetml.comments+xml"/>
  <Override PartName="/xl/threadedComments/threadedComment3.xml" ContentType="application/vnd.ms-excel.threadedcomments+xml"/>
  <Override PartName="/xl/drawings/drawing7.xml" ContentType="application/vnd.openxmlformats-officedocument.drawing+xml"/>
  <Override PartName="/xl/drawings/drawing8.xml" ContentType="application/vnd.openxmlformats-officedocument.drawing+xml"/>
  <Override PartName="/xl/comments10.xml" ContentType="application/vnd.openxmlformats-officedocument.spreadsheetml.comments+xml"/>
  <Override PartName="/xl/comments11.xml" ContentType="application/vnd.openxmlformats-officedocument.spreadsheetml.comments+xml"/>
  <Override PartName="/xl/threadedComments/threadedComment4.xml" ContentType="application/vnd.ms-excel.threadedcomments+xml"/>
  <Override PartName="/xl/drawings/drawing9.xml" ContentType="application/vnd.openxmlformats-officedocument.drawing+xml"/>
  <Override PartName="/xl/comments12.xml" ContentType="application/vnd.openxmlformats-officedocument.spreadsheetml.comments+xml"/>
  <Override PartName="/xl/threadedComments/threadedComment5.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comments1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isco D\aaa RSE\aaaRdS 2.4 rinnovabili\"/>
    </mc:Choice>
  </mc:AlternateContent>
  <xr:revisionPtr revIDLastSave="0" documentId="13_ncr:1_{9E90B2B9-9B50-4B36-8567-9A9B3DDB2C48}" xr6:coauthVersionLast="47" xr6:coauthVersionMax="47" xr10:uidLastSave="{00000000-0000-0000-0000-000000000000}"/>
  <bookViews>
    <workbookView xWindow="-108" yWindow="-108" windowWidth="23256" windowHeight="12576" firstSheet="26" activeTab="15" xr2:uid="{0ED9DB14-88A5-4DF5-9E5B-0E89ADFEBDA0}"/>
  </bookViews>
  <sheets>
    <sheet name="indice PIL pro capite" sheetId="23" r:id="rId1"/>
    <sheet name="uso_suoli_pozzi" sheetId="19" r:id="rId2"/>
    <sheet name="PITESAI tipi ecosistemi Italia" sheetId="10" r:id="rId3"/>
    <sheet name="PITESAI corrisp Corine3 - Maes" sheetId="20" r:id="rId4"/>
    <sheet name="tavola corr CORINE3-MAES" sheetId="47" r:id="rId5"/>
    <sheet name="PITESAI CLC 2018 Italia" sheetId="40" r:id="rId6"/>
    <sheet name="Matrice TOTALE" sheetId="35" r:id="rId7"/>
    <sheet name="SE1 produttività agricola" sheetId="3" r:id="rId8"/>
    <sheet name="SE2 produttività legnosa" sheetId="4" r:id="rId9"/>
    <sheet name="legname NIR table 4G HWP" sheetId="15" r:id="rId10"/>
    <sheet name="SE3 approvv idrico" sheetId="8" r:id="rId11"/>
    <sheet name="Istat servizi idrici" sheetId="28" r:id="rId12"/>
    <sheet name="SE4 assorbimento CO2 ITA 2020" sheetId="18" r:id="rId13"/>
    <sheet name="SE4 Ass CO2 test Regioni 2018" sheetId="16" r:id="rId14"/>
    <sheet name="SE4 Ass CO2 test Regioni 2019" sheetId="45" r:id="rId15"/>
    <sheet name="Table 4(KP-I)B.1" sheetId="44" r:id="rId16"/>
    <sheet name="SE assorbimento CO2 ITA 2019" sheetId="17" r:id="rId17"/>
    <sheet name="Ass CO2 uso del suolo vers1" sheetId="13" r:id="rId18"/>
    <sheet name="Stock C per uso suoli" sheetId="1" r:id="rId19"/>
    <sheet name="SE5qualità Habitat biodiversità" sheetId="2" r:id="rId20"/>
    <sheet name="Agricoltura intensiva" sheetId="42" r:id="rId21"/>
    <sheet name="SE6impollinazione" sheetId="5" r:id="rId22"/>
    <sheet name="SE7qualità aria" sheetId="6" r:id="rId23"/>
    <sheet name="INF2005" sheetId="46" r:id="rId24"/>
    <sheet name="SE8 purificazione acqua" sheetId="9" r:id="rId25"/>
    <sheet name="SE9 mitig erosione" sheetId="7" r:id="rId26"/>
    <sheet name="Istat SAU regioni erosione" sheetId="43" r:id="rId27"/>
    <sheet name="SE10 mitig alluvione" sheetId="48" r:id="rId28"/>
    <sheet name="SE11ricreazione" sheetId="14" r:id="rId29"/>
    <sheet name="tabelloni rif metodologici" sheetId="50" r:id="rId30"/>
    <sheet name="Valori Regioni" sheetId="41" r:id="rId31"/>
  </sheets>
  <definedNames>
    <definedName name="____W.O.R.K.B.O.O.K..C.O.N.T.E.N.T.S____" localSheetId="16">#REF!</definedName>
    <definedName name="____W.O.R.K.B.O.O.K..C.O.N.T.E.N.T.S____" localSheetId="12">#REF!</definedName>
    <definedName name="____W.O.R.K.B.O.O.K..C.O.N.T.E.N.T.S____">#REF!</definedName>
    <definedName name="_xlnm._FilterDatabase" localSheetId="1" hidden="1">uso_suoli_pozzi!$A$1:$H$446</definedName>
    <definedName name="_ftn1" localSheetId="24">'SE8 purificazione acqua'!$A$10</definedName>
    <definedName name="_ftnref1" localSheetId="24">'SE8 purificazione acqua'!$A$6</definedName>
    <definedName name="_xlnm.Print_Area" localSheetId="23">'INF2005'!$A$1:$M$30</definedName>
    <definedName name="CRF_4_KP_I_A.1.1_Doc" localSheetId="16">#REF!</definedName>
    <definedName name="CRF_4_KP_I_A.1.1_Doc" localSheetId="12">#REF!</definedName>
    <definedName name="CRF_4_KP_I_A.1.1_Doc" localSheetId="15">#REF!</definedName>
    <definedName name="CRF_4_KP_I_A.1.1_Doc">#REF!</definedName>
    <definedName name="CRF_4_KP_I_A.1_Doc">#REF!</definedName>
    <definedName name="CRF_4_KP_I_A.1_Main">#REF!</definedName>
    <definedName name="CRF_4_KP_I_A.2.1_Doc" localSheetId="16">#REF!</definedName>
    <definedName name="CRF_4_KP_I_A.2.1_Doc" localSheetId="12">#REF!</definedName>
    <definedName name="CRF_4_KP_I_A.2.1_Doc" localSheetId="15">#REF!</definedName>
    <definedName name="CRF_4_KP_I_A.2.1_Doc">#REF!</definedName>
    <definedName name="CRF_4_KP_I_A.2_Doc" localSheetId="16">#REF!</definedName>
    <definedName name="CRF_4_KP_I_A.2_Doc" localSheetId="12">#REF!</definedName>
    <definedName name="CRF_4_KP_I_A.2_Doc" localSheetId="15">#REF!</definedName>
    <definedName name="CRF_4_KP_I_A.2_Doc">#REF!</definedName>
    <definedName name="CRF_4_KP_I_A.2_Main1">#REF!</definedName>
    <definedName name="CRF_4_KP_I_A.2_Main2">#REF!</definedName>
    <definedName name="CRF_4_KP_I_B.1.1_Doc" localSheetId="16">#REF!</definedName>
    <definedName name="CRF_4_KP_I_B.1.1_Doc" localSheetId="12">#REF!</definedName>
    <definedName name="CRF_4_KP_I_B.1.1_Doc" localSheetId="15">#REF!</definedName>
    <definedName name="CRF_4_KP_I_B.1.1_Doc">#REF!</definedName>
    <definedName name="CRF_4_KP_I_B.1.3_Doc" localSheetId="16">#REF!</definedName>
    <definedName name="CRF_4_KP_I_B.1.3_Doc" localSheetId="12">#REF!</definedName>
    <definedName name="CRF_4_KP_I_B.1.3_Doc" localSheetId="15">#REF!</definedName>
    <definedName name="CRF_4_KP_I_B.1.3_Doc">#REF!</definedName>
    <definedName name="CRF_4_KP_I_B.1_Doc" localSheetId="15">'Table 4(KP-I)B.1'!$A$42:$AB$43</definedName>
    <definedName name="CRF_4_KP_I_B.1_Doc">#REF!</definedName>
    <definedName name="CRF_4_KP_I_B.1_Main" localSheetId="15">'Table 4(KP-I)B.1'!$A$6:$AB$40</definedName>
    <definedName name="CRF_4_KP_I_B.1_Main">#REF!</definedName>
    <definedName name="CRF_Table3.B_a_s2_Add" localSheetId="16">#REF!</definedName>
    <definedName name="CRF_Table3.B_a_s2_Add" localSheetId="12">#REF!</definedName>
    <definedName name="CRF_Table3.B_a_s2_Add" localSheetId="15">#REF!</definedName>
    <definedName name="CRF_Table3.B_a_s2_Add">#REF!</definedName>
    <definedName name="CRF_Table4.1_Main">#REF!</definedName>
    <definedName name="CRF_Table4.A_Doc">#REF!</definedName>
    <definedName name="CRF_Table4.A_Main">#REF!</definedName>
    <definedName name="CRF_Table4.B_Doc">#REF!</definedName>
    <definedName name="CRF_Table4.B_Main">#REF!</definedName>
    <definedName name="CRF_Table4.C_Doc">#REF!</definedName>
    <definedName name="CRF_Table4.C_Main">#REF!</definedName>
    <definedName name="CRF_Table4.D_Doc">#REF!</definedName>
    <definedName name="CRF_Table4.D_Main">#REF!</definedName>
    <definedName name="CRF_Table4.E_Doc">#REF!</definedName>
    <definedName name="CRF_Table4.E_Main">#REF!</definedName>
    <definedName name="CRF_Table4.F_Doc">#REF!</definedName>
    <definedName name="CRF_Table4.F_Main">#REF!</definedName>
    <definedName name="CRF_Table4.Gs2_Add">'legname NIR table 4G HWP'!$A$76:$B$80</definedName>
    <definedName name="CRF_Table4.Gs2_Doc">'legname NIR table 4G HWP'!$A$83:$J$83</definedName>
    <definedName name="CRF_Table4.Gs2_Main">'legname NIR table 4G HWP'!$A$6:$J$9</definedName>
    <definedName name="CRF_Table4_Doc">#REF!</definedName>
    <definedName name="CRF_Table4_Main">#REF!</definedName>
    <definedName name="CRF_Table4_V__Doc">#REF!</definedName>
    <definedName name="CRF_Table4_V__Main">#REF!</definedName>
    <definedName name="CRF_Table7_Main" localSheetId="16">#REF!</definedName>
    <definedName name="CRF_Table7_Main" localSheetId="12">#REF!</definedName>
    <definedName name="CRF_Table7_Main" localSheetId="15">#REF!</definedName>
    <definedName name="CRF_Table7_Main">#REF!</definedName>
    <definedName name="data_descr" localSheetId="20">'Agricoltura intensiva'!$A$2</definedName>
    <definedName name="_xlnm.Print_Titles" localSheetId="23">'INF2005'!$A:$A,'INF2005'!$1:$1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6" i="18" l="1"/>
  <c r="G35" i="18"/>
  <c r="G34" i="18"/>
  <c r="G33" i="18"/>
  <c r="G32" i="18"/>
  <c r="G31" i="18"/>
  <c r="F36" i="18"/>
  <c r="F35" i="18"/>
  <c r="F34" i="18"/>
  <c r="F33" i="18"/>
  <c r="F32" i="18"/>
  <c r="F31" i="18"/>
  <c r="E36" i="18"/>
  <c r="E35" i="18"/>
  <c r="E34" i="18"/>
  <c r="E33" i="18"/>
  <c r="E32" i="18"/>
  <c r="E31" i="18"/>
  <c r="D36" i="18"/>
  <c r="D35" i="18"/>
  <c r="D34" i="18"/>
  <c r="D33" i="18"/>
  <c r="D32" i="18"/>
  <c r="D31" i="18"/>
  <c r="C36" i="18"/>
  <c r="C35" i="18"/>
  <c r="C34" i="18"/>
  <c r="C33" i="18"/>
  <c r="C32" i="18"/>
  <c r="C31" i="18"/>
  <c r="B36" i="18"/>
  <c r="B35" i="18"/>
  <c r="B34" i="18"/>
  <c r="B33" i="18"/>
  <c r="B32" i="18"/>
  <c r="B31" i="18"/>
  <c r="R48" i="8"/>
  <c r="M48" i="8"/>
  <c r="F28" i="8"/>
  <c r="M51" i="8"/>
  <c r="M50" i="8"/>
  <c r="M47" i="8"/>
  <c r="M46" i="8"/>
  <c r="M45" i="8"/>
  <c r="M44" i="8"/>
  <c r="I24" i="8"/>
  <c r="I25" i="8"/>
  <c r="I26" i="8"/>
  <c r="U51" i="8"/>
  <c r="T50" i="8"/>
  <c r="Q47" i="8"/>
  <c r="P46" i="8"/>
  <c r="O45" i="8"/>
  <c r="N44" i="8"/>
  <c r="G51" i="7"/>
  <c r="G50" i="7"/>
  <c r="G49" i="7"/>
  <c r="G48" i="7"/>
  <c r="G47" i="7"/>
  <c r="F52" i="7"/>
  <c r="F50" i="7"/>
  <c r="F49" i="7"/>
  <c r="F48" i="7"/>
  <c r="F47" i="7"/>
  <c r="E52" i="7"/>
  <c r="E51" i="7"/>
  <c r="E49" i="7"/>
  <c r="E48" i="7"/>
  <c r="E47" i="7"/>
  <c r="D52" i="7"/>
  <c r="D51" i="7"/>
  <c r="D50" i="7"/>
  <c r="D48" i="7"/>
  <c r="D47" i="7"/>
  <c r="C52" i="7"/>
  <c r="C51" i="7"/>
  <c r="C50" i="7"/>
  <c r="C49" i="7"/>
  <c r="C47" i="7"/>
  <c r="B52" i="7"/>
  <c r="B51" i="7"/>
  <c r="B50" i="7"/>
  <c r="B49" i="7"/>
  <c r="B48" i="7"/>
  <c r="G52" i="7"/>
  <c r="F51" i="7"/>
  <c r="E50" i="7"/>
  <c r="D49" i="7"/>
  <c r="C48" i="7"/>
  <c r="B47" i="7"/>
  <c r="K46" i="7"/>
  <c r="J46" i="7"/>
  <c r="I46" i="7"/>
  <c r="H46" i="7"/>
  <c r="G46" i="7"/>
  <c r="F46" i="7"/>
  <c r="E46" i="7"/>
  <c r="D46" i="7"/>
  <c r="C46" i="7"/>
  <c r="B46" i="7"/>
  <c r="L42" i="7" l="1"/>
  <c r="L41" i="7"/>
  <c r="L40" i="7"/>
  <c r="L39" i="7"/>
  <c r="K34" i="7"/>
  <c r="M34" i="7" s="1"/>
  <c r="K35" i="7"/>
  <c r="M35" i="7" s="1"/>
  <c r="K36" i="7"/>
  <c r="M36" i="7" s="1"/>
  <c r="K37" i="7"/>
  <c r="M37" i="7" s="1"/>
  <c r="K38" i="7"/>
  <c r="M38" i="7" s="1"/>
  <c r="K39" i="7"/>
  <c r="K40" i="7"/>
  <c r="K41" i="7"/>
  <c r="K42" i="7"/>
  <c r="K33" i="7"/>
  <c r="M33" i="7" s="1"/>
  <c r="B15" i="7"/>
  <c r="E43" i="7"/>
  <c r="H43" i="7"/>
  <c r="G34" i="7"/>
  <c r="J44" i="7"/>
  <c r="J34" i="7"/>
  <c r="M43" i="7" l="1"/>
  <c r="N43" i="7" s="1"/>
  <c r="L34" i="7"/>
  <c r="N34" i="7" s="1"/>
  <c r="O34" i="7" s="1"/>
  <c r="L38" i="7"/>
  <c r="N38" i="7" s="1"/>
  <c r="O38" i="7" s="1"/>
  <c r="L37" i="7"/>
  <c r="N37" i="7" s="1"/>
  <c r="O37" i="7" s="1"/>
  <c r="L33" i="7"/>
  <c r="N33" i="7" s="1"/>
  <c r="O33" i="7" s="1"/>
  <c r="L35" i="7"/>
  <c r="N35" i="7" s="1"/>
  <c r="O35" i="7" s="1"/>
  <c r="L36" i="7"/>
  <c r="N36" i="7" s="1"/>
  <c r="O36" i="7" s="1"/>
  <c r="D44" i="7"/>
  <c r="D34" i="7"/>
  <c r="B43" i="7"/>
  <c r="M15" i="2"/>
  <c r="J29" i="2"/>
  <c r="J28" i="2"/>
  <c r="J27" i="2"/>
  <c r="J26" i="2"/>
  <c r="J25" i="2"/>
  <c r="J24" i="2"/>
  <c r="J23" i="2"/>
  <c r="I30" i="2"/>
  <c r="I28" i="2"/>
  <c r="I27" i="2"/>
  <c r="I26" i="2"/>
  <c r="I25" i="2"/>
  <c r="I24" i="2"/>
  <c r="I23" i="2"/>
  <c r="H30" i="2"/>
  <c r="H29" i="2"/>
  <c r="H27" i="2"/>
  <c r="H26" i="2"/>
  <c r="H25" i="2"/>
  <c r="H24" i="2"/>
  <c r="H23" i="2"/>
  <c r="G30" i="2"/>
  <c r="G29" i="2"/>
  <c r="G28" i="2"/>
  <c r="G26" i="2"/>
  <c r="G25" i="2"/>
  <c r="G24" i="2"/>
  <c r="G23" i="2"/>
  <c r="F30" i="2"/>
  <c r="F29" i="2"/>
  <c r="F28" i="2"/>
  <c r="F27" i="2"/>
  <c r="F25" i="2"/>
  <c r="F24" i="2"/>
  <c r="F23" i="2"/>
  <c r="E30" i="2"/>
  <c r="E29" i="2"/>
  <c r="E28" i="2"/>
  <c r="E27" i="2"/>
  <c r="E26" i="2"/>
  <c r="E24" i="2"/>
  <c r="E23" i="2"/>
  <c r="D30" i="2"/>
  <c r="D29" i="2"/>
  <c r="D28" i="2"/>
  <c r="D27" i="2"/>
  <c r="D26" i="2"/>
  <c r="D25" i="2"/>
  <c r="D23" i="2"/>
  <c r="A5" i="2"/>
  <c r="A8" i="2"/>
  <c r="A11" i="2"/>
  <c r="A12" i="2"/>
  <c r="A13" i="2"/>
  <c r="A14" i="2"/>
  <c r="A15" i="2"/>
  <c r="A4" i="2"/>
  <c r="B3" i="2"/>
  <c r="A3" i="2"/>
  <c r="O12" i="2"/>
  <c r="K31" i="2" s="1"/>
  <c r="O13" i="2"/>
  <c r="L32" i="2" s="1"/>
  <c r="B32" i="2"/>
  <c r="B31" i="2"/>
  <c r="B30" i="2"/>
  <c r="B29" i="2"/>
  <c r="B28" i="2"/>
  <c r="B27" i="2"/>
  <c r="B26" i="2"/>
  <c r="B25" i="2"/>
  <c r="B24" i="2"/>
  <c r="B23" i="2"/>
  <c r="M5" i="2"/>
  <c r="N5" i="2" s="1"/>
  <c r="P11" i="2"/>
  <c r="P8" i="2"/>
  <c r="P7" i="2"/>
  <c r="P10" i="2"/>
  <c r="P4" i="2"/>
  <c r="P6" i="2"/>
  <c r="P5" i="2"/>
  <c r="U22" i="2"/>
  <c r="P14" i="2" s="1"/>
  <c r="M11" i="2"/>
  <c r="N11" i="2" s="1"/>
  <c r="M10" i="2"/>
  <c r="N10" i="2" s="1"/>
  <c r="M9" i="2"/>
  <c r="N9" i="2" s="1"/>
  <c r="M8" i="2"/>
  <c r="N8" i="2" s="1"/>
  <c r="M7" i="2"/>
  <c r="N7" i="2" s="1"/>
  <c r="M6" i="2"/>
  <c r="N6" i="2" s="1"/>
  <c r="M4" i="2"/>
  <c r="N4" i="2" s="1"/>
  <c r="W52" i="8"/>
  <c r="W51" i="8"/>
  <c r="W50" i="8"/>
  <c r="W49" i="8"/>
  <c r="W48" i="8"/>
  <c r="W47" i="8"/>
  <c r="W46" i="8"/>
  <c r="W45" i="8"/>
  <c r="W44" i="8"/>
  <c r="V53" i="8"/>
  <c r="V51" i="8"/>
  <c r="V50" i="8"/>
  <c r="V49" i="8"/>
  <c r="V48" i="8"/>
  <c r="V47" i="8"/>
  <c r="V46" i="8"/>
  <c r="V45" i="8"/>
  <c r="V44" i="8"/>
  <c r="U53" i="8"/>
  <c r="U52" i="8"/>
  <c r="U50" i="8"/>
  <c r="U49" i="8"/>
  <c r="U48" i="8"/>
  <c r="U47" i="8"/>
  <c r="U46" i="8"/>
  <c r="U45" i="8"/>
  <c r="U44" i="8"/>
  <c r="T53" i="8"/>
  <c r="T52" i="8"/>
  <c r="T51" i="8"/>
  <c r="T49" i="8"/>
  <c r="T48" i="8"/>
  <c r="T47" i="8"/>
  <c r="T46" i="8"/>
  <c r="T45" i="8"/>
  <c r="T44" i="8"/>
  <c r="S53" i="8"/>
  <c r="S52" i="8"/>
  <c r="S51" i="8"/>
  <c r="S50" i="8"/>
  <c r="S48" i="8"/>
  <c r="S47" i="8"/>
  <c r="S46" i="8"/>
  <c r="S45" i="8"/>
  <c r="S44" i="8"/>
  <c r="R53" i="8"/>
  <c r="R52" i="8"/>
  <c r="R51" i="8"/>
  <c r="R50" i="8"/>
  <c r="R49" i="8"/>
  <c r="R47" i="8"/>
  <c r="R46" i="8"/>
  <c r="R45" i="8"/>
  <c r="R44" i="8"/>
  <c r="Q53" i="8"/>
  <c r="Q52" i="8"/>
  <c r="Q51" i="8"/>
  <c r="Q50" i="8"/>
  <c r="Q49" i="8"/>
  <c r="Q48" i="8"/>
  <c r="Q46" i="8"/>
  <c r="Q45" i="8"/>
  <c r="Q44" i="8"/>
  <c r="P53" i="8"/>
  <c r="P52" i="8"/>
  <c r="P51" i="8"/>
  <c r="P50" i="8"/>
  <c r="P49" i="8"/>
  <c r="P48" i="8"/>
  <c r="P47" i="8"/>
  <c r="P45" i="8"/>
  <c r="P44" i="8"/>
  <c r="O53" i="8"/>
  <c r="O52" i="8"/>
  <c r="O51" i="8"/>
  <c r="O50" i="8"/>
  <c r="O49" i="8"/>
  <c r="O48" i="8"/>
  <c r="O47" i="8"/>
  <c r="O46" i="8"/>
  <c r="O44" i="8"/>
  <c r="N53" i="8"/>
  <c r="N52" i="8"/>
  <c r="N51" i="8"/>
  <c r="N50" i="8"/>
  <c r="N49" i="8"/>
  <c r="N48" i="8"/>
  <c r="N47" i="8"/>
  <c r="N46" i="8"/>
  <c r="N45" i="8"/>
  <c r="S49" i="8"/>
  <c r="B37" i="8"/>
  <c r="B38" i="8"/>
  <c r="D29" i="8"/>
  <c r="D21" i="8"/>
  <c r="D28" i="8"/>
  <c r="D27" i="8"/>
  <c r="D26" i="8"/>
  <c r="D25" i="8"/>
  <c r="D24" i="8"/>
  <c r="D23" i="8"/>
  <c r="D22" i="8"/>
  <c r="H21" i="47"/>
  <c r="G21" i="47"/>
  <c r="H20" i="47"/>
  <c r="O43" i="7" l="1"/>
  <c r="O10" i="2"/>
  <c r="I29" i="2" s="1"/>
  <c r="O9" i="2"/>
  <c r="H28" i="2" s="1"/>
  <c r="O11" i="2"/>
  <c r="J30" i="2" s="1"/>
  <c r="O8" i="2"/>
  <c r="G27" i="2" s="1"/>
  <c r="O4" i="2"/>
  <c r="C23" i="2" s="1"/>
  <c r="O7" i="2"/>
  <c r="F26" i="2" s="1"/>
  <c r="O6" i="2"/>
  <c r="E25" i="2" s="1"/>
  <c r="O5" i="2"/>
  <c r="D24" i="2" s="1"/>
  <c r="N14" i="2"/>
  <c r="B10" i="8"/>
  <c r="F47" i="18"/>
  <c r="G46" i="18"/>
  <c r="E25" i="18"/>
  <c r="F25" i="18"/>
  <c r="G24" i="18"/>
  <c r="E24" i="18"/>
  <c r="G23" i="18"/>
  <c r="F23" i="18"/>
  <c r="F8" i="18"/>
  <c r="J8" i="18" s="1"/>
  <c r="F7" i="18"/>
  <c r="F6" i="18"/>
  <c r="B11" i="18"/>
  <c r="B10" i="18"/>
  <c r="B9" i="18"/>
  <c r="B8" i="18"/>
  <c r="B7" i="18"/>
  <c r="B6" i="18"/>
  <c r="J6" i="18" s="1"/>
  <c r="G8" i="18"/>
  <c r="H7" i="18"/>
  <c r="H8" i="18"/>
  <c r="G7" i="18"/>
  <c r="H6" i="18"/>
  <c r="H12" i="18" s="1"/>
  <c r="G6" i="18"/>
  <c r="D6" i="18"/>
  <c r="L6" i="18" s="1"/>
  <c r="D11" i="18"/>
  <c r="D10" i="18"/>
  <c r="D9" i="18"/>
  <c r="D8" i="18"/>
  <c r="D7" i="18"/>
  <c r="L7" i="18" s="1"/>
  <c r="D14" i="48"/>
  <c r="C14" i="48"/>
  <c r="E6" i="48"/>
  <c r="E7" i="48"/>
  <c r="E8" i="48"/>
  <c r="E9" i="48"/>
  <c r="E10" i="48"/>
  <c r="E11" i="48"/>
  <c r="E5" i="48"/>
  <c r="A5" i="48"/>
  <c r="B5" i="48"/>
  <c r="A6" i="48"/>
  <c r="B6" i="48"/>
  <c r="A7" i="48"/>
  <c r="B7" i="48"/>
  <c r="A8" i="48"/>
  <c r="B8" i="48"/>
  <c r="A9" i="48"/>
  <c r="A10" i="48"/>
  <c r="B10" i="48"/>
  <c r="A11" i="48"/>
  <c r="B11" i="48"/>
  <c r="A12" i="48"/>
  <c r="B12" i="48"/>
  <c r="A13" i="48"/>
  <c r="B13" i="48"/>
  <c r="E22" i="48"/>
  <c r="E23" i="48"/>
  <c r="E24" i="48"/>
  <c r="E25" i="48"/>
  <c r="E26" i="48"/>
  <c r="E27" i="48"/>
  <c r="E28" i="48"/>
  <c r="E29" i="48"/>
  <c r="E30" i="48"/>
  <c r="E31" i="48"/>
  <c r="E32" i="48"/>
  <c r="E33" i="48"/>
  <c r="E34" i="48"/>
  <c r="E35" i="48"/>
  <c r="E36" i="48"/>
  <c r="E37" i="48"/>
  <c r="E38" i="48"/>
  <c r="E39" i="48"/>
  <c r="E40" i="48"/>
  <c r="E41" i="48"/>
  <c r="E42" i="48"/>
  <c r="E43" i="48"/>
  <c r="E44" i="48"/>
  <c r="E45" i="48"/>
  <c r="E46" i="48"/>
  <c r="E47" i="48"/>
  <c r="E48" i="48"/>
  <c r="E49" i="48"/>
  <c r="E50" i="48"/>
  <c r="E51" i="48"/>
  <c r="E52" i="48"/>
  <c r="E53" i="48"/>
  <c r="E54" i="48"/>
  <c r="E55" i="48"/>
  <c r="E56" i="48"/>
  <c r="E57" i="48"/>
  <c r="E58" i="48"/>
  <c r="E59" i="48"/>
  <c r="E60" i="48"/>
  <c r="E61" i="48"/>
  <c r="E62" i="48"/>
  <c r="E21" i="48"/>
  <c r="C64" i="48"/>
  <c r="C30" i="2" l="1"/>
  <c r="C29" i="2"/>
  <c r="C28" i="2"/>
  <c r="C27" i="2"/>
  <c r="C26" i="2"/>
  <c r="C25" i="2"/>
  <c r="C24" i="2"/>
  <c r="J7" i="18"/>
  <c r="L8" i="18"/>
  <c r="D12" i="18"/>
  <c r="E14" i="48"/>
  <c r="E63" i="48"/>
  <c r="O12" i="18" l="1"/>
  <c r="O7" i="18"/>
  <c r="O10" i="18"/>
  <c r="O9" i="18"/>
  <c r="O11" i="18"/>
  <c r="O8" i="18"/>
  <c r="L12" i="18"/>
  <c r="O6" i="18"/>
  <c r="H24" i="7"/>
  <c r="H25" i="7" s="1"/>
  <c r="G24" i="7"/>
  <c r="E24" i="7"/>
  <c r="C24" i="7"/>
  <c r="I21" i="7"/>
  <c r="H21" i="7"/>
  <c r="F13" i="48"/>
  <c r="F12" i="48"/>
  <c r="F11" i="48"/>
  <c r="G11" i="48" s="1"/>
  <c r="I11" i="48" s="1"/>
  <c r="F10" i="48"/>
  <c r="G10" i="48" s="1"/>
  <c r="I10" i="48" s="1"/>
  <c r="F9" i="48"/>
  <c r="G9" i="48" s="1"/>
  <c r="I9" i="48" s="1"/>
  <c r="F8" i="48"/>
  <c r="G8" i="48" s="1"/>
  <c r="I8" i="48" s="1"/>
  <c r="F7" i="48"/>
  <c r="G7" i="48" s="1"/>
  <c r="I7" i="48" s="1"/>
  <c r="F6" i="48"/>
  <c r="G6" i="48" s="1"/>
  <c r="I6" i="48" s="1"/>
  <c r="F5" i="48"/>
  <c r="G5" i="48" s="1"/>
  <c r="I5" i="48" s="1"/>
  <c r="C670" i="41"/>
  <c r="C573" i="41"/>
  <c r="C94" i="8"/>
  <c r="C93" i="8"/>
  <c r="C92" i="8"/>
  <c r="C91" i="8"/>
  <c r="C90" i="8"/>
  <c r="C89" i="8"/>
  <c r="C88" i="8"/>
  <c r="C87" i="8"/>
  <c r="C86" i="8"/>
  <c r="C85" i="8"/>
  <c r="C84" i="8"/>
  <c r="C83" i="8"/>
  <c r="C81" i="8"/>
  <c r="C82" i="8"/>
  <c r="C479" i="41"/>
  <c r="C474" i="41"/>
  <c r="C471" i="41"/>
  <c r="C466" i="41"/>
  <c r="C463" i="41"/>
  <c r="C458" i="41"/>
  <c r="C455" i="41"/>
  <c r="C450" i="41"/>
  <c r="C447" i="41"/>
  <c r="C442" i="41"/>
  <c r="C439" i="41"/>
  <c r="C434" i="41"/>
  <c r="C431" i="41"/>
  <c r="C426" i="41"/>
  <c r="C423" i="41"/>
  <c r="C418" i="41"/>
  <c r="C415" i="41"/>
  <c r="C410" i="41"/>
  <c r="C407" i="41"/>
  <c r="C402" i="41"/>
  <c r="C399" i="41"/>
  <c r="C394" i="41"/>
  <c r="C391" i="41"/>
  <c r="C386" i="41"/>
  <c r="G50" i="6"/>
  <c r="F51" i="6"/>
  <c r="F52" i="6"/>
  <c r="F53" i="6"/>
  <c r="F54" i="6"/>
  <c r="F55" i="6"/>
  <c r="F56" i="6"/>
  <c r="F57" i="6"/>
  <c r="F58" i="6"/>
  <c r="F59" i="6"/>
  <c r="F60" i="6"/>
  <c r="F61" i="6"/>
  <c r="F62" i="6"/>
  <c r="F63" i="6"/>
  <c r="F64" i="6"/>
  <c r="F65" i="6"/>
  <c r="F66" i="6"/>
  <c r="F67" i="6"/>
  <c r="F68" i="6"/>
  <c r="F69" i="6"/>
  <c r="F70" i="6"/>
  <c r="F71" i="6"/>
  <c r="F50" i="6"/>
  <c r="E50" i="6"/>
  <c r="E51" i="6"/>
  <c r="E52" i="6"/>
  <c r="E53" i="6"/>
  <c r="E54" i="6"/>
  <c r="E55" i="6"/>
  <c r="E56" i="6"/>
  <c r="E57" i="6"/>
  <c r="E58" i="6"/>
  <c r="E59" i="6"/>
  <c r="E60" i="6"/>
  <c r="E61" i="6"/>
  <c r="E62" i="6"/>
  <c r="E63" i="6"/>
  <c r="E64" i="6"/>
  <c r="E65" i="6"/>
  <c r="E66" i="6"/>
  <c r="E67" i="6"/>
  <c r="E68" i="6"/>
  <c r="E69" i="6"/>
  <c r="E70" i="6"/>
  <c r="E71" i="6"/>
  <c r="B51" i="6"/>
  <c r="C51" i="6"/>
  <c r="D51" i="6"/>
  <c r="B52" i="6"/>
  <c r="C52" i="6"/>
  <c r="D52" i="6"/>
  <c r="B53" i="6"/>
  <c r="C53" i="6"/>
  <c r="D53" i="6"/>
  <c r="B54" i="6"/>
  <c r="C54" i="6"/>
  <c r="D54" i="6"/>
  <c r="B55" i="6"/>
  <c r="C55" i="6"/>
  <c r="D55" i="6"/>
  <c r="B56" i="6"/>
  <c r="C56" i="6"/>
  <c r="D56" i="6"/>
  <c r="B57" i="6"/>
  <c r="C57" i="6"/>
  <c r="D57" i="6"/>
  <c r="B58" i="6"/>
  <c r="C58" i="6"/>
  <c r="D58" i="6"/>
  <c r="B59" i="6"/>
  <c r="C59" i="6"/>
  <c r="D59" i="6"/>
  <c r="B60" i="6"/>
  <c r="C60" i="6"/>
  <c r="D60" i="6"/>
  <c r="B61" i="6"/>
  <c r="C61" i="6"/>
  <c r="D61" i="6"/>
  <c r="B62" i="6"/>
  <c r="C62" i="6"/>
  <c r="D62" i="6"/>
  <c r="B63" i="6"/>
  <c r="C63" i="6"/>
  <c r="D63" i="6"/>
  <c r="B64" i="6"/>
  <c r="C64" i="6"/>
  <c r="D64" i="6"/>
  <c r="B65" i="6"/>
  <c r="C65" i="6"/>
  <c r="D65" i="6"/>
  <c r="B66" i="6"/>
  <c r="C66" i="6"/>
  <c r="D66" i="6"/>
  <c r="B67" i="6"/>
  <c r="C67" i="6"/>
  <c r="D67" i="6"/>
  <c r="B68" i="6"/>
  <c r="C68" i="6"/>
  <c r="D68" i="6"/>
  <c r="B69" i="6"/>
  <c r="C69" i="6"/>
  <c r="D69" i="6"/>
  <c r="B70" i="6"/>
  <c r="C70" i="6"/>
  <c r="D70" i="6"/>
  <c r="B71" i="6"/>
  <c r="C71" i="6"/>
  <c r="D71" i="6"/>
  <c r="C50" i="6"/>
  <c r="D50" i="6"/>
  <c r="B50" i="6"/>
  <c r="AW8" i="46"/>
  <c r="AW9" i="46"/>
  <c r="AW10" i="46"/>
  <c r="AW11" i="46"/>
  <c r="AW12" i="46"/>
  <c r="AW13" i="46"/>
  <c r="AW14" i="46"/>
  <c r="AW15" i="46"/>
  <c r="AW16" i="46"/>
  <c r="AW17" i="46"/>
  <c r="AW18" i="46"/>
  <c r="AW19" i="46"/>
  <c r="AW20" i="46"/>
  <c r="AW21" i="46"/>
  <c r="AW22" i="46"/>
  <c r="AW23" i="46"/>
  <c r="AW24" i="46"/>
  <c r="AW25" i="46"/>
  <c r="AW26" i="46"/>
  <c r="AW27" i="46"/>
  <c r="AW28" i="46"/>
  <c r="AW7" i="46"/>
  <c r="AV8" i="46"/>
  <c r="AV9" i="46"/>
  <c r="AV10" i="46"/>
  <c r="AV11" i="46"/>
  <c r="AV12" i="46"/>
  <c r="AV13" i="46"/>
  <c r="AV14" i="46"/>
  <c r="AV15" i="46"/>
  <c r="AV16" i="46"/>
  <c r="AV17" i="46"/>
  <c r="AV18" i="46"/>
  <c r="AV19" i="46"/>
  <c r="AV20" i="46"/>
  <c r="AV21" i="46"/>
  <c r="AV22" i="46"/>
  <c r="AV23" i="46"/>
  <c r="AV24" i="46"/>
  <c r="AV25" i="46"/>
  <c r="AV26" i="46"/>
  <c r="AV27" i="46"/>
  <c r="AV28" i="46"/>
  <c r="AV7" i="46"/>
  <c r="AS28" i="46"/>
  <c r="AX28" i="46" s="1"/>
  <c r="AH28" i="46"/>
  <c r="AF28" i="46"/>
  <c r="AD28" i="46"/>
  <c r="AB28" i="46"/>
  <c r="Z28" i="46"/>
  <c r="X28" i="46"/>
  <c r="V28" i="46"/>
  <c r="T28" i="46"/>
  <c r="R28" i="46"/>
  <c r="P28" i="46"/>
  <c r="N28" i="46"/>
  <c r="L28" i="46"/>
  <c r="J28" i="46"/>
  <c r="H28" i="46"/>
  <c r="F28" i="46"/>
  <c r="D28" i="46"/>
  <c r="B28" i="46"/>
  <c r="AL28" i="46" s="1"/>
  <c r="AX27" i="46"/>
  <c r="AL27" i="46"/>
  <c r="AX26" i="46"/>
  <c r="AL26" i="46"/>
  <c r="AX25" i="46"/>
  <c r="AL25" i="46"/>
  <c r="AX24" i="46"/>
  <c r="AL24" i="46"/>
  <c r="AX23" i="46"/>
  <c r="AL23" i="46"/>
  <c r="AX22" i="46"/>
  <c r="AL22" i="46"/>
  <c r="AX21" i="46"/>
  <c r="AL21" i="46"/>
  <c r="AX20" i="46"/>
  <c r="AL20" i="46"/>
  <c r="AX19" i="46"/>
  <c r="AL19" i="46"/>
  <c r="AX18" i="46"/>
  <c r="AL18" i="46"/>
  <c r="AX17" i="46"/>
  <c r="AL17" i="46"/>
  <c r="AX16" i="46"/>
  <c r="AL16" i="46"/>
  <c r="AX15" i="46"/>
  <c r="AL15" i="46"/>
  <c r="AX14" i="46"/>
  <c r="AL14" i="46"/>
  <c r="AX13" i="46"/>
  <c r="AL13" i="46"/>
  <c r="AX12" i="46"/>
  <c r="AL12" i="46"/>
  <c r="AX11" i="46"/>
  <c r="AL11" i="46"/>
  <c r="AX10" i="46"/>
  <c r="AL10" i="46"/>
  <c r="AX9" i="46"/>
  <c r="AL9" i="46"/>
  <c r="AX8" i="46"/>
  <c r="AL8" i="46"/>
  <c r="AX7" i="46"/>
  <c r="AL7" i="46"/>
  <c r="AL29" i="46" s="1"/>
  <c r="C385" i="41"/>
  <c r="C384" i="41"/>
  <c r="C383" i="41"/>
  <c r="C382" i="41"/>
  <c r="C381" i="41"/>
  <c r="C380" i="41"/>
  <c r="C379" i="41"/>
  <c r="C378" i="41"/>
  <c r="C72" i="14"/>
  <c r="D72" i="14"/>
  <c r="E72" i="14"/>
  <c r="F72" i="14"/>
  <c r="G72" i="14"/>
  <c r="H72" i="14"/>
  <c r="I72" i="14"/>
  <c r="J72" i="14"/>
  <c r="K72" i="14"/>
  <c r="C9" i="41"/>
  <c r="C17" i="41"/>
  <c r="C25" i="41"/>
  <c r="C33" i="41"/>
  <c r="C41" i="41"/>
  <c r="C49" i="41"/>
  <c r="C57" i="41"/>
  <c r="C65" i="41"/>
  <c r="C73" i="41"/>
  <c r="C81" i="41"/>
  <c r="C89" i="41"/>
  <c r="C97" i="41"/>
  <c r="AR24" i="45"/>
  <c r="AQ24" i="45"/>
  <c r="AP24" i="45"/>
  <c r="AO24" i="45"/>
  <c r="I14" i="48" l="1"/>
  <c r="C25" i="7"/>
  <c r="D25" i="7"/>
  <c r="E25" i="7"/>
  <c r="G25" i="7"/>
  <c r="A28" i="9"/>
  <c r="A30" i="9"/>
  <c r="A29" i="9"/>
  <c r="F14" i="48" l="1"/>
  <c r="G14" i="48" s="1"/>
  <c r="E21" i="7"/>
  <c r="F21" i="7"/>
  <c r="D21" i="7"/>
  <c r="J21" i="7"/>
  <c r="C21" i="7"/>
  <c r="G21" i="7"/>
  <c r="L21" i="7" l="1"/>
  <c r="H22" i="7" s="1"/>
  <c r="K21" i="7"/>
  <c r="K61" i="14"/>
  <c r="K62" i="14"/>
  <c r="K63" i="14"/>
  <c r="K64" i="14"/>
  <c r="K65" i="14"/>
  <c r="K66" i="14"/>
  <c r="K67" i="14"/>
  <c r="K68" i="14"/>
  <c r="K69" i="14"/>
  <c r="K70" i="14"/>
  <c r="K71" i="14"/>
  <c r="K60" i="14"/>
  <c r="D22" i="7" l="1"/>
  <c r="E22" i="7"/>
  <c r="G22" i="7"/>
  <c r="C22" i="7"/>
  <c r="AQ23" i="45"/>
  <c r="AQ22" i="45"/>
  <c r="AR22" i="45" s="1"/>
  <c r="AQ21" i="45"/>
  <c r="AR21" i="45" s="1"/>
  <c r="AQ20" i="45"/>
  <c r="AR20" i="45" s="1"/>
  <c r="AQ19" i="45"/>
  <c r="AR19" i="45" s="1"/>
  <c r="AQ18" i="45"/>
  <c r="AQ17" i="45"/>
  <c r="AQ16" i="45"/>
  <c r="AQ15" i="45"/>
  <c r="AR15" i="45" s="1"/>
  <c r="AQ14" i="45"/>
  <c r="AR14" i="45" s="1"/>
  <c r="AQ13" i="45"/>
  <c r="AR13" i="45" s="1"/>
  <c r="AQ12" i="45"/>
  <c r="AR12" i="45" s="1"/>
  <c r="N26" i="7" l="1"/>
  <c r="K22" i="7"/>
  <c r="AR18" i="45"/>
  <c r="AR17" i="45"/>
  <c r="AR16" i="45"/>
  <c r="AR23" i="45"/>
  <c r="C13" i="18"/>
  <c r="C11" i="18"/>
  <c r="C10" i="18"/>
  <c r="C9" i="18"/>
  <c r="C8" i="18"/>
  <c r="C7" i="18"/>
  <c r="C6" i="18"/>
  <c r="AF13" i="45"/>
  <c r="AG13" i="45" s="1"/>
  <c r="AF14" i="45"/>
  <c r="AG14" i="45" s="1"/>
  <c r="AF15" i="45"/>
  <c r="AG15" i="45" s="1"/>
  <c r="AF16" i="45"/>
  <c r="AG16" i="45" s="1"/>
  <c r="AF17" i="45"/>
  <c r="AG17" i="45" s="1"/>
  <c r="AF18" i="45"/>
  <c r="AG18" i="45" s="1"/>
  <c r="AF19" i="45"/>
  <c r="AG19" i="45" s="1"/>
  <c r="AF20" i="45"/>
  <c r="AG20" i="45" s="1"/>
  <c r="AF21" i="45"/>
  <c r="AG21" i="45" s="1"/>
  <c r="AF22" i="45"/>
  <c r="AG22" i="45" s="1"/>
  <c r="AF23" i="45"/>
  <c r="AG23" i="45" s="1"/>
  <c r="AF24" i="45"/>
  <c r="AG24" i="45" s="1"/>
  <c r="AF25" i="45"/>
  <c r="AG25" i="45" s="1"/>
  <c r="AF26" i="45"/>
  <c r="AG26" i="45" s="1"/>
  <c r="AF27" i="45"/>
  <c r="AG27" i="45" s="1"/>
  <c r="AF28" i="45"/>
  <c r="AG28" i="45" s="1"/>
  <c r="AF29" i="45"/>
  <c r="AG29" i="45" s="1"/>
  <c r="AF30" i="45"/>
  <c r="AG30" i="45" s="1"/>
  <c r="AF31" i="45"/>
  <c r="AH31" i="45" s="1"/>
  <c r="AF32" i="45"/>
  <c r="AG32" i="45" s="1"/>
  <c r="AF33" i="45"/>
  <c r="AG33" i="45" s="1"/>
  <c r="AF34" i="45"/>
  <c r="AG34" i="45" s="1"/>
  <c r="AC14" i="45"/>
  <c r="AC15" i="45"/>
  <c r="AC16" i="45"/>
  <c r="AC17" i="45"/>
  <c r="AC18" i="45"/>
  <c r="AC19" i="45"/>
  <c r="AC20" i="45"/>
  <c r="AC21" i="45"/>
  <c r="AC22" i="45"/>
  <c r="AC23" i="45"/>
  <c r="AC24" i="45"/>
  <c r="AC25" i="45"/>
  <c r="AC26" i="45"/>
  <c r="AC27" i="45"/>
  <c r="AC28" i="45"/>
  <c r="AC29" i="45"/>
  <c r="AC30" i="45"/>
  <c r="AC31" i="45"/>
  <c r="AC32" i="45"/>
  <c r="AC33" i="45"/>
  <c r="AC34" i="45"/>
  <c r="AC13" i="45"/>
  <c r="Q13" i="45"/>
  <c r="AD13" i="45" s="1"/>
  <c r="Q14" i="45"/>
  <c r="AD14" i="45" s="1"/>
  <c r="Q15" i="45"/>
  <c r="AD15" i="45" s="1"/>
  <c r="Q16" i="45"/>
  <c r="AD16" i="45" s="1"/>
  <c r="Q17" i="45"/>
  <c r="AD17" i="45" s="1"/>
  <c r="Q18" i="45"/>
  <c r="AD18" i="45" s="1"/>
  <c r="Q19" i="45"/>
  <c r="AD19" i="45" s="1"/>
  <c r="Q20" i="45"/>
  <c r="AD20" i="45" s="1"/>
  <c r="Q21" i="45"/>
  <c r="AD21" i="45" s="1"/>
  <c r="Q22" i="45"/>
  <c r="AD22" i="45" s="1"/>
  <c r="Q23" i="45"/>
  <c r="AD23" i="45" s="1"/>
  <c r="Q24" i="45"/>
  <c r="AD24" i="45" s="1"/>
  <c r="Q25" i="45"/>
  <c r="AD25" i="45" s="1"/>
  <c r="Q26" i="45"/>
  <c r="AD26" i="45" s="1"/>
  <c r="Q27" i="45"/>
  <c r="AD27" i="45" s="1"/>
  <c r="Q28" i="45"/>
  <c r="AD28" i="45" s="1"/>
  <c r="Q29" i="45"/>
  <c r="AD29" i="45" s="1"/>
  <c r="Q30" i="45"/>
  <c r="AD30" i="45" s="1"/>
  <c r="Q31" i="45"/>
  <c r="AD31" i="45" s="1"/>
  <c r="Q32" i="45"/>
  <c r="AD32" i="45" s="1"/>
  <c r="Q33" i="45"/>
  <c r="AD33" i="45" s="1"/>
  <c r="Q34" i="45"/>
  <c r="AD34" i="45" s="1"/>
  <c r="B45" i="45"/>
  <c r="B44" i="45"/>
  <c r="AF12" i="45"/>
  <c r="AG12" i="45" s="1"/>
  <c r="AC12" i="45"/>
  <c r="Q12" i="45"/>
  <c r="AD12" i="45" s="1"/>
  <c r="AH12" i="16"/>
  <c r="AH29" i="45" l="1"/>
  <c r="C2" i="41" s="1"/>
  <c r="AH22" i="45"/>
  <c r="AH13" i="45"/>
  <c r="C74" i="41" s="1"/>
  <c r="AH21" i="45"/>
  <c r="C66" i="41" s="1"/>
  <c r="B43" i="45"/>
  <c r="D43" i="45" s="1"/>
  <c r="F43" i="45" s="1"/>
  <c r="AH14" i="45"/>
  <c r="AH30" i="45"/>
  <c r="AH28" i="45"/>
  <c r="C50" i="41" s="1"/>
  <c r="AH20" i="45"/>
  <c r="AH12" i="45"/>
  <c r="AH27" i="45"/>
  <c r="C34" i="41" s="1"/>
  <c r="AH19" i="45"/>
  <c r="AH34" i="45"/>
  <c r="AH26" i="45"/>
  <c r="C10" i="41" s="1"/>
  <c r="AH18" i="45"/>
  <c r="AH33" i="45"/>
  <c r="C82" i="41" s="1"/>
  <c r="AH25" i="45"/>
  <c r="AH17" i="45"/>
  <c r="C58" i="41" s="1"/>
  <c r="AH32" i="45"/>
  <c r="C42" i="41" s="1"/>
  <c r="AH24" i="45"/>
  <c r="AH16" i="45"/>
  <c r="C90" i="41" s="1"/>
  <c r="AG31" i="45"/>
  <c r="AH23" i="45"/>
  <c r="AH15" i="45"/>
  <c r="C26" i="41" s="1"/>
  <c r="C373" i="41"/>
  <c r="C365" i="41"/>
  <c r="C357" i="41"/>
  <c r="C349" i="41"/>
  <c r="C341" i="41"/>
  <c r="C333" i="41"/>
  <c r="C325" i="41"/>
  <c r="C317" i="41"/>
  <c r="C309" i="41"/>
  <c r="C301" i="41"/>
  <c r="C293" i="41"/>
  <c r="C219" i="41"/>
  <c r="R78" i="8"/>
  <c r="E21" i="6"/>
  <c r="E20" i="6"/>
  <c r="E19" i="6"/>
  <c r="E17" i="6"/>
  <c r="E16" i="6"/>
  <c r="E15" i="6"/>
  <c r="E13" i="6"/>
  <c r="E12" i="6"/>
  <c r="A31" i="5"/>
  <c r="A30" i="5"/>
  <c r="C13" i="23"/>
  <c r="C16" i="23"/>
  <c r="C19" i="23"/>
  <c r="C17" i="23"/>
  <c r="C18" i="23"/>
  <c r="C14" i="23"/>
  <c r="C15" i="23"/>
  <c r="C18" i="41" l="1"/>
  <c r="D100" i="7"/>
  <c r="D99" i="7"/>
  <c r="D98" i="7"/>
  <c r="D97" i="7"/>
  <c r="D96" i="7"/>
  <c r="D95" i="7"/>
  <c r="D94" i="7"/>
  <c r="D93" i="7"/>
  <c r="D92" i="7"/>
  <c r="D91" i="7"/>
  <c r="D90" i="7"/>
  <c r="D89" i="7"/>
  <c r="D88" i="7"/>
  <c r="D87" i="7"/>
  <c r="D86" i="7"/>
  <c r="D85" i="7"/>
  <c r="D84" i="7"/>
  <c r="D83" i="7"/>
  <c r="D82" i="7"/>
  <c r="D81" i="7"/>
  <c r="D80" i="7"/>
  <c r="J14" i="43"/>
  <c r="Q14" i="43"/>
  <c r="R14" i="43"/>
  <c r="S14" i="43"/>
  <c r="T14" i="43"/>
  <c r="U14" i="43"/>
  <c r="V14" i="43"/>
  <c r="W14" i="43"/>
  <c r="X14" i="43"/>
  <c r="Y14" i="43"/>
  <c r="Z14" i="43"/>
  <c r="AA14" i="43"/>
  <c r="AB14" i="43"/>
  <c r="AC14" i="43"/>
  <c r="AD14" i="43"/>
  <c r="AE14" i="43"/>
  <c r="AF14" i="43"/>
  <c r="AG14" i="43"/>
  <c r="AH14" i="43"/>
  <c r="AI14" i="43"/>
  <c r="AJ14" i="43"/>
  <c r="AK14" i="43"/>
  <c r="AL14" i="43"/>
  <c r="AM14" i="43"/>
  <c r="AN14" i="43"/>
  <c r="AO14" i="43"/>
  <c r="AP14" i="43"/>
  <c r="AQ14" i="43"/>
  <c r="AR14" i="43"/>
  <c r="AS14" i="43"/>
  <c r="AT14" i="43"/>
  <c r="AU14" i="43"/>
  <c r="AV14" i="43"/>
  <c r="AW14" i="43"/>
  <c r="AX14" i="43"/>
  <c r="AY14" i="43"/>
  <c r="AZ14" i="43"/>
  <c r="BA14" i="43"/>
  <c r="BB14" i="43"/>
  <c r="BC14" i="43"/>
  <c r="BD14" i="43"/>
  <c r="BE14" i="43"/>
  <c r="BF14" i="43"/>
  <c r="BG14" i="43"/>
  <c r="BH14" i="43"/>
  <c r="BI14" i="43"/>
  <c r="BJ14" i="43"/>
  <c r="BK14" i="43"/>
  <c r="BL14" i="43"/>
  <c r="BM14" i="43"/>
  <c r="BN14" i="43"/>
  <c r="BO14" i="43"/>
  <c r="BP14" i="43"/>
  <c r="BQ14" i="43"/>
  <c r="BR14" i="43"/>
  <c r="BS14" i="43"/>
  <c r="BT14" i="43"/>
  <c r="BU14" i="43"/>
  <c r="BV14" i="43"/>
  <c r="BW14" i="43"/>
  <c r="BX14" i="43"/>
  <c r="BY14" i="43"/>
  <c r="BZ14" i="43"/>
  <c r="CA14" i="43"/>
  <c r="CB14" i="43"/>
  <c r="CC14" i="43"/>
  <c r="CD14" i="43"/>
  <c r="CE14" i="43"/>
  <c r="CF14" i="43"/>
  <c r="CG14" i="43"/>
  <c r="CH14" i="43"/>
  <c r="CI14" i="43"/>
  <c r="CJ14" i="43"/>
  <c r="CK14" i="43"/>
  <c r="CL14" i="43"/>
  <c r="CM14" i="43"/>
  <c r="CN14" i="43"/>
  <c r="CO14" i="43"/>
  <c r="CP14" i="43"/>
  <c r="CQ14" i="43"/>
  <c r="CR14" i="43"/>
  <c r="CS14" i="43"/>
  <c r="CT14" i="43"/>
  <c r="CU14" i="43"/>
  <c r="CV14" i="43"/>
  <c r="CW14" i="43"/>
  <c r="CX14" i="43"/>
  <c r="CY14" i="43"/>
  <c r="CZ14" i="43"/>
  <c r="DA14" i="43"/>
  <c r="DB14" i="43"/>
  <c r="DC14" i="43"/>
  <c r="DD14" i="43"/>
  <c r="DE14" i="43"/>
  <c r="DF14" i="43"/>
  <c r="DG14" i="43"/>
  <c r="DH14" i="43"/>
  <c r="DI14" i="43"/>
  <c r="DJ14" i="43"/>
  <c r="DK14" i="43"/>
  <c r="DL14" i="43"/>
  <c r="DM14" i="43"/>
  <c r="DN14" i="43"/>
  <c r="DO14" i="43"/>
  <c r="DP14" i="43"/>
  <c r="DQ14" i="43"/>
  <c r="DR14" i="43"/>
  <c r="DS14" i="43"/>
  <c r="DT14" i="43"/>
  <c r="DU14" i="43"/>
  <c r="DV14" i="43"/>
  <c r="DW14" i="43"/>
  <c r="DX14" i="43"/>
  <c r="DY14" i="43"/>
  <c r="DZ14" i="43"/>
  <c r="EA14" i="43"/>
  <c r="EB14" i="43"/>
  <c r="EC14" i="43"/>
  <c r="ED14" i="43"/>
  <c r="EE14" i="43"/>
  <c r="EF14" i="43"/>
  <c r="EG14" i="43"/>
  <c r="EH14" i="43"/>
  <c r="EI14" i="43"/>
  <c r="EJ14" i="43"/>
  <c r="EK14" i="43"/>
  <c r="EL14" i="43"/>
  <c r="EM14" i="43"/>
  <c r="EN14" i="43"/>
  <c r="EO14" i="43"/>
  <c r="EP14" i="43"/>
  <c r="EQ14" i="43"/>
  <c r="C14" i="43"/>
  <c r="J12" i="43"/>
  <c r="Q12" i="43"/>
  <c r="R12" i="43"/>
  <c r="S12" i="43"/>
  <c r="T12" i="43"/>
  <c r="U12" i="43"/>
  <c r="V12" i="43"/>
  <c r="W12" i="43"/>
  <c r="X12" i="43"/>
  <c r="Y12" i="43"/>
  <c r="Z12" i="43"/>
  <c r="AA12" i="43"/>
  <c r="AB12" i="43"/>
  <c r="AC12" i="43"/>
  <c r="AD12" i="43"/>
  <c r="AE12" i="43"/>
  <c r="AF12" i="43"/>
  <c r="AG12" i="43"/>
  <c r="AH12" i="43"/>
  <c r="AI12" i="43"/>
  <c r="AJ12" i="43"/>
  <c r="AK12" i="43"/>
  <c r="AL12" i="43"/>
  <c r="AM12" i="43"/>
  <c r="AN12" i="43"/>
  <c r="AO12" i="43"/>
  <c r="AP12" i="43"/>
  <c r="AQ12" i="43"/>
  <c r="AR12" i="43"/>
  <c r="AS12" i="43"/>
  <c r="AT12" i="43"/>
  <c r="AU12" i="43"/>
  <c r="AV12" i="43"/>
  <c r="AW12" i="43"/>
  <c r="AX12" i="43"/>
  <c r="AY12" i="43"/>
  <c r="AZ12" i="43"/>
  <c r="BA12" i="43"/>
  <c r="BB12" i="43"/>
  <c r="BC12" i="43"/>
  <c r="BD12" i="43"/>
  <c r="BE12" i="43"/>
  <c r="BF12" i="43"/>
  <c r="BG12" i="43"/>
  <c r="BH12" i="43"/>
  <c r="BI12" i="43"/>
  <c r="BJ12" i="43"/>
  <c r="BK12" i="43"/>
  <c r="BL12" i="43"/>
  <c r="BM12" i="43"/>
  <c r="BN12" i="43"/>
  <c r="BO12" i="43"/>
  <c r="BP12" i="43"/>
  <c r="BQ12" i="43"/>
  <c r="BR12" i="43"/>
  <c r="BS12" i="43"/>
  <c r="BT12" i="43"/>
  <c r="BU12" i="43"/>
  <c r="BV12" i="43"/>
  <c r="BW12" i="43"/>
  <c r="BX12" i="43"/>
  <c r="BY12" i="43"/>
  <c r="BZ12" i="43"/>
  <c r="CA12" i="43"/>
  <c r="CB12" i="43"/>
  <c r="CC12" i="43"/>
  <c r="CD12" i="43"/>
  <c r="CE12" i="43"/>
  <c r="CF12" i="43"/>
  <c r="CG12" i="43"/>
  <c r="CH12" i="43"/>
  <c r="CI12" i="43"/>
  <c r="CJ12" i="43"/>
  <c r="CK12" i="43"/>
  <c r="CL12" i="43"/>
  <c r="CM12" i="43"/>
  <c r="CN12" i="43"/>
  <c r="CO12" i="43"/>
  <c r="CP12" i="43"/>
  <c r="CQ12" i="43"/>
  <c r="CR12" i="43"/>
  <c r="CS12" i="43"/>
  <c r="CT12" i="43"/>
  <c r="CU12" i="43"/>
  <c r="CV12" i="43"/>
  <c r="CW12" i="43"/>
  <c r="CX12" i="43"/>
  <c r="CY12" i="43"/>
  <c r="CZ12" i="43"/>
  <c r="DA12" i="43"/>
  <c r="DB12" i="43"/>
  <c r="DC12" i="43"/>
  <c r="DD12" i="43"/>
  <c r="DE12" i="43"/>
  <c r="DF12" i="43"/>
  <c r="DG12" i="43"/>
  <c r="DH12" i="43"/>
  <c r="DI12" i="43"/>
  <c r="DJ12" i="43"/>
  <c r="DK12" i="43"/>
  <c r="DL12" i="43"/>
  <c r="DM12" i="43"/>
  <c r="DN12" i="43"/>
  <c r="DO12" i="43"/>
  <c r="DP12" i="43"/>
  <c r="DQ12" i="43"/>
  <c r="DR12" i="43"/>
  <c r="DS12" i="43"/>
  <c r="DT12" i="43"/>
  <c r="DU12" i="43"/>
  <c r="DV12" i="43"/>
  <c r="DW12" i="43"/>
  <c r="DX12" i="43"/>
  <c r="DY12" i="43"/>
  <c r="DZ12" i="43"/>
  <c r="EA12" i="43"/>
  <c r="EB12" i="43"/>
  <c r="EC12" i="43"/>
  <c r="ED12" i="43"/>
  <c r="EE12" i="43"/>
  <c r="EF12" i="43"/>
  <c r="EG12" i="43"/>
  <c r="EH12" i="43"/>
  <c r="EI12" i="43"/>
  <c r="EJ12" i="43"/>
  <c r="EK12" i="43"/>
  <c r="EL12" i="43"/>
  <c r="EM12" i="43"/>
  <c r="EN12" i="43"/>
  <c r="EO12" i="43"/>
  <c r="EP12" i="43"/>
  <c r="EQ12" i="43"/>
  <c r="C12" i="43"/>
  <c r="D9" i="43"/>
  <c r="E9" i="43"/>
  <c r="F9" i="43"/>
  <c r="G9" i="43"/>
  <c r="H9" i="43"/>
  <c r="I9" i="43"/>
  <c r="J9" i="43"/>
  <c r="K9" i="43"/>
  <c r="L9" i="43"/>
  <c r="M9" i="43"/>
  <c r="N9" i="43"/>
  <c r="O9" i="43"/>
  <c r="P9" i="43"/>
  <c r="Q9" i="43"/>
  <c r="R9" i="43"/>
  <c r="S9" i="43"/>
  <c r="T9" i="43"/>
  <c r="U9" i="43"/>
  <c r="V9" i="43"/>
  <c r="W9" i="43"/>
  <c r="X9" i="43"/>
  <c r="Y9" i="43"/>
  <c r="Z9" i="43"/>
  <c r="AA9" i="43"/>
  <c r="AB9" i="43"/>
  <c r="AC9" i="43"/>
  <c r="AD9" i="43"/>
  <c r="AE9" i="43"/>
  <c r="AF9" i="43"/>
  <c r="AG9" i="43"/>
  <c r="AH9" i="43"/>
  <c r="AI9" i="43"/>
  <c r="AJ9" i="43"/>
  <c r="AK9" i="43"/>
  <c r="AL9" i="43"/>
  <c r="AM9" i="43"/>
  <c r="AN9" i="43"/>
  <c r="AO9" i="43"/>
  <c r="AP9" i="43"/>
  <c r="AQ9" i="43"/>
  <c r="AR9" i="43"/>
  <c r="AS9" i="43"/>
  <c r="AT9" i="43"/>
  <c r="AU9" i="43"/>
  <c r="AV9" i="43"/>
  <c r="AW9" i="43"/>
  <c r="AX9" i="43"/>
  <c r="AY9" i="43"/>
  <c r="AZ9" i="43"/>
  <c r="BA9" i="43"/>
  <c r="BB9" i="43"/>
  <c r="BC9" i="43"/>
  <c r="BD9" i="43"/>
  <c r="BE9" i="43"/>
  <c r="BF9" i="43"/>
  <c r="BG9" i="43"/>
  <c r="BH9" i="43"/>
  <c r="BI9" i="43"/>
  <c r="BJ9" i="43"/>
  <c r="BK9" i="43"/>
  <c r="BL9" i="43"/>
  <c r="BM9" i="43"/>
  <c r="BN9" i="43"/>
  <c r="BO9" i="43"/>
  <c r="BP9" i="43"/>
  <c r="BQ9" i="43"/>
  <c r="BR9" i="43"/>
  <c r="BS9" i="43"/>
  <c r="BT9" i="43"/>
  <c r="BU9" i="43"/>
  <c r="BV9" i="43"/>
  <c r="BW9" i="43"/>
  <c r="BX9" i="43"/>
  <c r="BY9" i="43"/>
  <c r="BZ9" i="43"/>
  <c r="CA9" i="43"/>
  <c r="CB9" i="43"/>
  <c r="CC9" i="43"/>
  <c r="CD9" i="43"/>
  <c r="CE9" i="43"/>
  <c r="CF9" i="43"/>
  <c r="CG9" i="43"/>
  <c r="CH9" i="43"/>
  <c r="CI9" i="43"/>
  <c r="CJ9" i="43"/>
  <c r="CK9" i="43"/>
  <c r="CL9" i="43"/>
  <c r="CM9" i="43"/>
  <c r="CN9" i="43"/>
  <c r="CO9" i="43"/>
  <c r="CP9" i="43"/>
  <c r="CQ9" i="43"/>
  <c r="CR9" i="43"/>
  <c r="CS9" i="43"/>
  <c r="CT9" i="43"/>
  <c r="CU9" i="43"/>
  <c r="CV9" i="43"/>
  <c r="CW9" i="43"/>
  <c r="CX9" i="43"/>
  <c r="CY9" i="43"/>
  <c r="CZ9" i="43"/>
  <c r="DA9" i="43"/>
  <c r="DB9" i="43"/>
  <c r="DC9" i="43"/>
  <c r="DD9" i="43"/>
  <c r="DE9" i="43"/>
  <c r="DF9" i="43"/>
  <c r="DG9" i="43"/>
  <c r="DH9" i="43"/>
  <c r="DI9" i="43"/>
  <c r="DJ9" i="43"/>
  <c r="DK9" i="43"/>
  <c r="DL9" i="43"/>
  <c r="DM9" i="43"/>
  <c r="DN9" i="43"/>
  <c r="DO9" i="43"/>
  <c r="DP9" i="43"/>
  <c r="DQ9" i="43"/>
  <c r="DR9" i="43"/>
  <c r="DS9" i="43"/>
  <c r="DT9" i="43"/>
  <c r="DU9" i="43"/>
  <c r="DV9" i="43"/>
  <c r="DW9" i="43"/>
  <c r="DX9" i="43"/>
  <c r="DY9" i="43"/>
  <c r="DZ9" i="43"/>
  <c r="EA9" i="43"/>
  <c r="EB9" i="43"/>
  <c r="EC9" i="43"/>
  <c r="ED9" i="43"/>
  <c r="EE9" i="43"/>
  <c r="EF9" i="43"/>
  <c r="EG9" i="43"/>
  <c r="EH9" i="43"/>
  <c r="EI9" i="43"/>
  <c r="EJ9" i="43"/>
  <c r="EK9" i="43"/>
  <c r="EL9" i="43"/>
  <c r="EM9" i="43"/>
  <c r="EN9" i="43"/>
  <c r="EO9" i="43"/>
  <c r="EP9" i="43"/>
  <c r="EQ9" i="43"/>
  <c r="C9" i="43"/>
  <c r="D10" i="43"/>
  <c r="E10" i="43"/>
  <c r="F10" i="43"/>
  <c r="G10" i="43"/>
  <c r="H10" i="43"/>
  <c r="I10" i="43"/>
  <c r="J10" i="43"/>
  <c r="K10" i="43"/>
  <c r="L10" i="43"/>
  <c r="M10" i="43"/>
  <c r="N10" i="43"/>
  <c r="O10" i="43"/>
  <c r="P10" i="43"/>
  <c r="Q10" i="43"/>
  <c r="R10" i="43"/>
  <c r="S10" i="43"/>
  <c r="T10" i="43"/>
  <c r="U10" i="43"/>
  <c r="V10" i="43"/>
  <c r="W10" i="43"/>
  <c r="X10" i="43"/>
  <c r="Y10" i="43"/>
  <c r="Z10" i="43"/>
  <c r="AA10" i="43"/>
  <c r="AB10" i="43"/>
  <c r="AC10" i="43"/>
  <c r="AD10" i="43"/>
  <c r="AE10" i="43"/>
  <c r="AF10" i="43"/>
  <c r="AG10" i="43"/>
  <c r="AH10" i="43"/>
  <c r="AI10" i="43"/>
  <c r="AJ10" i="43"/>
  <c r="AK10" i="43"/>
  <c r="AL10" i="43"/>
  <c r="AM10" i="43"/>
  <c r="AN10" i="43"/>
  <c r="AO10" i="43"/>
  <c r="AP10" i="43"/>
  <c r="AQ10" i="43"/>
  <c r="AR10" i="43"/>
  <c r="AS10" i="43"/>
  <c r="AT10" i="43"/>
  <c r="AU10" i="43"/>
  <c r="AV10" i="43"/>
  <c r="AW10" i="43"/>
  <c r="AX10" i="43"/>
  <c r="AY10" i="43"/>
  <c r="AZ10" i="43"/>
  <c r="BA10" i="43"/>
  <c r="BB10" i="43"/>
  <c r="BC10" i="43"/>
  <c r="BD10" i="43"/>
  <c r="BE10" i="43"/>
  <c r="BF10" i="43"/>
  <c r="BG10" i="43"/>
  <c r="BH10" i="43"/>
  <c r="BI10" i="43"/>
  <c r="BJ10" i="43"/>
  <c r="BK10" i="43"/>
  <c r="BL10" i="43"/>
  <c r="BM10" i="43"/>
  <c r="BN10" i="43"/>
  <c r="BO10" i="43"/>
  <c r="BP10" i="43"/>
  <c r="BQ10" i="43"/>
  <c r="BR10" i="43"/>
  <c r="BS10" i="43"/>
  <c r="BT10" i="43"/>
  <c r="BU10" i="43"/>
  <c r="BV10" i="43"/>
  <c r="BW10" i="43"/>
  <c r="BX10" i="43"/>
  <c r="BY10" i="43"/>
  <c r="BZ10" i="43"/>
  <c r="CA10" i="43"/>
  <c r="CB10" i="43"/>
  <c r="CC10" i="43"/>
  <c r="CD10" i="43"/>
  <c r="CE10" i="43"/>
  <c r="CF10" i="43"/>
  <c r="CG10" i="43"/>
  <c r="CH10" i="43"/>
  <c r="CI10" i="43"/>
  <c r="CJ10" i="43"/>
  <c r="CK10" i="43"/>
  <c r="CL10" i="43"/>
  <c r="CM10" i="43"/>
  <c r="CN10" i="43"/>
  <c r="CO10" i="43"/>
  <c r="CP10" i="43"/>
  <c r="CQ10" i="43"/>
  <c r="CR10" i="43"/>
  <c r="CS10" i="43"/>
  <c r="CT10" i="43"/>
  <c r="CU10" i="43"/>
  <c r="CV10" i="43"/>
  <c r="CW10" i="43"/>
  <c r="CX10" i="43"/>
  <c r="CY10" i="43"/>
  <c r="CZ10" i="43"/>
  <c r="DA10" i="43"/>
  <c r="DB10" i="43"/>
  <c r="DC10" i="43"/>
  <c r="DD10" i="43"/>
  <c r="DE10" i="43"/>
  <c r="DF10" i="43"/>
  <c r="DG10" i="43"/>
  <c r="DH10" i="43"/>
  <c r="DI10" i="43"/>
  <c r="DJ10" i="43"/>
  <c r="DK10" i="43"/>
  <c r="DL10" i="43"/>
  <c r="DM10" i="43"/>
  <c r="DN10" i="43"/>
  <c r="DO10" i="43"/>
  <c r="DP10" i="43"/>
  <c r="DQ10" i="43"/>
  <c r="DR10" i="43"/>
  <c r="DS10" i="43"/>
  <c r="DT10" i="43"/>
  <c r="DU10" i="43"/>
  <c r="DV10" i="43"/>
  <c r="DW10" i="43"/>
  <c r="DX10" i="43"/>
  <c r="DY10" i="43"/>
  <c r="DZ10" i="43"/>
  <c r="EA10" i="43"/>
  <c r="EB10" i="43"/>
  <c r="EC10" i="43"/>
  <c r="ED10" i="43"/>
  <c r="EE10" i="43"/>
  <c r="EF10" i="43"/>
  <c r="EG10" i="43"/>
  <c r="EH10" i="43"/>
  <c r="EI10" i="43"/>
  <c r="EJ10" i="43"/>
  <c r="EK10" i="43"/>
  <c r="EL10" i="43"/>
  <c r="EM10" i="43"/>
  <c r="EN10" i="43"/>
  <c r="EO10" i="43"/>
  <c r="EP10" i="43"/>
  <c r="EQ10" i="43"/>
  <c r="D55" i="43"/>
  <c r="E55" i="43"/>
  <c r="F55" i="43"/>
  <c r="G55" i="43"/>
  <c r="H55" i="43"/>
  <c r="I55" i="43"/>
  <c r="J55" i="43"/>
  <c r="K55" i="43"/>
  <c r="L55" i="43"/>
  <c r="M55" i="43"/>
  <c r="N55" i="43"/>
  <c r="O55" i="43"/>
  <c r="P55" i="43"/>
  <c r="Q55" i="43"/>
  <c r="R55" i="43"/>
  <c r="S55" i="43"/>
  <c r="T55" i="43"/>
  <c r="U55" i="43"/>
  <c r="V55" i="43"/>
  <c r="W55" i="43"/>
  <c r="X55" i="43"/>
  <c r="Y55" i="43"/>
  <c r="Z55" i="43"/>
  <c r="AA55" i="43"/>
  <c r="AB55" i="43"/>
  <c r="AC55" i="43"/>
  <c r="AD55" i="43"/>
  <c r="AE55" i="43"/>
  <c r="AF55" i="43"/>
  <c r="AG55" i="43"/>
  <c r="AH55" i="43"/>
  <c r="AI55" i="43"/>
  <c r="AJ55" i="43"/>
  <c r="AK55" i="43"/>
  <c r="AL55" i="43"/>
  <c r="AM55" i="43"/>
  <c r="AN55" i="43"/>
  <c r="AO55" i="43"/>
  <c r="AP55" i="43"/>
  <c r="AQ55" i="43"/>
  <c r="AR55" i="43"/>
  <c r="AS55" i="43"/>
  <c r="AT55" i="43"/>
  <c r="AU55" i="43"/>
  <c r="AV55" i="43"/>
  <c r="AW55" i="43"/>
  <c r="AX55" i="43"/>
  <c r="AY55" i="43"/>
  <c r="AZ55" i="43"/>
  <c r="BA55" i="43"/>
  <c r="BB55" i="43"/>
  <c r="BC55" i="43"/>
  <c r="BD55" i="43"/>
  <c r="BE55" i="43"/>
  <c r="BF55" i="43"/>
  <c r="BG55" i="43"/>
  <c r="BH55" i="43"/>
  <c r="BI55" i="43"/>
  <c r="BJ55" i="43"/>
  <c r="BK55" i="43"/>
  <c r="BL55" i="43"/>
  <c r="BM55" i="43"/>
  <c r="BN55" i="43"/>
  <c r="BO55" i="43"/>
  <c r="BP55" i="43"/>
  <c r="BQ55" i="43"/>
  <c r="BR55" i="43"/>
  <c r="BS55" i="43"/>
  <c r="BT55" i="43"/>
  <c r="BU55" i="43"/>
  <c r="BV55" i="43"/>
  <c r="BW55" i="43"/>
  <c r="BX55" i="43"/>
  <c r="BY55" i="43"/>
  <c r="BZ55" i="43"/>
  <c r="CA55" i="43"/>
  <c r="CB55" i="43"/>
  <c r="CC55" i="43"/>
  <c r="CD55" i="43"/>
  <c r="CE55" i="43"/>
  <c r="CF55" i="43"/>
  <c r="CG55" i="43"/>
  <c r="CH55" i="43"/>
  <c r="CI55" i="43"/>
  <c r="CJ55" i="43"/>
  <c r="CK55" i="43"/>
  <c r="CL55" i="43"/>
  <c r="CM55" i="43"/>
  <c r="CN55" i="43"/>
  <c r="CO55" i="43"/>
  <c r="CP55" i="43"/>
  <c r="CQ55" i="43"/>
  <c r="CR55" i="43"/>
  <c r="CS55" i="43"/>
  <c r="CT55" i="43"/>
  <c r="CU55" i="43"/>
  <c r="CV55" i="43"/>
  <c r="CW55" i="43"/>
  <c r="CX55" i="43"/>
  <c r="CY55" i="43"/>
  <c r="CZ55" i="43"/>
  <c r="DA55" i="43"/>
  <c r="DB55" i="43"/>
  <c r="DC55" i="43"/>
  <c r="DD55" i="43"/>
  <c r="DE55" i="43"/>
  <c r="DF55" i="43"/>
  <c r="DG55" i="43"/>
  <c r="DH55" i="43"/>
  <c r="DI55" i="43"/>
  <c r="DJ55" i="43"/>
  <c r="DK55" i="43"/>
  <c r="DL55" i="43"/>
  <c r="DM55" i="43"/>
  <c r="DN55" i="43"/>
  <c r="DO55" i="43"/>
  <c r="DP55" i="43"/>
  <c r="DQ55" i="43"/>
  <c r="DR55" i="43"/>
  <c r="DS55" i="43"/>
  <c r="DT55" i="43"/>
  <c r="DU55" i="43"/>
  <c r="DV55" i="43"/>
  <c r="DW55" i="43"/>
  <c r="DX55" i="43"/>
  <c r="DY55" i="43"/>
  <c r="DZ55" i="43"/>
  <c r="EA55" i="43"/>
  <c r="EB55" i="43"/>
  <c r="EC55" i="43"/>
  <c r="ED55" i="43"/>
  <c r="EE55" i="43"/>
  <c r="EF55" i="43"/>
  <c r="EG55" i="43"/>
  <c r="EH55" i="43"/>
  <c r="EI55" i="43"/>
  <c r="EJ55" i="43"/>
  <c r="EK55" i="43"/>
  <c r="EL55" i="43"/>
  <c r="EM55" i="43"/>
  <c r="EN55" i="43"/>
  <c r="EO55" i="43"/>
  <c r="EP55" i="43"/>
  <c r="EQ55" i="43"/>
  <c r="C55" i="43"/>
  <c r="C13" i="43" s="1"/>
  <c r="ER11" i="43"/>
  <c r="C11" i="43"/>
  <c r="EQ283" i="43"/>
  <c r="EP283" i="43"/>
  <c r="EP268" i="43" s="1"/>
  <c r="EP267" i="43" s="1"/>
  <c r="EO283" i="43"/>
  <c r="EN283" i="43"/>
  <c r="EM283" i="43"/>
  <c r="EL283" i="43"/>
  <c r="EK283" i="43"/>
  <c r="EJ283" i="43"/>
  <c r="EI283" i="43"/>
  <c r="EH283" i="43"/>
  <c r="EG283" i="43"/>
  <c r="EF283" i="43"/>
  <c r="EE283" i="43"/>
  <c r="ED283" i="43"/>
  <c r="EC283" i="43"/>
  <c r="EB283" i="43"/>
  <c r="EA283" i="43"/>
  <c r="DZ283" i="43"/>
  <c r="DZ268" i="43" s="1"/>
  <c r="DZ267" i="43" s="1"/>
  <c r="DY283" i="43"/>
  <c r="DX283" i="43"/>
  <c r="DW283" i="43"/>
  <c r="DV283" i="43"/>
  <c r="DU283" i="43"/>
  <c r="DT283" i="43"/>
  <c r="DS283" i="43"/>
  <c r="DS268" i="43" s="1"/>
  <c r="DS267" i="43" s="1"/>
  <c r="DR283" i="43"/>
  <c r="DR268" i="43" s="1"/>
  <c r="DR267" i="43" s="1"/>
  <c r="DQ283" i="43"/>
  <c r="DP283" i="43"/>
  <c r="DP268" i="43" s="1"/>
  <c r="DP267" i="43" s="1"/>
  <c r="DP238" i="43" s="1"/>
  <c r="DO283" i="43"/>
  <c r="DN283" i="43"/>
  <c r="DM283" i="43"/>
  <c r="DL283" i="43"/>
  <c r="DK283" i="43"/>
  <c r="DK268" i="43" s="1"/>
  <c r="DK267" i="43" s="1"/>
  <c r="DJ283" i="43"/>
  <c r="DJ268" i="43" s="1"/>
  <c r="DJ267" i="43" s="1"/>
  <c r="DI283" i="43"/>
  <c r="DH283" i="43"/>
  <c r="DH268" i="43" s="1"/>
  <c r="DH267" i="43" s="1"/>
  <c r="DH238" i="43" s="1"/>
  <c r="DG283" i="43"/>
  <c r="DF283" i="43"/>
  <c r="DE283" i="43"/>
  <c r="DD283" i="43"/>
  <c r="DC283" i="43"/>
  <c r="DB283" i="43"/>
  <c r="DA283" i="43"/>
  <c r="CZ283" i="43"/>
  <c r="CY283" i="43"/>
  <c r="CX283" i="43"/>
  <c r="CW283" i="43"/>
  <c r="CV283" i="43"/>
  <c r="CU283" i="43"/>
  <c r="CT283" i="43"/>
  <c r="CS283" i="43"/>
  <c r="CR283" i="43"/>
  <c r="CQ283" i="43"/>
  <c r="CP283" i="43"/>
  <c r="CO283" i="43"/>
  <c r="CN283" i="43"/>
  <c r="CM283" i="43"/>
  <c r="CL283" i="43"/>
  <c r="CK283" i="43"/>
  <c r="CJ283" i="43"/>
  <c r="CI283" i="43"/>
  <c r="CH283" i="43"/>
  <c r="CG283" i="43"/>
  <c r="CF283" i="43"/>
  <c r="CE283" i="43"/>
  <c r="CD283" i="43"/>
  <c r="CD268" i="43" s="1"/>
  <c r="CD267" i="43" s="1"/>
  <c r="CC283" i="43"/>
  <c r="CB283" i="43"/>
  <c r="CA283" i="43"/>
  <c r="BZ283" i="43"/>
  <c r="BY283" i="43"/>
  <c r="BX283" i="43"/>
  <c r="BW283" i="43"/>
  <c r="BV283" i="43"/>
  <c r="BU283" i="43"/>
  <c r="BT283" i="43"/>
  <c r="BS283" i="43"/>
  <c r="BR283" i="43"/>
  <c r="BQ283" i="43"/>
  <c r="BP283" i="43"/>
  <c r="BO283" i="43"/>
  <c r="BO268" i="43" s="1"/>
  <c r="BO267" i="43" s="1"/>
  <c r="BN283" i="43"/>
  <c r="BN268" i="43" s="1"/>
  <c r="BN267" i="43" s="1"/>
  <c r="BM283" i="43"/>
  <c r="BL283" i="43"/>
  <c r="BK283" i="43"/>
  <c r="BJ283" i="43"/>
  <c r="BI283" i="43"/>
  <c r="BH283" i="43"/>
  <c r="BG283" i="43"/>
  <c r="BF283" i="43"/>
  <c r="BF268" i="43" s="1"/>
  <c r="BF267" i="43" s="1"/>
  <c r="BE283" i="43"/>
  <c r="BD283" i="43"/>
  <c r="BC283" i="43"/>
  <c r="BB283" i="43"/>
  <c r="BA283" i="43"/>
  <c r="AZ283" i="43"/>
  <c r="AY283" i="43"/>
  <c r="AX283" i="43"/>
  <c r="AX268" i="43" s="1"/>
  <c r="AX267" i="43" s="1"/>
  <c r="AW283" i="43"/>
  <c r="AV283" i="43"/>
  <c r="AU283" i="43"/>
  <c r="AT283" i="43"/>
  <c r="AS283" i="43"/>
  <c r="AR283" i="43"/>
  <c r="AQ283" i="43"/>
  <c r="AP283" i="43"/>
  <c r="AO283" i="43"/>
  <c r="AN283" i="43"/>
  <c r="AM283" i="43"/>
  <c r="AL283" i="43"/>
  <c r="AK283" i="43"/>
  <c r="AJ283" i="43"/>
  <c r="AI283" i="43"/>
  <c r="AH283" i="43"/>
  <c r="AG283" i="43"/>
  <c r="AF283" i="43"/>
  <c r="AE283" i="43"/>
  <c r="AD283" i="43"/>
  <c r="AC283" i="43"/>
  <c r="AB283" i="43"/>
  <c r="AA283" i="43"/>
  <c r="Z283" i="43"/>
  <c r="Y283" i="43"/>
  <c r="X283" i="43"/>
  <c r="W283" i="43"/>
  <c r="V283" i="43"/>
  <c r="U283" i="43"/>
  <c r="T283" i="43"/>
  <c r="S283" i="43"/>
  <c r="R283" i="43"/>
  <c r="R268" i="43" s="1"/>
  <c r="R267" i="43" s="1"/>
  <c r="Q283" i="43"/>
  <c r="P283" i="43"/>
  <c r="O283" i="43"/>
  <c r="N283" i="43"/>
  <c r="M283" i="43"/>
  <c r="L283" i="43"/>
  <c r="K283" i="43"/>
  <c r="J283" i="43"/>
  <c r="J268" i="43" s="1"/>
  <c r="J267" i="43" s="1"/>
  <c r="I283" i="43"/>
  <c r="H283" i="43"/>
  <c r="G283" i="43"/>
  <c r="F283" i="43"/>
  <c r="E283" i="43"/>
  <c r="E268" i="43" s="1"/>
  <c r="E267" i="43" s="1"/>
  <c r="E238" i="43" s="1"/>
  <c r="D283" i="43"/>
  <c r="C283" i="43"/>
  <c r="EQ279" i="43"/>
  <c r="EP279" i="43"/>
  <c r="EO279" i="43"/>
  <c r="EN279" i="43"/>
  <c r="EM279" i="43"/>
  <c r="EL279" i="43"/>
  <c r="EL268" i="43" s="1"/>
  <c r="EL267" i="43" s="1"/>
  <c r="EK279" i="43"/>
  <c r="EJ279" i="43"/>
  <c r="EI279" i="43"/>
  <c r="EI268" i="43" s="1"/>
  <c r="EI267" i="43" s="1"/>
  <c r="EH279" i="43"/>
  <c r="EG279" i="43"/>
  <c r="EF279" i="43"/>
  <c r="EE279" i="43"/>
  <c r="ED279" i="43"/>
  <c r="ED268" i="43" s="1"/>
  <c r="ED267" i="43" s="1"/>
  <c r="ED238" i="43" s="1"/>
  <c r="EC279" i="43"/>
  <c r="EB279" i="43"/>
  <c r="EA279" i="43"/>
  <c r="EA268" i="43" s="1"/>
  <c r="EA267" i="43" s="1"/>
  <c r="DZ279" i="43"/>
  <c r="DY279" i="43"/>
  <c r="DX279" i="43"/>
  <c r="DW279" i="43"/>
  <c r="DV279" i="43"/>
  <c r="DV268" i="43" s="1"/>
  <c r="DV267" i="43" s="1"/>
  <c r="DV238" i="43" s="1"/>
  <c r="DU279" i="43"/>
  <c r="DT279" i="43"/>
  <c r="DS279" i="43"/>
  <c r="DR279" i="43"/>
  <c r="DQ279" i="43"/>
  <c r="DP279" i="43"/>
  <c r="DO279" i="43"/>
  <c r="DN279" i="43"/>
  <c r="DN268" i="43" s="1"/>
  <c r="DN267" i="43" s="1"/>
  <c r="DM279" i="43"/>
  <c r="DL279" i="43"/>
  <c r="DK279" i="43"/>
  <c r="DJ279" i="43"/>
  <c r="DI279" i="43"/>
  <c r="DH279" i="43"/>
  <c r="DG279" i="43"/>
  <c r="DF279" i="43"/>
  <c r="DF268" i="43" s="1"/>
  <c r="DF267" i="43" s="1"/>
  <c r="DE279" i="43"/>
  <c r="DD279" i="43"/>
  <c r="DC279" i="43"/>
  <c r="DC268" i="43" s="1"/>
  <c r="DC267" i="43" s="1"/>
  <c r="DB279" i="43"/>
  <c r="DA279" i="43"/>
  <c r="CZ279" i="43"/>
  <c r="CZ268" i="43" s="1"/>
  <c r="CZ267" i="43" s="1"/>
  <c r="CZ238" i="43" s="1"/>
  <c r="CY279" i="43"/>
  <c r="CX279" i="43"/>
  <c r="CX268" i="43" s="1"/>
  <c r="CX267" i="43" s="1"/>
  <c r="CX238" i="43" s="1"/>
  <c r="CW279" i="43"/>
  <c r="CV279" i="43"/>
  <c r="CU279" i="43"/>
  <c r="CT279" i="43"/>
  <c r="CS279" i="43"/>
  <c r="CR279" i="43"/>
  <c r="CQ279" i="43"/>
  <c r="CP279" i="43"/>
  <c r="CP268" i="43" s="1"/>
  <c r="CP267" i="43" s="1"/>
  <c r="CP238" i="43" s="1"/>
  <c r="CO279" i="43"/>
  <c r="CN279" i="43"/>
  <c r="CM279" i="43"/>
  <c r="CL279" i="43"/>
  <c r="CK279" i="43"/>
  <c r="CJ279" i="43"/>
  <c r="CI279" i="43"/>
  <c r="CH279" i="43"/>
  <c r="CH268" i="43" s="1"/>
  <c r="CH267" i="43" s="1"/>
  <c r="CG279" i="43"/>
  <c r="CF279" i="43"/>
  <c r="CE279" i="43"/>
  <c r="CE268" i="43" s="1"/>
  <c r="CE267" i="43" s="1"/>
  <c r="CD279" i="43"/>
  <c r="CC279" i="43"/>
  <c r="CB279" i="43"/>
  <c r="CA279" i="43"/>
  <c r="BZ279" i="43"/>
  <c r="BZ268" i="43" s="1"/>
  <c r="BZ267" i="43" s="1"/>
  <c r="BZ238" i="43" s="1"/>
  <c r="BY279" i="43"/>
  <c r="BX279" i="43"/>
  <c r="BW279" i="43"/>
  <c r="BW268" i="43" s="1"/>
  <c r="BW267" i="43" s="1"/>
  <c r="BV279" i="43"/>
  <c r="BU279" i="43"/>
  <c r="BT279" i="43"/>
  <c r="BS279" i="43"/>
  <c r="BR279" i="43"/>
  <c r="BR268" i="43" s="1"/>
  <c r="BR267" i="43" s="1"/>
  <c r="BR238" i="43" s="1"/>
  <c r="BQ279" i="43"/>
  <c r="BP279" i="43"/>
  <c r="BO279" i="43"/>
  <c r="BN279" i="43"/>
  <c r="BM279" i="43"/>
  <c r="BL279" i="43"/>
  <c r="BK279" i="43"/>
  <c r="BJ279" i="43"/>
  <c r="BJ268" i="43" s="1"/>
  <c r="BJ267" i="43" s="1"/>
  <c r="BI279" i="43"/>
  <c r="BH279" i="43"/>
  <c r="BG279" i="43"/>
  <c r="BG268" i="43" s="1"/>
  <c r="BG267" i="43" s="1"/>
  <c r="BF279" i="43"/>
  <c r="BE279" i="43"/>
  <c r="BD279" i="43"/>
  <c r="BD268" i="43" s="1"/>
  <c r="BD267" i="43" s="1"/>
  <c r="BD238" i="43" s="1"/>
  <c r="BC279" i="43"/>
  <c r="BB279" i="43"/>
  <c r="BB268" i="43" s="1"/>
  <c r="BB267" i="43" s="1"/>
  <c r="BA279" i="43"/>
  <c r="AZ279" i="43"/>
  <c r="AY279" i="43"/>
  <c r="AY268" i="43" s="1"/>
  <c r="AY267" i="43" s="1"/>
  <c r="AX279" i="43"/>
  <c r="AW279" i="43"/>
  <c r="AV279" i="43"/>
  <c r="AV268" i="43" s="1"/>
  <c r="AV267" i="43" s="1"/>
  <c r="AV238" i="43" s="1"/>
  <c r="AU279" i="43"/>
  <c r="AT279" i="43"/>
  <c r="AT268" i="43" s="1"/>
  <c r="AT267" i="43" s="1"/>
  <c r="AS279" i="43"/>
  <c r="AR279" i="43"/>
  <c r="AQ279" i="43"/>
  <c r="AQ268" i="43" s="1"/>
  <c r="AQ267" i="43" s="1"/>
  <c r="AP279" i="43"/>
  <c r="AO279" i="43"/>
  <c r="AN279" i="43"/>
  <c r="AN268" i="43" s="1"/>
  <c r="AN267" i="43" s="1"/>
  <c r="AN238" i="43" s="1"/>
  <c r="AM279" i="43"/>
  <c r="AL279" i="43"/>
  <c r="AL268" i="43" s="1"/>
  <c r="AL267" i="43" s="1"/>
  <c r="AK279" i="43"/>
  <c r="AJ279" i="43"/>
  <c r="AI279" i="43"/>
  <c r="AH279" i="43"/>
  <c r="AG279" i="43"/>
  <c r="AF279" i="43"/>
  <c r="AE279" i="43"/>
  <c r="AD279" i="43"/>
  <c r="AD268" i="43" s="1"/>
  <c r="AD267" i="43" s="1"/>
  <c r="AC279" i="43"/>
  <c r="AB279" i="43"/>
  <c r="AA279" i="43"/>
  <c r="AA268" i="43" s="1"/>
  <c r="AA267" i="43" s="1"/>
  <c r="Z279" i="43"/>
  <c r="Y279" i="43"/>
  <c r="X279" i="43"/>
  <c r="W279" i="43"/>
  <c r="V279" i="43"/>
  <c r="V268" i="43" s="1"/>
  <c r="V267" i="43" s="1"/>
  <c r="U279" i="43"/>
  <c r="T279" i="43"/>
  <c r="S279" i="43"/>
  <c r="S268" i="43" s="1"/>
  <c r="S267" i="43" s="1"/>
  <c r="R279" i="43"/>
  <c r="Q279" i="43"/>
  <c r="P279" i="43"/>
  <c r="O279" i="43"/>
  <c r="N279" i="43"/>
  <c r="N268" i="43" s="1"/>
  <c r="N267" i="43" s="1"/>
  <c r="M279" i="43"/>
  <c r="L279" i="43"/>
  <c r="K279" i="43"/>
  <c r="K268" i="43" s="1"/>
  <c r="K267" i="43" s="1"/>
  <c r="J279" i="43"/>
  <c r="I279" i="43"/>
  <c r="H279" i="43"/>
  <c r="G279" i="43"/>
  <c r="F279" i="43"/>
  <c r="F268" i="43" s="1"/>
  <c r="F267" i="43" s="1"/>
  <c r="E279" i="43"/>
  <c r="D279" i="43"/>
  <c r="C279" i="43"/>
  <c r="EQ274" i="43"/>
  <c r="EP274" i="43"/>
  <c r="EO274" i="43"/>
  <c r="EO268" i="43" s="1"/>
  <c r="EO267" i="43" s="1"/>
  <c r="EO238" i="43" s="1"/>
  <c r="EN274" i="43"/>
  <c r="EM274" i="43"/>
  <c r="EM268" i="43" s="1"/>
  <c r="EM267" i="43" s="1"/>
  <c r="EM238" i="43" s="1"/>
  <c r="EL274" i="43"/>
  <c r="EK274" i="43"/>
  <c r="EJ274" i="43"/>
  <c r="EJ268" i="43" s="1"/>
  <c r="EI274" i="43"/>
  <c r="EH274" i="43"/>
  <c r="EG274" i="43"/>
  <c r="EG268" i="43" s="1"/>
  <c r="EG267" i="43" s="1"/>
  <c r="EG238" i="43" s="1"/>
  <c r="EF274" i="43"/>
  <c r="EE274" i="43"/>
  <c r="EE268" i="43" s="1"/>
  <c r="EE267" i="43" s="1"/>
  <c r="ED274" i="43"/>
  <c r="EC274" i="43"/>
  <c r="EB274" i="43"/>
  <c r="EB268" i="43" s="1"/>
  <c r="EB267" i="43" s="1"/>
  <c r="EB238" i="43" s="1"/>
  <c r="EA274" i="43"/>
  <c r="DZ274" i="43"/>
  <c r="DY274" i="43"/>
  <c r="DY268" i="43" s="1"/>
  <c r="DY267" i="43" s="1"/>
  <c r="DY238" i="43" s="1"/>
  <c r="DX274" i="43"/>
  <c r="DW274" i="43"/>
  <c r="DW268" i="43" s="1"/>
  <c r="DW267" i="43" s="1"/>
  <c r="DW238" i="43" s="1"/>
  <c r="DV274" i="43"/>
  <c r="DU274" i="43"/>
  <c r="DT274" i="43"/>
  <c r="DT268" i="43" s="1"/>
  <c r="DT267" i="43" s="1"/>
  <c r="DT238" i="43" s="1"/>
  <c r="DS274" i="43"/>
  <c r="DR274" i="43"/>
  <c r="DQ274" i="43"/>
  <c r="DP274" i="43"/>
  <c r="DO274" i="43"/>
  <c r="DO268" i="43" s="1"/>
  <c r="DO267" i="43" s="1"/>
  <c r="DO238" i="43" s="1"/>
  <c r="DN274" i="43"/>
  <c r="DM274" i="43"/>
  <c r="DL274" i="43"/>
  <c r="DL268" i="43" s="1"/>
  <c r="DL267" i="43" s="1"/>
  <c r="DL238" i="43" s="1"/>
  <c r="DK274" i="43"/>
  <c r="DJ274" i="43"/>
  <c r="DI274" i="43"/>
  <c r="DH274" i="43"/>
  <c r="DG274" i="43"/>
  <c r="DG268" i="43" s="1"/>
  <c r="DG267" i="43" s="1"/>
  <c r="DF274" i="43"/>
  <c r="DE274" i="43"/>
  <c r="DD274" i="43"/>
  <c r="DD268" i="43" s="1"/>
  <c r="DD267" i="43" s="1"/>
  <c r="DD238" i="43" s="1"/>
  <c r="DC274" i="43"/>
  <c r="DB274" i="43"/>
  <c r="DB268" i="43" s="1"/>
  <c r="DB267" i="43" s="1"/>
  <c r="DA274" i="43"/>
  <c r="CZ274" i="43"/>
  <c r="CY274" i="43"/>
  <c r="CY268" i="43" s="1"/>
  <c r="CY267" i="43" s="1"/>
  <c r="CX274" i="43"/>
  <c r="CW274" i="43"/>
  <c r="CV274" i="43"/>
  <c r="CV268" i="43" s="1"/>
  <c r="CV267" i="43" s="1"/>
  <c r="CV238" i="43" s="1"/>
  <c r="CU274" i="43"/>
  <c r="CT274" i="43"/>
  <c r="CT268" i="43" s="1"/>
  <c r="CT267" i="43" s="1"/>
  <c r="CS274" i="43"/>
  <c r="CR274" i="43"/>
  <c r="CQ274" i="43"/>
  <c r="CQ268" i="43" s="1"/>
  <c r="CQ267" i="43" s="1"/>
  <c r="CQ238" i="43" s="1"/>
  <c r="CP274" i="43"/>
  <c r="CO274" i="43"/>
  <c r="CN274" i="43"/>
  <c r="CN268" i="43" s="1"/>
  <c r="CM274" i="43"/>
  <c r="CL274" i="43"/>
  <c r="CL268" i="43" s="1"/>
  <c r="CL267" i="43" s="1"/>
  <c r="CK274" i="43"/>
  <c r="CJ274" i="43"/>
  <c r="CI274" i="43"/>
  <c r="CI268" i="43" s="1"/>
  <c r="CI267" i="43" s="1"/>
  <c r="CI238" i="43" s="1"/>
  <c r="CH274" i="43"/>
  <c r="CG274" i="43"/>
  <c r="CF274" i="43"/>
  <c r="CF268" i="43" s="1"/>
  <c r="CF267" i="43" s="1"/>
  <c r="CF238" i="43" s="1"/>
  <c r="CE274" i="43"/>
  <c r="CD274" i="43"/>
  <c r="CC274" i="43"/>
  <c r="CC268" i="43" s="1"/>
  <c r="CC267" i="43" s="1"/>
  <c r="CC238" i="43" s="1"/>
  <c r="CB274" i="43"/>
  <c r="CA274" i="43"/>
  <c r="CA268" i="43" s="1"/>
  <c r="CA267" i="43" s="1"/>
  <c r="BZ274" i="43"/>
  <c r="BY274" i="43"/>
  <c r="BX274" i="43"/>
  <c r="BX268" i="43" s="1"/>
  <c r="BW274" i="43"/>
  <c r="BV274" i="43"/>
  <c r="BU274" i="43"/>
  <c r="BU268" i="43" s="1"/>
  <c r="BU267" i="43" s="1"/>
  <c r="BU238" i="43" s="1"/>
  <c r="BT274" i="43"/>
  <c r="BS274" i="43"/>
  <c r="BS268" i="43" s="1"/>
  <c r="BS267" i="43" s="1"/>
  <c r="BS238" i="43" s="1"/>
  <c r="BR274" i="43"/>
  <c r="BQ274" i="43"/>
  <c r="BP274" i="43"/>
  <c r="BP268" i="43" s="1"/>
  <c r="BP267" i="43" s="1"/>
  <c r="BP238" i="43" s="1"/>
  <c r="BO274" i="43"/>
  <c r="BN274" i="43"/>
  <c r="BM274" i="43"/>
  <c r="BM268" i="43" s="1"/>
  <c r="BM267" i="43" s="1"/>
  <c r="BM238" i="43" s="1"/>
  <c r="BL274" i="43"/>
  <c r="BK274" i="43"/>
  <c r="BK268" i="43" s="1"/>
  <c r="BK267" i="43" s="1"/>
  <c r="BK238" i="43" s="1"/>
  <c r="BJ274" i="43"/>
  <c r="BI274" i="43"/>
  <c r="BH274" i="43"/>
  <c r="BG274" i="43"/>
  <c r="BF274" i="43"/>
  <c r="BE274" i="43"/>
  <c r="BD274" i="43"/>
  <c r="BC274" i="43"/>
  <c r="BC268" i="43" s="1"/>
  <c r="BC267" i="43" s="1"/>
  <c r="BB274" i="43"/>
  <c r="BA274" i="43"/>
  <c r="AZ274" i="43"/>
  <c r="AZ268" i="43" s="1"/>
  <c r="AZ267" i="43" s="1"/>
  <c r="AZ238" i="43" s="1"/>
  <c r="AY274" i="43"/>
  <c r="AX274" i="43"/>
  <c r="AW274" i="43"/>
  <c r="AV274" i="43"/>
  <c r="AU274" i="43"/>
  <c r="AU268" i="43" s="1"/>
  <c r="AU267" i="43" s="1"/>
  <c r="AT274" i="43"/>
  <c r="AS274" i="43"/>
  <c r="AR274" i="43"/>
  <c r="AR268" i="43" s="1"/>
  <c r="AR267" i="43" s="1"/>
  <c r="AR238" i="43" s="1"/>
  <c r="AQ274" i="43"/>
  <c r="AP274" i="43"/>
  <c r="AP268" i="43" s="1"/>
  <c r="AP267" i="43" s="1"/>
  <c r="AO274" i="43"/>
  <c r="AN274" i="43"/>
  <c r="AM274" i="43"/>
  <c r="AM268" i="43" s="1"/>
  <c r="AM267" i="43" s="1"/>
  <c r="AM238" i="43" s="1"/>
  <c r="AL274" i="43"/>
  <c r="AK274" i="43"/>
  <c r="AJ274" i="43"/>
  <c r="AJ268" i="43" s="1"/>
  <c r="AJ267" i="43" s="1"/>
  <c r="AJ238" i="43" s="1"/>
  <c r="AI274" i="43"/>
  <c r="AH274" i="43"/>
  <c r="AH268" i="43" s="1"/>
  <c r="AH267" i="43" s="1"/>
  <c r="AG274" i="43"/>
  <c r="AF274" i="43"/>
  <c r="AE274" i="43"/>
  <c r="AE268" i="43" s="1"/>
  <c r="AE267" i="43" s="1"/>
  <c r="AD274" i="43"/>
  <c r="AC274" i="43"/>
  <c r="AB274" i="43"/>
  <c r="AB268" i="43" s="1"/>
  <c r="AA274" i="43"/>
  <c r="Z274" i="43"/>
  <c r="Z268" i="43" s="1"/>
  <c r="Z267" i="43" s="1"/>
  <c r="Y274" i="43"/>
  <c r="X274" i="43"/>
  <c r="W274" i="43"/>
  <c r="W268" i="43" s="1"/>
  <c r="W267" i="43" s="1"/>
  <c r="W238" i="43" s="1"/>
  <c r="V274" i="43"/>
  <c r="U274" i="43"/>
  <c r="T274" i="43"/>
  <c r="T268" i="43" s="1"/>
  <c r="T267" i="43" s="1"/>
  <c r="S274" i="43"/>
  <c r="R274" i="43"/>
  <c r="Q274" i="43"/>
  <c r="Q268" i="43" s="1"/>
  <c r="Q267" i="43" s="1"/>
  <c r="Q238" i="43" s="1"/>
  <c r="P274" i="43"/>
  <c r="O274" i="43"/>
  <c r="O268" i="43" s="1"/>
  <c r="O267" i="43" s="1"/>
  <c r="N274" i="43"/>
  <c r="M274" i="43"/>
  <c r="L274" i="43"/>
  <c r="L268" i="43" s="1"/>
  <c r="L267" i="43" s="1"/>
  <c r="L238" i="43" s="1"/>
  <c r="K274" i="43"/>
  <c r="J274" i="43"/>
  <c r="I274" i="43"/>
  <c r="H274" i="43"/>
  <c r="G274" i="43"/>
  <c r="G268" i="43" s="1"/>
  <c r="G267" i="43" s="1"/>
  <c r="F274" i="43"/>
  <c r="E274" i="43"/>
  <c r="D274" i="43"/>
  <c r="D268" i="43" s="1"/>
  <c r="D267" i="43" s="1"/>
  <c r="C274" i="43"/>
  <c r="EQ268" i="43"/>
  <c r="EN268" i="43"/>
  <c r="EN267" i="43" s="1"/>
  <c r="EN238" i="43" s="1"/>
  <c r="EH268" i="43"/>
  <c r="EH267" i="43" s="1"/>
  <c r="EF268" i="43"/>
  <c r="EF267" i="43" s="1"/>
  <c r="EF238" i="43" s="1"/>
  <c r="DX268" i="43"/>
  <c r="DX267" i="43" s="1"/>
  <c r="DQ268" i="43"/>
  <c r="DI268" i="43"/>
  <c r="DI267" i="43" s="1"/>
  <c r="DI238" i="43" s="1"/>
  <c r="DA268" i="43"/>
  <c r="DA267" i="43" s="1"/>
  <c r="DA238" i="43" s="1"/>
  <c r="CU268" i="43"/>
  <c r="CU267" i="43" s="1"/>
  <c r="CS268" i="43"/>
  <c r="CR268" i="43"/>
  <c r="CR267" i="43" s="1"/>
  <c r="CM268" i="43"/>
  <c r="CM267" i="43" s="1"/>
  <c r="CK268" i="43"/>
  <c r="CJ268" i="43"/>
  <c r="CJ267" i="43" s="1"/>
  <c r="CJ238" i="43" s="1"/>
  <c r="CB268" i="43"/>
  <c r="CB267" i="43" s="1"/>
  <c r="CB238" i="43" s="1"/>
  <c r="BV268" i="43"/>
  <c r="BV267" i="43" s="1"/>
  <c r="BT268" i="43"/>
  <c r="BT267" i="43" s="1"/>
  <c r="BL268" i="43"/>
  <c r="BL267" i="43" s="1"/>
  <c r="BL238" i="43" s="1"/>
  <c r="BH268" i="43"/>
  <c r="BE268" i="43"/>
  <c r="AW268" i="43"/>
  <c r="AW267" i="43" s="1"/>
  <c r="AW238" i="43" s="1"/>
  <c r="AO268" i="43"/>
  <c r="AO267" i="43" s="1"/>
  <c r="AO238" i="43" s="1"/>
  <c r="AI268" i="43"/>
  <c r="AI267" i="43" s="1"/>
  <c r="AG268" i="43"/>
  <c r="AF268" i="43"/>
  <c r="AF267" i="43" s="1"/>
  <c r="Y268" i="43"/>
  <c r="X268" i="43"/>
  <c r="X267" i="43" s="1"/>
  <c r="X238" i="43" s="1"/>
  <c r="P268" i="43"/>
  <c r="P267" i="43" s="1"/>
  <c r="P238" i="43" s="1"/>
  <c r="I268" i="43"/>
  <c r="H268" i="43"/>
  <c r="H267" i="43" s="1"/>
  <c r="C268" i="43"/>
  <c r="C267" i="43" s="1"/>
  <c r="EQ267" i="43"/>
  <c r="EJ267" i="43"/>
  <c r="EJ238" i="43" s="1"/>
  <c r="DQ267" i="43"/>
  <c r="CS267" i="43"/>
  <c r="CN267" i="43"/>
  <c r="CN238" i="43" s="1"/>
  <c r="CK267" i="43"/>
  <c r="BX267" i="43"/>
  <c r="BH267" i="43"/>
  <c r="BH238" i="43" s="1"/>
  <c r="BE267" i="43"/>
  <c r="BE238" i="43" s="1"/>
  <c r="AG267" i="43"/>
  <c r="AB267" i="43"/>
  <c r="Y267" i="43"/>
  <c r="Y238" i="43" s="1"/>
  <c r="I267" i="43"/>
  <c r="I238" i="43" s="1"/>
  <c r="EQ262" i="43"/>
  <c r="EP262" i="43"/>
  <c r="EO262" i="43"/>
  <c r="EN262" i="43"/>
  <c r="EM262" i="43"/>
  <c r="EL262" i="43"/>
  <c r="EK262" i="43"/>
  <c r="EJ262" i="43"/>
  <c r="EI262" i="43"/>
  <c r="EH262" i="43"/>
  <c r="EG262" i="43"/>
  <c r="EF262" i="43"/>
  <c r="EE262" i="43"/>
  <c r="ED262" i="43"/>
  <c r="EC262" i="43"/>
  <c r="EB262" i="43"/>
  <c r="EA262" i="43"/>
  <c r="DZ262" i="43"/>
  <c r="DY262" i="43"/>
  <c r="DX262" i="43"/>
  <c r="DW262" i="43"/>
  <c r="DV262" i="43"/>
  <c r="DU262" i="43"/>
  <c r="DT262" i="43"/>
  <c r="DS262" i="43"/>
  <c r="DR262" i="43"/>
  <c r="DQ262" i="43"/>
  <c r="DP262" i="43"/>
  <c r="DO262" i="43"/>
  <c r="DN262" i="43"/>
  <c r="DM262" i="43"/>
  <c r="DL262" i="43"/>
  <c r="DK262" i="43"/>
  <c r="DJ262" i="43"/>
  <c r="DI262" i="43"/>
  <c r="DH262" i="43"/>
  <c r="DG262" i="43"/>
  <c r="DF262" i="43"/>
  <c r="DE262" i="43"/>
  <c r="DD262" i="43"/>
  <c r="DC262" i="43"/>
  <c r="DB262" i="43"/>
  <c r="DA262" i="43"/>
  <c r="CZ262" i="43"/>
  <c r="CY262" i="43"/>
  <c r="CX262" i="43"/>
  <c r="CW262" i="43"/>
  <c r="CV262" i="43"/>
  <c r="CU262" i="43"/>
  <c r="CT262" i="43"/>
  <c r="CS262" i="43"/>
  <c r="CR262" i="43"/>
  <c r="CQ262" i="43"/>
  <c r="CP262" i="43"/>
  <c r="CO262" i="43"/>
  <c r="CN262" i="43"/>
  <c r="CM262" i="43"/>
  <c r="CL262" i="43"/>
  <c r="CK262" i="43"/>
  <c r="CJ262" i="43"/>
  <c r="CI262" i="43"/>
  <c r="CH262" i="43"/>
  <c r="CG262" i="43"/>
  <c r="CF262" i="43"/>
  <c r="CE262" i="43"/>
  <c r="CD262" i="43"/>
  <c r="CC262" i="43"/>
  <c r="CB262" i="43"/>
  <c r="CA262" i="43"/>
  <c r="BZ262" i="43"/>
  <c r="BY262" i="43"/>
  <c r="BX262" i="43"/>
  <c r="BX238" i="43" s="1"/>
  <c r="BW262" i="43"/>
  <c r="BV262" i="43"/>
  <c r="BU262" i="43"/>
  <c r="BT262" i="43"/>
  <c r="BS262" i="43"/>
  <c r="BR262" i="43"/>
  <c r="BQ262" i="43"/>
  <c r="BP262" i="43"/>
  <c r="BO262" i="43"/>
  <c r="BN262" i="43"/>
  <c r="BM262" i="43"/>
  <c r="BL262" i="43"/>
  <c r="BK262" i="43"/>
  <c r="BJ262" i="43"/>
  <c r="BI262" i="43"/>
  <c r="BH262" i="43"/>
  <c r="BG262" i="43"/>
  <c r="BF262" i="43"/>
  <c r="BE262" i="43"/>
  <c r="BD262" i="43"/>
  <c r="BC262" i="43"/>
  <c r="BB262" i="43"/>
  <c r="BA262" i="43"/>
  <c r="AZ262" i="43"/>
  <c r="AY262" i="43"/>
  <c r="AX262" i="43"/>
  <c r="AW262" i="43"/>
  <c r="AV262" i="43"/>
  <c r="AU262" i="43"/>
  <c r="AT262" i="43"/>
  <c r="AS262" i="43"/>
  <c r="AR262" i="43"/>
  <c r="AQ262" i="43"/>
  <c r="AP262" i="43"/>
  <c r="AO262" i="43"/>
  <c r="AN262" i="43"/>
  <c r="AM262" i="43"/>
  <c r="AL262" i="43"/>
  <c r="AK262" i="43"/>
  <c r="AJ262" i="43"/>
  <c r="AI262" i="43"/>
  <c r="AH262" i="43"/>
  <c r="AG262" i="43"/>
  <c r="AF262" i="43"/>
  <c r="AE262" i="43"/>
  <c r="AD262" i="43"/>
  <c r="AC262" i="43"/>
  <c r="AB262" i="43"/>
  <c r="AB238" i="43" s="1"/>
  <c r="AA262" i="43"/>
  <c r="Z262" i="43"/>
  <c r="Y262" i="43"/>
  <c r="X262" i="43"/>
  <c r="W262" i="43"/>
  <c r="V262" i="43"/>
  <c r="U262" i="43"/>
  <c r="T262" i="43"/>
  <c r="S262" i="43"/>
  <c r="R262" i="43"/>
  <c r="Q262" i="43"/>
  <c r="P262" i="43"/>
  <c r="O262" i="43"/>
  <c r="N262" i="43"/>
  <c r="M262" i="43"/>
  <c r="L262" i="43"/>
  <c r="K262" i="43"/>
  <c r="J262" i="43"/>
  <c r="I262" i="43"/>
  <c r="H262" i="43"/>
  <c r="G262" i="43"/>
  <c r="F262" i="43"/>
  <c r="E262" i="43"/>
  <c r="D262" i="43"/>
  <c r="D238" i="43" s="1"/>
  <c r="C262" i="43"/>
  <c r="EQ239" i="43"/>
  <c r="EQ238" i="43" s="1"/>
  <c r="EP239" i="43"/>
  <c r="EO239" i="43"/>
  <c r="EN239" i="43"/>
  <c r="EM239" i="43"/>
  <c r="EL239" i="43"/>
  <c r="EK239" i="43"/>
  <c r="EJ239" i="43"/>
  <c r="EI239" i="43"/>
  <c r="EH239" i="43"/>
  <c r="EG239" i="43"/>
  <c r="EF239" i="43"/>
  <c r="EE239" i="43"/>
  <c r="ED239" i="43"/>
  <c r="EC239" i="43"/>
  <c r="EB239" i="43"/>
  <c r="EA239" i="43"/>
  <c r="DZ239" i="43"/>
  <c r="DY239" i="43"/>
  <c r="DX239" i="43"/>
  <c r="DW239" i="43"/>
  <c r="DV239" i="43"/>
  <c r="DU239" i="43"/>
  <c r="DT239" i="43"/>
  <c r="DS239" i="43"/>
  <c r="DR239" i="43"/>
  <c r="DQ239" i="43"/>
  <c r="DP239" i="43"/>
  <c r="DO239" i="43"/>
  <c r="DN239" i="43"/>
  <c r="DM239" i="43"/>
  <c r="DL239" i="43"/>
  <c r="DK239" i="43"/>
  <c r="DJ239" i="43"/>
  <c r="DI239" i="43"/>
  <c r="DH239" i="43"/>
  <c r="DG239" i="43"/>
  <c r="DF239" i="43"/>
  <c r="DE239" i="43"/>
  <c r="DD239" i="43"/>
  <c r="DC239" i="43"/>
  <c r="DB239" i="43"/>
  <c r="DA239" i="43"/>
  <c r="CZ239" i="43"/>
  <c r="CY239" i="43"/>
  <c r="CX239" i="43"/>
  <c r="CW239" i="43"/>
  <c r="CV239" i="43"/>
  <c r="CU239" i="43"/>
  <c r="CT239" i="43"/>
  <c r="CS239" i="43"/>
  <c r="CR239" i="43"/>
  <c r="CQ239" i="43"/>
  <c r="CP239" i="43"/>
  <c r="CO239" i="43"/>
  <c r="CN239" i="43"/>
  <c r="CM239" i="43"/>
  <c r="CL239" i="43"/>
  <c r="CK239" i="43"/>
  <c r="CJ239" i="43"/>
  <c r="CI239" i="43"/>
  <c r="CH239" i="43"/>
  <c r="CG239" i="43"/>
  <c r="CF239" i="43"/>
  <c r="CE239" i="43"/>
  <c r="CD239" i="43"/>
  <c r="CC239" i="43"/>
  <c r="CB239" i="43"/>
  <c r="CA239" i="43"/>
  <c r="BZ239" i="43"/>
  <c r="BY239" i="43"/>
  <c r="BX239" i="43"/>
  <c r="BW239" i="43"/>
  <c r="BV239" i="43"/>
  <c r="BU239" i="43"/>
  <c r="BT239" i="43"/>
  <c r="BS239" i="43"/>
  <c r="BR239" i="43"/>
  <c r="BQ239" i="43"/>
  <c r="BP239" i="43"/>
  <c r="BO239" i="43"/>
  <c r="BN239" i="43"/>
  <c r="BM239" i="43"/>
  <c r="BL239" i="43"/>
  <c r="BK239" i="43"/>
  <c r="BJ239" i="43"/>
  <c r="BI239" i="43"/>
  <c r="BH239" i="43"/>
  <c r="BG239" i="43"/>
  <c r="BF239" i="43"/>
  <c r="BE239" i="43"/>
  <c r="BD239" i="43"/>
  <c r="BC239" i="43"/>
  <c r="BB239" i="43"/>
  <c r="BA239" i="43"/>
  <c r="AZ239" i="43"/>
  <c r="AY239" i="43"/>
  <c r="AX239" i="43"/>
  <c r="AW239" i="43"/>
  <c r="AV239" i="43"/>
  <c r="AU239" i="43"/>
  <c r="AT239" i="43"/>
  <c r="AS239" i="43"/>
  <c r="AR239" i="43"/>
  <c r="AQ239" i="43"/>
  <c r="AP239" i="43"/>
  <c r="AO239" i="43"/>
  <c r="AN239" i="43"/>
  <c r="AM239" i="43"/>
  <c r="AL239" i="43"/>
  <c r="AK239" i="43"/>
  <c r="AJ239" i="43"/>
  <c r="AI239" i="43"/>
  <c r="AH239" i="43"/>
  <c r="AG239" i="43"/>
  <c r="AF239" i="43"/>
  <c r="AE239" i="43"/>
  <c r="AD239" i="43"/>
  <c r="AC239" i="43"/>
  <c r="AB239" i="43"/>
  <c r="AA239" i="43"/>
  <c r="Z239" i="43"/>
  <c r="Y239" i="43"/>
  <c r="X239" i="43"/>
  <c r="W239" i="43"/>
  <c r="V239" i="43"/>
  <c r="U239" i="43"/>
  <c r="T239" i="43"/>
  <c r="S239" i="43"/>
  <c r="R239" i="43"/>
  <c r="Q239" i="43"/>
  <c r="P239" i="43"/>
  <c r="O239" i="43"/>
  <c r="N239" i="43"/>
  <c r="M239" i="43"/>
  <c r="L239" i="43"/>
  <c r="K239" i="43"/>
  <c r="J239" i="43"/>
  <c r="I239" i="43"/>
  <c r="H239" i="43"/>
  <c r="G239" i="43"/>
  <c r="F239" i="43"/>
  <c r="E239" i="43"/>
  <c r="D239" i="43"/>
  <c r="C239" i="43"/>
  <c r="C238" i="43" s="1"/>
  <c r="T238" i="43"/>
  <c r="EQ234" i="43"/>
  <c r="EQ233" i="43" s="1"/>
  <c r="EP234" i="43"/>
  <c r="EO234" i="43"/>
  <c r="EN234" i="43"/>
  <c r="EN233" i="43" s="1"/>
  <c r="EM234" i="43"/>
  <c r="EL234" i="43"/>
  <c r="EL233" i="43" s="1"/>
  <c r="EK234" i="43"/>
  <c r="EK233" i="43" s="1"/>
  <c r="EJ234" i="43"/>
  <c r="EI234" i="43"/>
  <c r="EI233" i="43" s="1"/>
  <c r="EH234" i="43"/>
  <c r="EG234" i="43"/>
  <c r="EF234" i="43"/>
  <c r="EE234" i="43"/>
  <c r="ED234" i="43"/>
  <c r="EC234" i="43"/>
  <c r="EC233" i="43" s="1"/>
  <c r="EB234" i="43"/>
  <c r="EB233" i="43" s="1"/>
  <c r="EA234" i="43"/>
  <c r="DZ234" i="43"/>
  <c r="DY234" i="43"/>
  <c r="DX234" i="43"/>
  <c r="DX233" i="43" s="1"/>
  <c r="DW234" i="43"/>
  <c r="DV234" i="43"/>
  <c r="DV233" i="43" s="1"/>
  <c r="DU234" i="43"/>
  <c r="DU233" i="43" s="1"/>
  <c r="DT234" i="43"/>
  <c r="DS234" i="43"/>
  <c r="DS233" i="43" s="1"/>
  <c r="DR234" i="43"/>
  <c r="DQ234" i="43"/>
  <c r="DP234" i="43"/>
  <c r="DO234" i="43"/>
  <c r="DN234" i="43"/>
  <c r="DN233" i="43" s="1"/>
  <c r="DM234" i="43"/>
  <c r="DM233" i="43" s="1"/>
  <c r="DL234" i="43"/>
  <c r="DL233" i="43" s="1"/>
  <c r="DK234" i="43"/>
  <c r="DJ234" i="43"/>
  <c r="DI234" i="43"/>
  <c r="DH234" i="43"/>
  <c r="DG234" i="43"/>
  <c r="DF234" i="43"/>
  <c r="DE234" i="43"/>
  <c r="DE233" i="43" s="1"/>
  <c r="DD234" i="43"/>
  <c r="DC234" i="43"/>
  <c r="DC233" i="43" s="1"/>
  <c r="DB234" i="43"/>
  <c r="DA234" i="43"/>
  <c r="DA233" i="43" s="1"/>
  <c r="CZ234" i="43"/>
  <c r="CZ233" i="43" s="1"/>
  <c r="CY234" i="43"/>
  <c r="CX234" i="43"/>
  <c r="CX233" i="43" s="1"/>
  <c r="CW234" i="43"/>
  <c r="CW233" i="43" s="1"/>
  <c r="CV234" i="43"/>
  <c r="CU234" i="43"/>
  <c r="CT234" i="43"/>
  <c r="CS234" i="43"/>
  <c r="CR234" i="43"/>
  <c r="CQ234" i="43"/>
  <c r="CP234" i="43"/>
  <c r="CO234" i="43"/>
  <c r="CO233" i="43" s="1"/>
  <c r="CN234" i="43"/>
  <c r="CM234" i="43"/>
  <c r="CM233" i="43" s="1"/>
  <c r="CL234" i="43"/>
  <c r="CK234" i="43"/>
  <c r="CJ234" i="43"/>
  <c r="CI234" i="43"/>
  <c r="CH234" i="43"/>
  <c r="CH233" i="43" s="1"/>
  <c r="CG234" i="43"/>
  <c r="CG233" i="43" s="1"/>
  <c r="CF234" i="43"/>
  <c r="CE234" i="43"/>
  <c r="CE233" i="43" s="1"/>
  <c r="CD234" i="43"/>
  <c r="CC234" i="43"/>
  <c r="CB234" i="43"/>
  <c r="CA234" i="43"/>
  <c r="BZ234" i="43"/>
  <c r="BY234" i="43"/>
  <c r="BY233" i="43" s="1"/>
  <c r="BX234" i="43"/>
  <c r="BW234" i="43"/>
  <c r="BV234" i="43"/>
  <c r="BU234" i="43"/>
  <c r="BT234" i="43"/>
  <c r="BS234" i="43"/>
  <c r="BR234" i="43"/>
  <c r="BQ234" i="43"/>
  <c r="BQ233" i="43" s="1"/>
  <c r="BP234" i="43"/>
  <c r="BO234" i="43"/>
  <c r="BO233" i="43" s="1"/>
  <c r="BN234" i="43"/>
  <c r="BM234" i="43"/>
  <c r="BM233" i="43" s="1"/>
  <c r="BL234" i="43"/>
  <c r="BK234" i="43"/>
  <c r="BJ234" i="43"/>
  <c r="BJ233" i="43" s="1"/>
  <c r="BI234" i="43"/>
  <c r="BI233" i="43" s="1"/>
  <c r="BH234" i="43"/>
  <c r="BG234" i="43"/>
  <c r="BF234" i="43"/>
  <c r="BE234" i="43"/>
  <c r="BD234" i="43"/>
  <c r="BD233" i="43" s="1"/>
  <c r="BC234" i="43"/>
  <c r="BB234" i="43"/>
  <c r="BA234" i="43"/>
  <c r="BA233" i="43" s="1"/>
  <c r="AZ234" i="43"/>
  <c r="AY234" i="43"/>
  <c r="AY233" i="43" s="1"/>
  <c r="AX234" i="43"/>
  <c r="AW234" i="43"/>
  <c r="AV234" i="43"/>
  <c r="AU234" i="43"/>
  <c r="AT234" i="43"/>
  <c r="AT233" i="43" s="1"/>
  <c r="AS234" i="43"/>
  <c r="AS233" i="43" s="1"/>
  <c r="AR234" i="43"/>
  <c r="AQ234" i="43"/>
  <c r="AP234" i="43"/>
  <c r="AO234" i="43"/>
  <c r="AO233" i="43" s="1"/>
  <c r="AN234" i="43"/>
  <c r="AM234" i="43"/>
  <c r="AL234" i="43"/>
  <c r="AK234" i="43"/>
  <c r="AK233" i="43" s="1"/>
  <c r="AJ234" i="43"/>
  <c r="AI234" i="43"/>
  <c r="AI233" i="43" s="1"/>
  <c r="AH234" i="43"/>
  <c r="AG234" i="43"/>
  <c r="AF234" i="43"/>
  <c r="AE234" i="43"/>
  <c r="AD234" i="43"/>
  <c r="AC234" i="43"/>
  <c r="AC233" i="43" s="1"/>
  <c r="AB234" i="43"/>
  <c r="AB233" i="43" s="1"/>
  <c r="AA234" i="43"/>
  <c r="Z234" i="43"/>
  <c r="Y234" i="43"/>
  <c r="X234" i="43"/>
  <c r="W234" i="43"/>
  <c r="V234" i="43"/>
  <c r="V233" i="43" s="1"/>
  <c r="U234" i="43"/>
  <c r="U233" i="43" s="1"/>
  <c r="T234" i="43"/>
  <c r="S234" i="43"/>
  <c r="S233" i="43" s="1"/>
  <c r="R234" i="43"/>
  <c r="Q234" i="43"/>
  <c r="P234" i="43"/>
  <c r="P233" i="43" s="1"/>
  <c r="O234" i="43"/>
  <c r="N234" i="43"/>
  <c r="M234" i="43"/>
  <c r="M233" i="43" s="1"/>
  <c r="L234" i="43"/>
  <c r="L233" i="43" s="1"/>
  <c r="K234" i="43"/>
  <c r="K233" i="43" s="1"/>
  <c r="J234" i="43"/>
  <c r="I234" i="43"/>
  <c r="I233" i="43" s="1"/>
  <c r="H234" i="43"/>
  <c r="H233" i="43" s="1"/>
  <c r="G234" i="43"/>
  <c r="F234" i="43"/>
  <c r="F233" i="43" s="1"/>
  <c r="E234" i="43"/>
  <c r="E233" i="43" s="1"/>
  <c r="D234" i="43"/>
  <c r="D233" i="43" s="1"/>
  <c r="C234" i="43"/>
  <c r="EP233" i="43"/>
  <c r="EO233" i="43"/>
  <c r="EM233" i="43"/>
  <c r="EJ233" i="43"/>
  <c r="EH233" i="43"/>
  <c r="EG233" i="43"/>
  <c r="EF233" i="43"/>
  <c r="EE233" i="43"/>
  <c r="ED233" i="43"/>
  <c r="EA233" i="43"/>
  <c r="DZ233" i="43"/>
  <c r="DY233" i="43"/>
  <c r="DW233" i="43"/>
  <c r="DT233" i="43"/>
  <c r="DR233" i="43"/>
  <c r="DQ233" i="43"/>
  <c r="DP233" i="43"/>
  <c r="DO233" i="43"/>
  <c r="DK233" i="43"/>
  <c r="DJ233" i="43"/>
  <c r="DI233" i="43"/>
  <c r="DH233" i="43"/>
  <c r="DG233" i="43"/>
  <c r="DF233" i="43"/>
  <c r="DD233" i="43"/>
  <c r="DB233" i="43"/>
  <c r="CY233" i="43"/>
  <c r="CV233" i="43"/>
  <c r="CU233" i="43"/>
  <c r="CT233" i="43"/>
  <c r="CS233" i="43"/>
  <c r="CR233" i="43"/>
  <c r="CQ233" i="43"/>
  <c r="CP233" i="43"/>
  <c r="CN233" i="43"/>
  <c r="CL233" i="43"/>
  <c r="CK233" i="43"/>
  <c r="CJ233" i="43"/>
  <c r="CI233" i="43"/>
  <c r="CF233" i="43"/>
  <c r="CD233" i="43"/>
  <c r="CC233" i="43"/>
  <c r="CB233" i="43"/>
  <c r="CA233" i="43"/>
  <c r="BZ233" i="43"/>
  <c r="BX233" i="43"/>
  <c r="BW233" i="43"/>
  <c r="BV233" i="43"/>
  <c r="BU233" i="43"/>
  <c r="BT233" i="43"/>
  <c r="BS233" i="43"/>
  <c r="BR233" i="43"/>
  <c r="BP233" i="43"/>
  <c r="BN233" i="43"/>
  <c r="BL233" i="43"/>
  <c r="BK233" i="43"/>
  <c r="BH233" i="43"/>
  <c r="BG233" i="43"/>
  <c r="BF233" i="43"/>
  <c r="BE233" i="43"/>
  <c r="BC233" i="43"/>
  <c r="BB233" i="43"/>
  <c r="AZ233" i="43"/>
  <c r="AX233" i="43"/>
  <c r="AW233" i="43"/>
  <c r="AV233" i="43"/>
  <c r="AU233" i="43"/>
  <c r="AR233" i="43"/>
  <c r="AQ233" i="43"/>
  <c r="AP233" i="43"/>
  <c r="AN233" i="43"/>
  <c r="AM233" i="43"/>
  <c r="AL233" i="43"/>
  <c r="AJ233" i="43"/>
  <c r="AH233" i="43"/>
  <c r="AG233" i="43"/>
  <c r="AF233" i="43"/>
  <c r="AE233" i="43"/>
  <c r="AD233" i="43"/>
  <c r="AA233" i="43"/>
  <c r="Z233" i="43"/>
  <c r="Y233" i="43"/>
  <c r="X233" i="43"/>
  <c r="W233" i="43"/>
  <c r="T233" i="43"/>
  <c r="R233" i="43"/>
  <c r="Q233" i="43"/>
  <c r="O233" i="43"/>
  <c r="N233" i="43"/>
  <c r="J233" i="43"/>
  <c r="G233" i="43"/>
  <c r="C233" i="43"/>
  <c r="EQ224" i="43"/>
  <c r="EP224" i="43"/>
  <c r="EO224" i="43"/>
  <c r="EN224" i="43"/>
  <c r="EM224" i="43"/>
  <c r="EL224" i="43"/>
  <c r="EK224" i="43"/>
  <c r="EJ224" i="43"/>
  <c r="EI224" i="43"/>
  <c r="EH224" i="43"/>
  <c r="EG224" i="43"/>
  <c r="EF224" i="43"/>
  <c r="EE224" i="43"/>
  <c r="ED224" i="43"/>
  <c r="EC224" i="43"/>
  <c r="EB224" i="43"/>
  <c r="EA224" i="43"/>
  <c r="DZ224" i="43"/>
  <c r="DY224" i="43"/>
  <c r="DX224" i="43"/>
  <c r="DW224" i="43"/>
  <c r="DV224" i="43"/>
  <c r="DU224" i="43"/>
  <c r="DT224" i="43"/>
  <c r="DS224" i="43"/>
  <c r="DR224" i="43"/>
  <c r="DQ224" i="43"/>
  <c r="DP224" i="43"/>
  <c r="DO224" i="43"/>
  <c r="DN224" i="43"/>
  <c r="DM224" i="43"/>
  <c r="DL224" i="43"/>
  <c r="DK224" i="43"/>
  <c r="DJ224" i="43"/>
  <c r="DI224" i="43"/>
  <c r="DH224" i="43"/>
  <c r="DG224" i="43"/>
  <c r="DF224" i="43"/>
  <c r="DE224" i="43"/>
  <c r="DD224" i="43"/>
  <c r="DC224" i="43"/>
  <c r="DB224" i="43"/>
  <c r="DA224" i="43"/>
  <c r="CZ224" i="43"/>
  <c r="CY224" i="43"/>
  <c r="CX224" i="43"/>
  <c r="CW224" i="43"/>
  <c r="CV224" i="43"/>
  <c r="CU224" i="43"/>
  <c r="CT224" i="43"/>
  <c r="CS224" i="43"/>
  <c r="CR224" i="43"/>
  <c r="CQ224" i="43"/>
  <c r="CP224" i="43"/>
  <c r="CO224" i="43"/>
  <c r="CN224" i="43"/>
  <c r="CM224" i="43"/>
  <c r="CL224" i="43"/>
  <c r="CK224" i="43"/>
  <c r="CJ224" i="43"/>
  <c r="CI224" i="43"/>
  <c r="CH224" i="43"/>
  <c r="CG224" i="43"/>
  <c r="CF224" i="43"/>
  <c r="CE224" i="43"/>
  <c r="CD224" i="43"/>
  <c r="CC224" i="43"/>
  <c r="CB224" i="43"/>
  <c r="CA224" i="43"/>
  <c r="BZ224" i="43"/>
  <c r="BY224" i="43"/>
  <c r="BX224" i="43"/>
  <c r="BW224" i="43"/>
  <c r="BV224" i="43"/>
  <c r="BU224" i="43"/>
  <c r="BT224" i="43"/>
  <c r="BS224" i="43"/>
  <c r="BR224" i="43"/>
  <c r="BQ224" i="43"/>
  <c r="BP224" i="43"/>
  <c r="BO224" i="43"/>
  <c r="BN224" i="43"/>
  <c r="BM224" i="43"/>
  <c r="BL224" i="43"/>
  <c r="BK224" i="43"/>
  <c r="BJ224" i="43"/>
  <c r="BI224" i="43"/>
  <c r="BH224" i="43"/>
  <c r="BG224" i="43"/>
  <c r="BF224" i="43"/>
  <c r="BE224" i="43"/>
  <c r="BD224" i="43"/>
  <c r="BC224" i="43"/>
  <c r="BB224" i="43"/>
  <c r="BA224" i="43"/>
  <c r="AZ224" i="43"/>
  <c r="AY224" i="43"/>
  <c r="AX224" i="43"/>
  <c r="AW224" i="43"/>
  <c r="AV224" i="43"/>
  <c r="AU224" i="43"/>
  <c r="AT224" i="43"/>
  <c r="AT184" i="43" s="1"/>
  <c r="AS224" i="43"/>
  <c r="AR224" i="43"/>
  <c r="AQ224" i="43"/>
  <c r="AP224" i="43"/>
  <c r="AO224" i="43"/>
  <c r="AN224" i="43"/>
  <c r="AM224" i="43"/>
  <c r="AL224" i="43"/>
  <c r="AK224" i="43"/>
  <c r="AJ224" i="43"/>
  <c r="AI224" i="43"/>
  <c r="AH224" i="43"/>
  <c r="AG224" i="43"/>
  <c r="AF224" i="43"/>
  <c r="AE224" i="43"/>
  <c r="AD224" i="43"/>
  <c r="AC224" i="43"/>
  <c r="AB224" i="43"/>
  <c r="AA224" i="43"/>
  <c r="Z224" i="43"/>
  <c r="Y224" i="43"/>
  <c r="X224" i="43"/>
  <c r="W224" i="43"/>
  <c r="V224" i="43"/>
  <c r="U224" i="43"/>
  <c r="T224" i="43"/>
  <c r="S224" i="43"/>
  <c r="R224" i="43"/>
  <c r="Q224" i="43"/>
  <c r="P224" i="43"/>
  <c r="O224" i="43"/>
  <c r="N224" i="43"/>
  <c r="M224" i="43"/>
  <c r="L224" i="43"/>
  <c r="K224" i="43"/>
  <c r="J224" i="43"/>
  <c r="I224" i="43"/>
  <c r="H224" i="43"/>
  <c r="G224" i="43"/>
  <c r="F224" i="43"/>
  <c r="E224" i="43"/>
  <c r="D224" i="43"/>
  <c r="C224" i="43"/>
  <c r="EQ214" i="43"/>
  <c r="EP214" i="43"/>
  <c r="EO214" i="43"/>
  <c r="EN214" i="43"/>
  <c r="EM214" i="43"/>
  <c r="EL214" i="43"/>
  <c r="EK214" i="43"/>
  <c r="EJ214" i="43"/>
  <c r="EI214" i="43"/>
  <c r="EH214" i="43"/>
  <c r="EG214" i="43"/>
  <c r="EF214" i="43"/>
  <c r="EF184" i="43" s="1"/>
  <c r="EE214" i="43"/>
  <c r="ED214" i="43"/>
  <c r="EC214" i="43"/>
  <c r="EC184" i="43" s="1"/>
  <c r="EB214" i="43"/>
  <c r="EA214" i="43"/>
  <c r="DZ214" i="43"/>
  <c r="DY214" i="43"/>
  <c r="DX214" i="43"/>
  <c r="DW214" i="43"/>
  <c r="DW184" i="43" s="1"/>
  <c r="DV214" i="43"/>
  <c r="DU214" i="43"/>
  <c r="DT214" i="43"/>
  <c r="DS214" i="43"/>
  <c r="DR214" i="43"/>
  <c r="DQ214" i="43"/>
  <c r="DP214" i="43"/>
  <c r="DO214" i="43"/>
  <c r="DN214" i="43"/>
  <c r="DM214" i="43"/>
  <c r="DL214" i="43"/>
  <c r="DK214" i="43"/>
  <c r="DJ214" i="43"/>
  <c r="DI214" i="43"/>
  <c r="DH214" i="43"/>
  <c r="DG214" i="43"/>
  <c r="DF214" i="43"/>
  <c r="DE214" i="43"/>
  <c r="DD214" i="43"/>
  <c r="DC214" i="43"/>
  <c r="DB214" i="43"/>
  <c r="DA214" i="43"/>
  <c r="CZ214" i="43"/>
  <c r="CY214" i="43"/>
  <c r="CX214" i="43"/>
  <c r="CW214" i="43"/>
  <c r="CV214" i="43"/>
  <c r="CU214" i="43"/>
  <c r="CT214" i="43"/>
  <c r="CS214" i="43"/>
  <c r="CR214" i="43"/>
  <c r="CQ214" i="43"/>
  <c r="CP214" i="43"/>
  <c r="CO214" i="43"/>
  <c r="CN214" i="43"/>
  <c r="CM214" i="43"/>
  <c r="CL214" i="43"/>
  <c r="CK214" i="43"/>
  <c r="CJ214" i="43"/>
  <c r="CI214" i="43"/>
  <c r="CH214" i="43"/>
  <c r="CG214" i="43"/>
  <c r="CF214" i="43"/>
  <c r="CE214" i="43"/>
  <c r="CD214" i="43"/>
  <c r="CC214" i="43"/>
  <c r="CB214" i="43"/>
  <c r="CA214" i="43"/>
  <c r="BZ214" i="43"/>
  <c r="BY214" i="43"/>
  <c r="BX214" i="43"/>
  <c r="BW214" i="43"/>
  <c r="BV214" i="43"/>
  <c r="BU214" i="43"/>
  <c r="BT214" i="43"/>
  <c r="BS214" i="43"/>
  <c r="BR214" i="43"/>
  <c r="BQ214" i="43"/>
  <c r="BP214" i="43"/>
  <c r="BO214" i="43"/>
  <c r="BN214" i="43"/>
  <c r="BM214" i="43"/>
  <c r="BL214" i="43"/>
  <c r="BK214" i="43"/>
  <c r="BJ214" i="43"/>
  <c r="BI214" i="43"/>
  <c r="BH214" i="43"/>
  <c r="BG214" i="43"/>
  <c r="BF214" i="43"/>
  <c r="BE214" i="43"/>
  <c r="BD214" i="43"/>
  <c r="BC214" i="43"/>
  <c r="BB214" i="43"/>
  <c r="BA214" i="43"/>
  <c r="AZ214" i="43"/>
  <c r="AY214" i="43"/>
  <c r="AX214" i="43"/>
  <c r="AW214" i="43"/>
  <c r="AV214" i="43"/>
  <c r="AU214" i="43"/>
  <c r="AT214" i="43"/>
  <c r="AS214" i="43"/>
  <c r="AR214" i="43"/>
  <c r="AQ214" i="43"/>
  <c r="AP214" i="43"/>
  <c r="AO214" i="43"/>
  <c r="AN214" i="43"/>
  <c r="AM214" i="43"/>
  <c r="AL214" i="43"/>
  <c r="AK214" i="43"/>
  <c r="AJ214" i="43"/>
  <c r="AI214" i="43"/>
  <c r="AH214" i="43"/>
  <c r="AG214" i="43"/>
  <c r="AF214" i="43"/>
  <c r="AE214" i="43"/>
  <c r="AD214" i="43"/>
  <c r="AC214" i="43"/>
  <c r="AB214" i="43"/>
  <c r="AA214" i="43"/>
  <c r="Z214" i="43"/>
  <c r="Y214" i="43"/>
  <c r="X214" i="43"/>
  <c r="W214" i="43"/>
  <c r="V214" i="43"/>
  <c r="U214" i="43"/>
  <c r="T214" i="43"/>
  <c r="S214" i="43"/>
  <c r="R214" i="43"/>
  <c r="Q214" i="43"/>
  <c r="P214" i="43"/>
  <c r="O214" i="43"/>
  <c r="N214" i="43"/>
  <c r="M214" i="43"/>
  <c r="L214" i="43"/>
  <c r="K214" i="43"/>
  <c r="J214" i="43"/>
  <c r="I214" i="43"/>
  <c r="H214" i="43"/>
  <c r="G214" i="43"/>
  <c r="F214" i="43"/>
  <c r="E214" i="43"/>
  <c r="D214" i="43"/>
  <c r="C214" i="43"/>
  <c r="EQ207" i="43"/>
  <c r="EP207" i="43"/>
  <c r="EO207" i="43"/>
  <c r="EN207" i="43"/>
  <c r="EM207" i="43"/>
  <c r="EL207" i="43"/>
  <c r="EL185" i="43" s="1"/>
  <c r="EK207" i="43"/>
  <c r="EJ207" i="43"/>
  <c r="EI207" i="43"/>
  <c r="EI185" i="43" s="1"/>
  <c r="EI184" i="43" s="1"/>
  <c r="EH207" i="43"/>
  <c r="EG207" i="43"/>
  <c r="EG185" i="43" s="1"/>
  <c r="EG184" i="43" s="1"/>
  <c r="EF207" i="43"/>
  <c r="EE207" i="43"/>
  <c r="ED207" i="43"/>
  <c r="EC207" i="43"/>
  <c r="EB207" i="43"/>
  <c r="EA207" i="43"/>
  <c r="EA185" i="43" s="1"/>
  <c r="EA184" i="43" s="1"/>
  <c r="DZ207" i="43"/>
  <c r="DY207" i="43"/>
  <c r="DY185" i="43" s="1"/>
  <c r="DX207" i="43"/>
  <c r="DW207" i="43"/>
  <c r="DV207" i="43"/>
  <c r="DV185" i="43" s="1"/>
  <c r="DU207" i="43"/>
  <c r="DT207" i="43"/>
  <c r="DS207" i="43"/>
  <c r="DS185" i="43" s="1"/>
  <c r="DR207" i="43"/>
  <c r="DQ207" i="43"/>
  <c r="DP207" i="43"/>
  <c r="DO207" i="43"/>
  <c r="DN207" i="43"/>
  <c r="DN185" i="43" s="1"/>
  <c r="DM207" i="43"/>
  <c r="DL207" i="43"/>
  <c r="DK207" i="43"/>
  <c r="DJ207" i="43"/>
  <c r="DI207" i="43"/>
  <c r="DH207" i="43"/>
  <c r="DG207" i="43"/>
  <c r="DF207" i="43"/>
  <c r="DE207" i="43"/>
  <c r="DD207" i="43"/>
  <c r="DC207" i="43"/>
  <c r="DC185" i="43" s="1"/>
  <c r="DC184" i="43" s="1"/>
  <c r="DB207" i="43"/>
  <c r="DA207" i="43"/>
  <c r="CZ207" i="43"/>
  <c r="CZ185" i="43" s="1"/>
  <c r="CY207" i="43"/>
  <c r="CX207" i="43"/>
  <c r="CX185" i="43" s="1"/>
  <c r="CW207" i="43"/>
  <c r="CV207" i="43"/>
  <c r="CU207" i="43"/>
  <c r="CU185" i="43" s="1"/>
  <c r="CU184" i="43" s="1"/>
  <c r="CT207" i="43"/>
  <c r="CS207" i="43"/>
  <c r="CR207" i="43"/>
  <c r="CQ207" i="43"/>
  <c r="CP207" i="43"/>
  <c r="CP185" i="43" s="1"/>
  <c r="CP184" i="43" s="1"/>
  <c r="CO207" i="43"/>
  <c r="CN207" i="43"/>
  <c r="CM207" i="43"/>
  <c r="CM185" i="43" s="1"/>
  <c r="CM184" i="43" s="1"/>
  <c r="CL207" i="43"/>
  <c r="CK207" i="43"/>
  <c r="CJ207" i="43"/>
  <c r="CI207" i="43"/>
  <c r="CH207" i="43"/>
  <c r="CH185" i="43" s="1"/>
  <c r="CH184" i="43" s="1"/>
  <c r="CG207" i="43"/>
  <c r="CF207" i="43"/>
  <c r="CE207" i="43"/>
  <c r="CE185" i="43" s="1"/>
  <c r="CE184" i="43" s="1"/>
  <c r="CD207" i="43"/>
  <c r="CC207" i="43"/>
  <c r="CB207" i="43"/>
  <c r="CA207" i="43"/>
  <c r="BZ207" i="43"/>
  <c r="BY207" i="43"/>
  <c r="BX207" i="43"/>
  <c r="BW207" i="43"/>
  <c r="BV207" i="43"/>
  <c r="BU207" i="43"/>
  <c r="BT207" i="43"/>
  <c r="BS207" i="43"/>
  <c r="BR207" i="43"/>
  <c r="BR185" i="43" s="1"/>
  <c r="BR184" i="43" s="1"/>
  <c r="BQ207" i="43"/>
  <c r="BP207" i="43"/>
  <c r="BO207" i="43"/>
  <c r="BO185" i="43" s="1"/>
  <c r="BO184" i="43" s="1"/>
  <c r="BN207" i="43"/>
  <c r="BM207" i="43"/>
  <c r="BL207" i="43"/>
  <c r="BK207" i="43"/>
  <c r="BJ207" i="43"/>
  <c r="BJ185" i="43" s="1"/>
  <c r="BJ184" i="43" s="1"/>
  <c r="BI207" i="43"/>
  <c r="BH207" i="43"/>
  <c r="BG207" i="43"/>
  <c r="BG185" i="43" s="1"/>
  <c r="BG184" i="43" s="1"/>
  <c r="BF207" i="43"/>
  <c r="BE207" i="43"/>
  <c r="BD207" i="43"/>
  <c r="BD185" i="43" s="1"/>
  <c r="BD184" i="43" s="1"/>
  <c r="BC207" i="43"/>
  <c r="BB207" i="43"/>
  <c r="BA207" i="43"/>
  <c r="AZ207" i="43"/>
  <c r="AY207" i="43"/>
  <c r="AY185" i="43" s="1"/>
  <c r="AY184" i="43" s="1"/>
  <c r="AX207" i="43"/>
  <c r="AW207" i="43"/>
  <c r="AV207" i="43"/>
  <c r="AV185" i="43" s="1"/>
  <c r="AU207" i="43"/>
  <c r="AT207" i="43"/>
  <c r="AS207" i="43"/>
  <c r="AR207" i="43"/>
  <c r="AQ207" i="43"/>
  <c r="AP207" i="43"/>
  <c r="AO207" i="43"/>
  <c r="AN207" i="43"/>
  <c r="AM207" i="43"/>
  <c r="AL207" i="43"/>
  <c r="AL185" i="43" s="1"/>
  <c r="AL184" i="43" s="1"/>
  <c r="AK207" i="43"/>
  <c r="AJ207" i="43"/>
  <c r="AI207" i="43"/>
  <c r="AI185" i="43" s="1"/>
  <c r="AI184" i="43" s="1"/>
  <c r="AH207" i="43"/>
  <c r="AG207" i="43"/>
  <c r="AF207" i="43"/>
  <c r="AE207" i="43"/>
  <c r="AD207" i="43"/>
  <c r="AC207" i="43"/>
  <c r="AB207" i="43"/>
  <c r="AA207" i="43"/>
  <c r="AA185" i="43" s="1"/>
  <c r="AA184" i="43" s="1"/>
  <c r="Z207" i="43"/>
  <c r="Y207" i="43"/>
  <c r="X207" i="43"/>
  <c r="X185" i="43" s="1"/>
  <c r="X184" i="43" s="1"/>
  <c r="W207" i="43"/>
  <c r="V207" i="43"/>
  <c r="U207" i="43"/>
  <c r="T207" i="43"/>
  <c r="S207" i="43"/>
  <c r="R207" i="43"/>
  <c r="Q207" i="43"/>
  <c r="P207" i="43"/>
  <c r="P185" i="43" s="1"/>
  <c r="P184" i="43" s="1"/>
  <c r="O207" i="43"/>
  <c r="N207" i="43"/>
  <c r="N185" i="43" s="1"/>
  <c r="M207" i="43"/>
  <c r="L207" i="43"/>
  <c r="K207" i="43"/>
  <c r="K185" i="43" s="1"/>
  <c r="K184" i="43" s="1"/>
  <c r="J207" i="43"/>
  <c r="I207" i="43"/>
  <c r="I185" i="43" s="1"/>
  <c r="I184" i="43" s="1"/>
  <c r="H207" i="43"/>
  <c r="G207" i="43"/>
  <c r="F207" i="43"/>
  <c r="E207" i="43"/>
  <c r="D207" i="43"/>
  <c r="C207" i="43"/>
  <c r="EQ186" i="43"/>
  <c r="EP186" i="43"/>
  <c r="EP185" i="43" s="1"/>
  <c r="EO186" i="43"/>
  <c r="EN186" i="43"/>
  <c r="EM186" i="43"/>
  <c r="EM185" i="43" s="1"/>
  <c r="EM184" i="43" s="1"/>
  <c r="EL186" i="43"/>
  <c r="EK186" i="43"/>
  <c r="EK185" i="43" s="1"/>
  <c r="EJ186" i="43"/>
  <c r="EI186" i="43"/>
  <c r="EH186" i="43"/>
  <c r="EH185" i="43" s="1"/>
  <c r="EG186" i="43"/>
  <c r="EF186" i="43"/>
  <c r="EE186" i="43"/>
  <c r="ED186" i="43"/>
  <c r="EC186" i="43"/>
  <c r="EB186" i="43"/>
  <c r="EB185" i="43" s="1"/>
  <c r="EB184" i="43" s="1"/>
  <c r="EA186" i="43"/>
  <c r="DZ186" i="43"/>
  <c r="DZ185" i="43" s="1"/>
  <c r="DY186" i="43"/>
  <c r="DX186" i="43"/>
  <c r="DW186" i="43"/>
  <c r="DV186" i="43"/>
  <c r="DU186" i="43"/>
  <c r="DT186" i="43"/>
  <c r="DT185" i="43" s="1"/>
  <c r="DT184" i="43" s="1"/>
  <c r="DS186" i="43"/>
  <c r="DR186" i="43"/>
  <c r="DR185" i="43" s="1"/>
  <c r="DQ186" i="43"/>
  <c r="DP186" i="43"/>
  <c r="DO186" i="43"/>
  <c r="DO185" i="43" s="1"/>
  <c r="DN186" i="43"/>
  <c r="DM186" i="43"/>
  <c r="DL186" i="43"/>
  <c r="DL185" i="43" s="1"/>
  <c r="DL184" i="43" s="1"/>
  <c r="DK186" i="43"/>
  <c r="DJ186" i="43"/>
  <c r="DJ185" i="43" s="1"/>
  <c r="DI186" i="43"/>
  <c r="DH186" i="43"/>
  <c r="DG186" i="43"/>
  <c r="DG185" i="43" s="1"/>
  <c r="DG184" i="43" s="1"/>
  <c r="DF186" i="43"/>
  <c r="DE186" i="43"/>
  <c r="DE185" i="43" s="1"/>
  <c r="DE184" i="43" s="1"/>
  <c r="DD186" i="43"/>
  <c r="DD185" i="43" s="1"/>
  <c r="DD184" i="43" s="1"/>
  <c r="DC186" i="43"/>
  <c r="DB186" i="43"/>
  <c r="DB185" i="43" s="1"/>
  <c r="DA186" i="43"/>
  <c r="CZ186" i="43"/>
  <c r="CY186" i="43"/>
  <c r="CX186" i="43"/>
  <c r="CW186" i="43"/>
  <c r="CW185" i="43" s="1"/>
  <c r="CW184" i="43" s="1"/>
  <c r="CV186" i="43"/>
  <c r="CV185" i="43" s="1"/>
  <c r="CV184" i="43" s="1"/>
  <c r="CU186" i="43"/>
  <c r="CT186" i="43"/>
  <c r="CT185" i="43" s="1"/>
  <c r="CS186" i="43"/>
  <c r="CR186" i="43"/>
  <c r="CQ186" i="43"/>
  <c r="CP186" i="43"/>
  <c r="CO186" i="43"/>
  <c r="CN186" i="43"/>
  <c r="CN185" i="43" s="1"/>
  <c r="CN184" i="43" s="1"/>
  <c r="CM186" i="43"/>
  <c r="CL186" i="43"/>
  <c r="CL185" i="43" s="1"/>
  <c r="CK186" i="43"/>
  <c r="CJ186" i="43"/>
  <c r="CI186" i="43"/>
  <c r="CH186" i="43"/>
  <c r="CG186" i="43"/>
  <c r="CF186" i="43"/>
  <c r="CF185" i="43" s="1"/>
  <c r="CF184" i="43" s="1"/>
  <c r="CE186" i="43"/>
  <c r="CD186" i="43"/>
  <c r="CD185" i="43" s="1"/>
  <c r="CC186" i="43"/>
  <c r="CB186" i="43"/>
  <c r="CA186" i="43"/>
  <c r="CA185" i="43" s="1"/>
  <c r="CA184" i="43" s="1"/>
  <c r="BZ186" i="43"/>
  <c r="BY186" i="43"/>
  <c r="BY185" i="43" s="1"/>
  <c r="BX186" i="43"/>
  <c r="BX185" i="43" s="1"/>
  <c r="BW186" i="43"/>
  <c r="BV186" i="43"/>
  <c r="BV185" i="43" s="1"/>
  <c r="BU186" i="43"/>
  <c r="BU185" i="43" s="1"/>
  <c r="BU184" i="43" s="1"/>
  <c r="BT186" i="43"/>
  <c r="BS186" i="43"/>
  <c r="BS185" i="43" s="1"/>
  <c r="BS184" i="43" s="1"/>
  <c r="BR186" i="43"/>
  <c r="BQ186" i="43"/>
  <c r="BP186" i="43"/>
  <c r="BP185" i="43" s="1"/>
  <c r="BO186" i="43"/>
  <c r="BN186" i="43"/>
  <c r="BN185" i="43" s="1"/>
  <c r="BN184" i="43" s="1"/>
  <c r="BM186" i="43"/>
  <c r="BL186" i="43"/>
  <c r="BK186" i="43"/>
  <c r="BK185" i="43" s="1"/>
  <c r="BK184" i="43" s="1"/>
  <c r="BJ186" i="43"/>
  <c r="BI186" i="43"/>
  <c r="BH186" i="43"/>
  <c r="BH185" i="43" s="1"/>
  <c r="BH184" i="43" s="1"/>
  <c r="BG186" i="43"/>
  <c r="BF186" i="43"/>
  <c r="BF185" i="43" s="1"/>
  <c r="BE186" i="43"/>
  <c r="BD186" i="43"/>
  <c r="BC186" i="43"/>
  <c r="BC185" i="43" s="1"/>
  <c r="BC184" i="43" s="1"/>
  <c r="BB186" i="43"/>
  <c r="BA186" i="43"/>
  <c r="BA185" i="43" s="1"/>
  <c r="AZ186" i="43"/>
  <c r="AY186" i="43"/>
  <c r="AX186" i="43"/>
  <c r="AX185" i="43" s="1"/>
  <c r="AW186" i="43"/>
  <c r="AV186" i="43"/>
  <c r="AU186" i="43"/>
  <c r="AT186" i="43"/>
  <c r="AS186" i="43"/>
  <c r="AR186" i="43"/>
  <c r="AR185" i="43" s="1"/>
  <c r="AR184" i="43" s="1"/>
  <c r="AQ186" i="43"/>
  <c r="AP186" i="43"/>
  <c r="AP185" i="43" s="1"/>
  <c r="AO186" i="43"/>
  <c r="AN186" i="43"/>
  <c r="AM186" i="43"/>
  <c r="AL186" i="43"/>
  <c r="AK186" i="43"/>
  <c r="AJ186" i="43"/>
  <c r="AJ185" i="43" s="1"/>
  <c r="AJ184" i="43" s="1"/>
  <c r="AI186" i="43"/>
  <c r="AH186" i="43"/>
  <c r="AH185" i="43" s="1"/>
  <c r="AG186" i="43"/>
  <c r="AF186" i="43"/>
  <c r="AE186" i="43"/>
  <c r="AE185" i="43" s="1"/>
  <c r="AE184" i="43" s="1"/>
  <c r="AD186" i="43"/>
  <c r="AC186" i="43"/>
  <c r="AB186" i="43"/>
  <c r="AB185" i="43" s="1"/>
  <c r="AB184" i="43" s="1"/>
  <c r="AA186" i="43"/>
  <c r="Z186" i="43"/>
  <c r="Z185" i="43" s="1"/>
  <c r="Z184" i="43" s="1"/>
  <c r="Y186" i="43"/>
  <c r="X186" i="43"/>
  <c r="W186" i="43"/>
  <c r="W185" i="43" s="1"/>
  <c r="W184" i="43" s="1"/>
  <c r="V186" i="43"/>
  <c r="U186" i="43"/>
  <c r="U185" i="43" s="1"/>
  <c r="U184" i="43" s="1"/>
  <c r="T186" i="43"/>
  <c r="T185" i="43" s="1"/>
  <c r="T184" i="43" s="1"/>
  <c r="S186" i="43"/>
  <c r="R186" i="43"/>
  <c r="R185" i="43" s="1"/>
  <c r="R184" i="43" s="1"/>
  <c r="Q186" i="43"/>
  <c r="P186" i="43"/>
  <c r="O186" i="43"/>
  <c r="N186" i="43"/>
  <c r="M186" i="43"/>
  <c r="L186" i="43"/>
  <c r="K186" i="43"/>
  <c r="J186" i="43"/>
  <c r="J185" i="43" s="1"/>
  <c r="J184" i="43" s="1"/>
  <c r="I186" i="43"/>
  <c r="H186" i="43"/>
  <c r="G186" i="43"/>
  <c r="G185" i="43" s="1"/>
  <c r="G184" i="43" s="1"/>
  <c r="F186" i="43"/>
  <c r="E186" i="43"/>
  <c r="D186" i="43"/>
  <c r="D185" i="43" s="1"/>
  <c r="D184" i="43" s="1"/>
  <c r="C186" i="43"/>
  <c r="EQ185" i="43"/>
  <c r="EQ184" i="43" s="1"/>
  <c r="EN185" i="43"/>
  <c r="EJ185" i="43"/>
  <c r="EF185" i="43"/>
  <c r="EE185" i="43"/>
  <c r="EE184" i="43" s="1"/>
  <c r="ED185" i="43"/>
  <c r="EC185" i="43"/>
  <c r="DX185" i="43"/>
  <c r="DW185" i="43"/>
  <c r="DU185" i="43"/>
  <c r="DU184" i="43" s="1"/>
  <c r="DP185" i="43"/>
  <c r="DP184" i="43" s="1"/>
  <c r="DM185" i="43"/>
  <c r="DM184" i="43" s="1"/>
  <c r="DK185" i="43"/>
  <c r="DK184" i="43" s="1"/>
  <c r="DH185" i="43"/>
  <c r="DH184" i="43" s="1"/>
  <c r="DF185" i="43"/>
  <c r="DF184" i="43" s="1"/>
  <c r="CY185" i="43"/>
  <c r="CY184" i="43" s="1"/>
  <c r="CR185" i="43"/>
  <c r="CQ185" i="43"/>
  <c r="CO185" i="43"/>
  <c r="CO184" i="43" s="1"/>
  <c r="CJ185" i="43"/>
  <c r="CJ184" i="43" s="1"/>
  <c r="CI185" i="43"/>
  <c r="CG185" i="43"/>
  <c r="CB185" i="43"/>
  <c r="CB184" i="43" s="1"/>
  <c r="BZ185" i="43"/>
  <c r="BZ184" i="43" s="1"/>
  <c r="BZ11" i="43" s="1"/>
  <c r="BW185" i="43"/>
  <c r="BW184" i="43" s="1"/>
  <c r="BT185" i="43"/>
  <c r="BT184" i="43" s="1"/>
  <c r="BQ185" i="43"/>
  <c r="BQ184" i="43" s="1"/>
  <c r="BL185" i="43"/>
  <c r="BI185" i="43"/>
  <c r="BB185" i="43"/>
  <c r="BB184" i="43" s="1"/>
  <c r="AZ185" i="43"/>
  <c r="AZ184" i="43" s="1"/>
  <c r="AU185" i="43"/>
  <c r="AU184" i="43" s="1"/>
  <c r="AT185" i="43"/>
  <c r="AS185" i="43"/>
  <c r="AQ185" i="43"/>
  <c r="AN185" i="43"/>
  <c r="AN184" i="43" s="1"/>
  <c r="AM185" i="43"/>
  <c r="AM184" i="43" s="1"/>
  <c r="AK185" i="43"/>
  <c r="AF185" i="43"/>
  <c r="AF184" i="43" s="1"/>
  <c r="AD185" i="43"/>
  <c r="AD184" i="43" s="1"/>
  <c r="AC185" i="43"/>
  <c r="AC184" i="43" s="1"/>
  <c r="V185" i="43"/>
  <c r="S185" i="43"/>
  <c r="S184" i="43" s="1"/>
  <c r="O185" i="43"/>
  <c r="O184" i="43" s="1"/>
  <c r="M185" i="43"/>
  <c r="M184" i="43" s="1"/>
  <c r="L185" i="43"/>
  <c r="L184" i="43" s="1"/>
  <c r="H185" i="43"/>
  <c r="F185" i="43"/>
  <c r="E185" i="43"/>
  <c r="C185" i="43"/>
  <c r="C184" i="43" s="1"/>
  <c r="EN184" i="43"/>
  <c r="EL184" i="43"/>
  <c r="EK184" i="43"/>
  <c r="EJ184" i="43"/>
  <c r="ED184" i="43"/>
  <c r="ED11" i="43" s="1"/>
  <c r="DX184" i="43"/>
  <c r="DV184" i="43"/>
  <c r="DS184" i="43"/>
  <c r="DO184" i="43"/>
  <c r="DN184" i="43"/>
  <c r="CZ184" i="43"/>
  <c r="CX184" i="43"/>
  <c r="CR184" i="43"/>
  <c r="CQ184" i="43"/>
  <c r="CI184" i="43"/>
  <c r="BY184" i="43"/>
  <c r="BX184" i="43"/>
  <c r="BP184" i="43"/>
  <c r="BL184" i="43"/>
  <c r="BI184" i="43"/>
  <c r="BA184" i="43"/>
  <c r="AV184" i="43"/>
  <c r="AS184" i="43"/>
  <c r="AK184" i="43"/>
  <c r="V184" i="43"/>
  <c r="N184" i="43"/>
  <c r="H184" i="43"/>
  <c r="F184" i="43"/>
  <c r="E184" i="43"/>
  <c r="EQ178" i="43"/>
  <c r="EP178" i="43"/>
  <c r="EO178" i="43"/>
  <c r="EN178" i="43"/>
  <c r="EM178" i="43"/>
  <c r="EK178" i="43"/>
  <c r="EJ178" i="43"/>
  <c r="EI178" i="43"/>
  <c r="EH178" i="43"/>
  <c r="EG178" i="43"/>
  <c r="EF178" i="43"/>
  <c r="EE178" i="43"/>
  <c r="ED178" i="43"/>
  <c r="EC178" i="43"/>
  <c r="EB178" i="43"/>
  <c r="EA178" i="43"/>
  <c r="DZ178" i="43"/>
  <c r="DY178" i="43"/>
  <c r="DX178" i="43"/>
  <c r="DW178" i="43"/>
  <c r="DV178" i="43"/>
  <c r="DU178" i="43"/>
  <c r="DT178" i="43"/>
  <c r="DS178" i="43"/>
  <c r="DR178" i="43"/>
  <c r="DP178" i="43"/>
  <c r="DO178" i="43"/>
  <c r="DN178" i="43"/>
  <c r="DM178" i="43"/>
  <c r="DL178" i="43"/>
  <c r="DK178" i="43"/>
  <c r="DI178" i="43"/>
  <c r="DH178" i="43"/>
  <c r="DG178" i="43"/>
  <c r="DF178" i="43"/>
  <c r="DE178" i="43"/>
  <c r="DD178" i="43"/>
  <c r="DC178" i="43"/>
  <c r="DB178" i="43"/>
  <c r="DA178" i="43"/>
  <c r="CZ178" i="43"/>
  <c r="CY178" i="43"/>
  <c r="CX178" i="43"/>
  <c r="CW178" i="43"/>
  <c r="CV178" i="43"/>
  <c r="CU178" i="43"/>
  <c r="CT178" i="43"/>
  <c r="CS178" i="43"/>
  <c r="CR178" i="43"/>
  <c r="CQ178" i="43"/>
  <c r="CP178" i="43"/>
  <c r="CO178" i="43"/>
  <c r="CN178" i="43"/>
  <c r="CM178" i="43"/>
  <c r="CL178" i="43"/>
  <c r="CK178" i="43"/>
  <c r="CJ178" i="43"/>
  <c r="CI178" i="43"/>
  <c r="CG178" i="43"/>
  <c r="CF178" i="43"/>
  <c r="CE178" i="43"/>
  <c r="CD178" i="43"/>
  <c r="CC178" i="43"/>
  <c r="CB178" i="43"/>
  <c r="CA178" i="43"/>
  <c r="BZ178" i="43"/>
  <c r="BY178" i="43"/>
  <c r="BX178" i="43"/>
  <c r="BW178" i="43"/>
  <c r="BV178" i="43"/>
  <c r="BU178" i="43"/>
  <c r="BT178" i="43"/>
  <c r="BS178" i="43"/>
  <c r="BR178" i="43"/>
  <c r="BQ178" i="43"/>
  <c r="BP178" i="43"/>
  <c r="BO178" i="43"/>
  <c r="BN178" i="43"/>
  <c r="BM178" i="43"/>
  <c r="BL178" i="43"/>
  <c r="BK178" i="43"/>
  <c r="BJ178" i="43"/>
  <c r="BI178" i="43"/>
  <c r="BH178" i="43"/>
  <c r="BG178" i="43"/>
  <c r="BF178" i="43"/>
  <c r="BE178" i="43"/>
  <c r="BD178" i="43"/>
  <c r="BC178" i="43"/>
  <c r="BB178" i="43"/>
  <c r="BA178" i="43"/>
  <c r="AZ178" i="43"/>
  <c r="AY178" i="43"/>
  <c r="AX178" i="43"/>
  <c r="AW178" i="43"/>
  <c r="AV178" i="43"/>
  <c r="AU178" i="43"/>
  <c r="AT178" i="43"/>
  <c r="AS178" i="43"/>
  <c r="AR178" i="43"/>
  <c r="AQ178" i="43"/>
  <c r="AP178" i="43"/>
  <c r="AO178" i="43"/>
  <c r="AN178" i="43"/>
  <c r="AM178" i="43"/>
  <c r="AL178" i="43"/>
  <c r="AK178" i="43"/>
  <c r="AJ178" i="43"/>
  <c r="AI178" i="43"/>
  <c r="AH178" i="43"/>
  <c r="AG178" i="43"/>
  <c r="AF178" i="43"/>
  <c r="AE178" i="43"/>
  <c r="AD178" i="43"/>
  <c r="AC178" i="43"/>
  <c r="AB178" i="43"/>
  <c r="AA178" i="43"/>
  <c r="Z178" i="43"/>
  <c r="Y178" i="43"/>
  <c r="X178" i="43"/>
  <c r="W178" i="43"/>
  <c r="V178" i="43"/>
  <c r="U178" i="43"/>
  <c r="T178" i="43"/>
  <c r="S178" i="43"/>
  <c r="R178" i="43"/>
  <c r="Q178" i="43"/>
  <c r="P178" i="43"/>
  <c r="O178" i="43"/>
  <c r="N178" i="43"/>
  <c r="M178" i="43"/>
  <c r="L178" i="43"/>
  <c r="K178" i="43"/>
  <c r="J178" i="43"/>
  <c r="I178" i="43"/>
  <c r="H178" i="43"/>
  <c r="G178" i="43"/>
  <c r="F178" i="43"/>
  <c r="E178" i="43"/>
  <c r="D178" i="43"/>
  <c r="C178" i="43"/>
  <c r="EQ155" i="43"/>
  <c r="EP155" i="43"/>
  <c r="EO155" i="43"/>
  <c r="EN155" i="43"/>
  <c r="EM155" i="43"/>
  <c r="EL155" i="43"/>
  <c r="EK155" i="43"/>
  <c r="EJ155" i="43"/>
  <c r="EI155" i="43"/>
  <c r="EH155" i="43"/>
  <c r="EG155" i="43"/>
  <c r="EF155" i="43"/>
  <c r="EE155" i="43"/>
  <c r="ED155" i="43"/>
  <c r="EC155" i="43"/>
  <c r="EB155" i="43"/>
  <c r="EA155" i="43"/>
  <c r="DZ155" i="43"/>
  <c r="DY155" i="43"/>
  <c r="DX155" i="43"/>
  <c r="DW155" i="43"/>
  <c r="DV155" i="43"/>
  <c r="DU155" i="43"/>
  <c r="DT155" i="43"/>
  <c r="DS155" i="43"/>
  <c r="DR155" i="43"/>
  <c r="DQ155" i="43"/>
  <c r="DP155" i="43"/>
  <c r="DO155" i="43"/>
  <c r="DN155" i="43"/>
  <c r="DM155" i="43"/>
  <c r="DL155" i="43"/>
  <c r="DK155" i="43"/>
  <c r="DJ155" i="43"/>
  <c r="DI155" i="43"/>
  <c r="DH155" i="43"/>
  <c r="DG155" i="43"/>
  <c r="DF155" i="43"/>
  <c r="DE155" i="43"/>
  <c r="DD155" i="43"/>
  <c r="DC155" i="43"/>
  <c r="DB155" i="43"/>
  <c r="DA155" i="43"/>
  <c r="CZ155" i="43"/>
  <c r="CY155" i="43"/>
  <c r="CX155" i="43"/>
  <c r="CW155" i="43"/>
  <c r="CV155" i="43"/>
  <c r="CU155" i="43"/>
  <c r="CT155" i="43"/>
  <c r="CS155" i="43"/>
  <c r="CR155" i="43"/>
  <c r="CQ155" i="43"/>
  <c r="CP155" i="43"/>
  <c r="CO155" i="43"/>
  <c r="CN155" i="43"/>
  <c r="CM155" i="43"/>
  <c r="CL155" i="43"/>
  <c r="CK155" i="43"/>
  <c r="CJ155" i="43"/>
  <c r="CI155" i="43"/>
  <c r="CH155" i="43"/>
  <c r="CG155" i="43"/>
  <c r="CF155" i="43"/>
  <c r="CE155" i="43"/>
  <c r="CD155" i="43"/>
  <c r="CC155" i="43"/>
  <c r="CB155" i="43"/>
  <c r="CA155" i="43"/>
  <c r="BZ155" i="43"/>
  <c r="BY155" i="43"/>
  <c r="BX155" i="43"/>
  <c r="BW155" i="43"/>
  <c r="BV155" i="43"/>
  <c r="BU155" i="43"/>
  <c r="BT155" i="43"/>
  <c r="BS155" i="43"/>
  <c r="BR155" i="43"/>
  <c r="BQ155" i="43"/>
  <c r="BP155" i="43"/>
  <c r="BO155" i="43"/>
  <c r="BN155" i="43"/>
  <c r="BM155" i="43"/>
  <c r="BL155" i="43"/>
  <c r="BK155" i="43"/>
  <c r="BJ155" i="43"/>
  <c r="BI155" i="43"/>
  <c r="BH155" i="43"/>
  <c r="BG155" i="43"/>
  <c r="BF155" i="43"/>
  <c r="BE155" i="43"/>
  <c r="BD155" i="43"/>
  <c r="BC155" i="43"/>
  <c r="BB155" i="43"/>
  <c r="BA155" i="43"/>
  <c r="AZ155" i="43"/>
  <c r="AY155" i="43"/>
  <c r="AX155" i="43"/>
  <c r="AW155" i="43"/>
  <c r="AV155" i="43"/>
  <c r="AU155" i="43"/>
  <c r="AT155" i="43"/>
  <c r="AS155" i="43"/>
  <c r="AR155" i="43"/>
  <c r="AQ155" i="43"/>
  <c r="AP155" i="43"/>
  <c r="AO155" i="43"/>
  <c r="AN155" i="43"/>
  <c r="AM155" i="43"/>
  <c r="AL155" i="43"/>
  <c r="AK155" i="43"/>
  <c r="AJ155" i="43"/>
  <c r="AI155" i="43"/>
  <c r="AH155" i="43"/>
  <c r="AG155" i="43"/>
  <c r="AF155" i="43"/>
  <c r="AE155" i="43"/>
  <c r="AD155" i="43"/>
  <c r="AC155" i="43"/>
  <c r="AB155" i="43"/>
  <c r="AA155" i="43"/>
  <c r="Z155" i="43"/>
  <c r="Y155" i="43"/>
  <c r="X155" i="43"/>
  <c r="W155" i="43"/>
  <c r="V155" i="43"/>
  <c r="U155" i="43"/>
  <c r="T155" i="43"/>
  <c r="S155" i="43"/>
  <c r="R155" i="43"/>
  <c r="Q155" i="43"/>
  <c r="P155" i="43"/>
  <c r="O155" i="43"/>
  <c r="N155" i="43"/>
  <c r="M155" i="43"/>
  <c r="L155" i="43"/>
  <c r="K155" i="43"/>
  <c r="J155" i="43"/>
  <c r="I155" i="43"/>
  <c r="H155" i="43"/>
  <c r="G155" i="43"/>
  <c r="F155" i="43"/>
  <c r="E155" i="43"/>
  <c r="D155" i="43"/>
  <c r="EQ120" i="43"/>
  <c r="EQ102" i="43" s="1"/>
  <c r="EQ101" i="43" s="1"/>
  <c r="EP120" i="43"/>
  <c r="EO120" i="43"/>
  <c r="EN120" i="43"/>
  <c r="EM120" i="43"/>
  <c r="EL120" i="43"/>
  <c r="EL102" i="43" s="1"/>
  <c r="EL101" i="43" s="1"/>
  <c r="EK120" i="43"/>
  <c r="EJ120" i="43"/>
  <c r="EI120" i="43"/>
  <c r="EI102" i="43" s="1"/>
  <c r="EI101" i="43" s="1"/>
  <c r="EH120" i="43"/>
  <c r="EH102" i="43" s="1"/>
  <c r="EH101" i="43" s="1"/>
  <c r="EG120" i="43"/>
  <c r="EF120" i="43"/>
  <c r="EF102" i="43" s="1"/>
  <c r="EE120" i="43"/>
  <c r="ED120" i="43"/>
  <c r="ED102" i="43" s="1"/>
  <c r="ED101" i="43" s="1"/>
  <c r="EC120" i="43"/>
  <c r="EB120" i="43"/>
  <c r="EA120" i="43"/>
  <c r="EA102" i="43" s="1"/>
  <c r="EA101" i="43" s="1"/>
  <c r="DZ120" i="43"/>
  <c r="DZ102" i="43" s="1"/>
  <c r="DZ101" i="43" s="1"/>
  <c r="DY120" i="43"/>
  <c r="DX120" i="43"/>
  <c r="DX102" i="43" s="1"/>
  <c r="DX101" i="43" s="1"/>
  <c r="DW120" i="43"/>
  <c r="DV120" i="43"/>
  <c r="DV102" i="43" s="1"/>
  <c r="DV101" i="43" s="1"/>
  <c r="DU120" i="43"/>
  <c r="DT120" i="43"/>
  <c r="DS120" i="43"/>
  <c r="DS102" i="43" s="1"/>
  <c r="DS101" i="43" s="1"/>
  <c r="DR120" i="43"/>
  <c r="DQ120" i="43"/>
  <c r="DP120" i="43"/>
  <c r="DP102" i="43" s="1"/>
  <c r="DO120" i="43"/>
  <c r="DN120" i="43"/>
  <c r="DN102" i="43" s="1"/>
  <c r="DM120" i="43"/>
  <c r="DL120" i="43"/>
  <c r="DK120" i="43"/>
  <c r="DK102" i="43" s="1"/>
  <c r="DK101" i="43" s="1"/>
  <c r="DJ120" i="43"/>
  <c r="DI120" i="43"/>
  <c r="DH120" i="43"/>
  <c r="DG120" i="43"/>
  <c r="DF120" i="43"/>
  <c r="DF102" i="43" s="1"/>
  <c r="DF101" i="43" s="1"/>
  <c r="DE120" i="43"/>
  <c r="DD120" i="43"/>
  <c r="DC120" i="43"/>
  <c r="DC102" i="43" s="1"/>
  <c r="DC101" i="43" s="1"/>
  <c r="DB120" i="43"/>
  <c r="DA120" i="43"/>
  <c r="CZ120" i="43"/>
  <c r="CZ102" i="43" s="1"/>
  <c r="CY120" i="43"/>
  <c r="CX120" i="43"/>
  <c r="CX102" i="43" s="1"/>
  <c r="CX101" i="43" s="1"/>
  <c r="CW120" i="43"/>
  <c r="CV120" i="43"/>
  <c r="CU120" i="43"/>
  <c r="CU102" i="43" s="1"/>
  <c r="CU101" i="43" s="1"/>
  <c r="CT120" i="43"/>
  <c r="CT102" i="43" s="1"/>
  <c r="CT101" i="43" s="1"/>
  <c r="CS120" i="43"/>
  <c r="CS102" i="43" s="1"/>
  <c r="CS101" i="43" s="1"/>
  <c r="CR120" i="43"/>
  <c r="CR102" i="43" s="1"/>
  <c r="CR101" i="43" s="1"/>
  <c r="CQ120" i="43"/>
  <c r="CP120" i="43"/>
  <c r="CP102" i="43" s="1"/>
  <c r="CP101" i="43" s="1"/>
  <c r="CO120" i="43"/>
  <c r="CN120" i="43"/>
  <c r="CM120" i="43"/>
  <c r="CM102" i="43" s="1"/>
  <c r="CM101" i="43" s="1"/>
  <c r="CL120" i="43"/>
  <c r="CK120" i="43"/>
  <c r="CK102" i="43" s="1"/>
  <c r="CK101" i="43" s="1"/>
  <c r="CJ120" i="43"/>
  <c r="CJ102" i="43" s="1"/>
  <c r="CJ101" i="43" s="1"/>
  <c r="CI120" i="43"/>
  <c r="CH120" i="43"/>
  <c r="CH102" i="43" s="1"/>
  <c r="CH101" i="43" s="1"/>
  <c r="CG120" i="43"/>
  <c r="CF120" i="43"/>
  <c r="CE120" i="43"/>
  <c r="CE102" i="43" s="1"/>
  <c r="CE101" i="43" s="1"/>
  <c r="CD120" i="43"/>
  <c r="CC120" i="43"/>
  <c r="CC102" i="43" s="1"/>
  <c r="CC101" i="43" s="1"/>
  <c r="CB120" i="43"/>
  <c r="CB102" i="43" s="1"/>
  <c r="CB101" i="43" s="1"/>
  <c r="CA120" i="43"/>
  <c r="BZ120" i="43"/>
  <c r="BZ102" i="43" s="1"/>
  <c r="BZ101" i="43" s="1"/>
  <c r="BY120" i="43"/>
  <c r="BX120" i="43"/>
  <c r="BW120" i="43"/>
  <c r="BW102" i="43" s="1"/>
  <c r="BW101" i="43" s="1"/>
  <c r="BV120" i="43"/>
  <c r="BV102" i="43" s="1"/>
  <c r="BU120" i="43"/>
  <c r="BU102" i="43" s="1"/>
  <c r="BU101" i="43" s="1"/>
  <c r="BT120" i="43"/>
  <c r="BT102" i="43" s="1"/>
  <c r="BT101" i="43" s="1"/>
  <c r="BS120" i="43"/>
  <c r="BR120" i="43"/>
  <c r="BR102" i="43" s="1"/>
  <c r="BR101" i="43" s="1"/>
  <c r="BQ120" i="43"/>
  <c r="BP120" i="43"/>
  <c r="BO120" i="43"/>
  <c r="BO102" i="43" s="1"/>
  <c r="BO101" i="43" s="1"/>
  <c r="BN120" i="43"/>
  <c r="BN102" i="43" s="1"/>
  <c r="BM120" i="43"/>
  <c r="BM102" i="43" s="1"/>
  <c r="BM101" i="43" s="1"/>
  <c r="BL120" i="43"/>
  <c r="BK120" i="43"/>
  <c r="BJ120" i="43"/>
  <c r="BJ102" i="43" s="1"/>
  <c r="BJ101" i="43" s="1"/>
  <c r="BI120" i="43"/>
  <c r="BH120" i="43"/>
  <c r="BG120" i="43"/>
  <c r="BG102" i="43" s="1"/>
  <c r="BG101" i="43" s="1"/>
  <c r="BF120" i="43"/>
  <c r="BE120" i="43"/>
  <c r="BE102" i="43" s="1"/>
  <c r="BE101" i="43" s="1"/>
  <c r="BD120" i="43"/>
  <c r="BD102" i="43" s="1"/>
  <c r="BD101" i="43" s="1"/>
  <c r="BC120" i="43"/>
  <c r="BB120" i="43"/>
  <c r="BB102" i="43" s="1"/>
  <c r="BB101" i="43" s="1"/>
  <c r="BA120" i="43"/>
  <c r="BA102" i="43" s="1"/>
  <c r="BA101" i="43" s="1"/>
  <c r="AZ120" i="43"/>
  <c r="AY120" i="43"/>
  <c r="AY102" i="43" s="1"/>
  <c r="AY101" i="43" s="1"/>
  <c r="AX120" i="43"/>
  <c r="AW120" i="43"/>
  <c r="AW102" i="43" s="1"/>
  <c r="AW101" i="43" s="1"/>
  <c r="AV120" i="43"/>
  <c r="AV102" i="43" s="1"/>
  <c r="AV101" i="43" s="1"/>
  <c r="AU120" i="43"/>
  <c r="AT120" i="43"/>
  <c r="AT102" i="43" s="1"/>
  <c r="AT101" i="43" s="1"/>
  <c r="AS120" i="43"/>
  <c r="AS102" i="43" s="1"/>
  <c r="AR120" i="43"/>
  <c r="AQ120" i="43"/>
  <c r="AQ102" i="43" s="1"/>
  <c r="AQ101" i="43" s="1"/>
  <c r="AP120" i="43"/>
  <c r="AP102" i="43" s="1"/>
  <c r="AO120" i="43"/>
  <c r="AO102" i="43" s="1"/>
  <c r="AO101" i="43" s="1"/>
  <c r="AN120" i="43"/>
  <c r="AN102" i="43" s="1"/>
  <c r="AN101" i="43" s="1"/>
  <c r="AM120" i="43"/>
  <c r="AL120" i="43"/>
  <c r="AL102" i="43" s="1"/>
  <c r="AL101" i="43" s="1"/>
  <c r="AK120" i="43"/>
  <c r="AJ120" i="43"/>
  <c r="AI120" i="43"/>
  <c r="AI102" i="43" s="1"/>
  <c r="AI101" i="43" s="1"/>
  <c r="AH120" i="43"/>
  <c r="AH102" i="43" s="1"/>
  <c r="AG120" i="43"/>
  <c r="AG102" i="43" s="1"/>
  <c r="AG101" i="43" s="1"/>
  <c r="AF120" i="43"/>
  <c r="AF102" i="43" s="1"/>
  <c r="AF101" i="43" s="1"/>
  <c r="AE120" i="43"/>
  <c r="AD120" i="43"/>
  <c r="AD102" i="43" s="1"/>
  <c r="AD101" i="43" s="1"/>
  <c r="AC120" i="43"/>
  <c r="AB120" i="43"/>
  <c r="AA120" i="43"/>
  <c r="AA102" i="43" s="1"/>
  <c r="AA101" i="43" s="1"/>
  <c r="Z120" i="43"/>
  <c r="Y120" i="43"/>
  <c r="Y102" i="43" s="1"/>
  <c r="Y101" i="43" s="1"/>
  <c r="X120" i="43"/>
  <c r="X102" i="43" s="1"/>
  <c r="X101" i="43" s="1"/>
  <c r="W120" i="43"/>
  <c r="V120" i="43"/>
  <c r="V102" i="43" s="1"/>
  <c r="V101" i="43" s="1"/>
  <c r="U120" i="43"/>
  <c r="U102" i="43" s="1"/>
  <c r="U101" i="43" s="1"/>
  <c r="T120" i="43"/>
  <c r="S120" i="43"/>
  <c r="S102" i="43" s="1"/>
  <c r="S101" i="43" s="1"/>
  <c r="R120" i="43"/>
  <c r="Q120" i="43"/>
  <c r="Q102" i="43" s="1"/>
  <c r="Q101" i="43" s="1"/>
  <c r="P120" i="43"/>
  <c r="P102" i="43" s="1"/>
  <c r="P101" i="43" s="1"/>
  <c r="O120" i="43"/>
  <c r="N120" i="43"/>
  <c r="N102" i="43" s="1"/>
  <c r="N101" i="43" s="1"/>
  <c r="M120" i="43"/>
  <c r="M102" i="43" s="1"/>
  <c r="M101" i="43" s="1"/>
  <c r="L120" i="43"/>
  <c r="K120" i="43"/>
  <c r="K102" i="43" s="1"/>
  <c r="K101" i="43" s="1"/>
  <c r="J120" i="43"/>
  <c r="J102" i="43" s="1"/>
  <c r="I120" i="43"/>
  <c r="H120" i="43"/>
  <c r="H102" i="43" s="1"/>
  <c r="H101" i="43" s="1"/>
  <c r="G120" i="43"/>
  <c r="F120" i="43"/>
  <c r="F102" i="43" s="1"/>
  <c r="F101" i="43" s="1"/>
  <c r="E120" i="43"/>
  <c r="D120" i="43"/>
  <c r="C120" i="43"/>
  <c r="C102" i="43" s="1"/>
  <c r="C101" i="43" s="1"/>
  <c r="EP102" i="43"/>
  <c r="EP101" i="43" s="1"/>
  <c r="EO102" i="43"/>
  <c r="EO101" i="43" s="1"/>
  <c r="EN102" i="43"/>
  <c r="EN101" i="43" s="1"/>
  <c r="EM102" i="43"/>
  <c r="EM101" i="43" s="1"/>
  <c r="EK102" i="43"/>
  <c r="EJ102" i="43"/>
  <c r="EJ101" i="43" s="1"/>
  <c r="EG102" i="43"/>
  <c r="EE102" i="43"/>
  <c r="EE101" i="43" s="1"/>
  <c r="EC102" i="43"/>
  <c r="EC101" i="43" s="1"/>
  <c r="EB102" i="43"/>
  <c r="EB101" i="43" s="1"/>
  <c r="DY102" i="43"/>
  <c r="DW102" i="43"/>
  <c r="DW101" i="43" s="1"/>
  <c r="DU102" i="43"/>
  <c r="DT102" i="43"/>
  <c r="DT101" i="43" s="1"/>
  <c r="DR102" i="43"/>
  <c r="DR101" i="43" s="1"/>
  <c r="DQ102" i="43"/>
  <c r="DO102" i="43"/>
  <c r="DO101" i="43" s="1"/>
  <c r="DM102" i="43"/>
  <c r="DL102" i="43"/>
  <c r="DL101" i="43" s="1"/>
  <c r="DJ102" i="43"/>
  <c r="DJ101" i="43" s="1"/>
  <c r="DI102" i="43"/>
  <c r="DH102" i="43"/>
  <c r="DH101" i="43" s="1"/>
  <c r="DG102" i="43"/>
  <c r="DG101" i="43" s="1"/>
  <c r="DE102" i="43"/>
  <c r="DD102" i="43"/>
  <c r="DD101" i="43" s="1"/>
  <c r="DB102" i="43"/>
  <c r="DA102" i="43"/>
  <c r="CY102" i="43"/>
  <c r="CY101" i="43" s="1"/>
  <c r="CW102" i="43"/>
  <c r="CW101" i="43" s="1"/>
  <c r="CV102" i="43"/>
  <c r="CV101" i="43" s="1"/>
  <c r="CQ102" i="43"/>
  <c r="CQ101" i="43" s="1"/>
  <c r="CO102" i="43"/>
  <c r="CN102" i="43"/>
  <c r="CN101" i="43" s="1"/>
  <c r="CL102" i="43"/>
  <c r="CL101" i="43" s="1"/>
  <c r="CI102" i="43"/>
  <c r="CI101" i="43" s="1"/>
  <c r="CG102" i="43"/>
  <c r="CF102" i="43"/>
  <c r="CF101" i="43" s="1"/>
  <c r="CD102" i="43"/>
  <c r="CA102" i="43"/>
  <c r="BY102" i="43"/>
  <c r="BX102" i="43"/>
  <c r="BX101" i="43" s="1"/>
  <c r="BS102" i="43"/>
  <c r="BQ102" i="43"/>
  <c r="BP102" i="43"/>
  <c r="BP101" i="43" s="1"/>
  <c r="BL102" i="43"/>
  <c r="BK102" i="43"/>
  <c r="BK101" i="43" s="1"/>
  <c r="BI102" i="43"/>
  <c r="BI101" i="43" s="1"/>
  <c r="BH102" i="43"/>
  <c r="BH101" i="43" s="1"/>
  <c r="BF102" i="43"/>
  <c r="BC102" i="43"/>
  <c r="AZ102" i="43"/>
  <c r="AZ101" i="43" s="1"/>
  <c r="AX102" i="43"/>
  <c r="AU102" i="43"/>
  <c r="AR102" i="43"/>
  <c r="AR101" i="43" s="1"/>
  <c r="AM102" i="43"/>
  <c r="AM101" i="43" s="1"/>
  <c r="AK102" i="43"/>
  <c r="AK101" i="43" s="1"/>
  <c r="AJ102" i="43"/>
  <c r="AJ101" i="43" s="1"/>
  <c r="AE102" i="43"/>
  <c r="AC102" i="43"/>
  <c r="AB102" i="43"/>
  <c r="AB101" i="43" s="1"/>
  <c r="Z102" i="43"/>
  <c r="W102" i="43"/>
  <c r="W101" i="43" s="1"/>
  <c r="T102" i="43"/>
  <c r="T101" i="43" s="1"/>
  <c r="R102" i="43"/>
  <c r="O102" i="43"/>
  <c r="L102" i="43"/>
  <c r="L101" i="43" s="1"/>
  <c r="I102" i="43"/>
  <c r="G102" i="43"/>
  <c r="G101" i="43" s="1"/>
  <c r="E102" i="43"/>
  <c r="E101" i="43" s="1"/>
  <c r="D102" i="43"/>
  <c r="D101" i="43" s="1"/>
  <c r="EK101" i="43"/>
  <c r="EG101" i="43"/>
  <c r="EF101" i="43"/>
  <c r="DY101" i="43"/>
  <c r="DU101" i="43"/>
  <c r="DQ101" i="43"/>
  <c r="DP101" i="43"/>
  <c r="DM101" i="43"/>
  <c r="DI101" i="43"/>
  <c r="DE101" i="43"/>
  <c r="DB101" i="43"/>
  <c r="DA101" i="43"/>
  <c r="CZ101" i="43"/>
  <c r="CO101" i="43"/>
  <c r="CG101" i="43"/>
  <c r="BY101" i="43"/>
  <c r="BQ101" i="43"/>
  <c r="BL101" i="43"/>
  <c r="AS101" i="43"/>
  <c r="AC101" i="43"/>
  <c r="I101" i="43"/>
  <c r="EQ77" i="43"/>
  <c r="EQ76" i="43" s="1"/>
  <c r="EP77" i="43"/>
  <c r="EO77" i="43"/>
  <c r="EO76" i="43" s="1"/>
  <c r="EN77" i="43"/>
  <c r="EM77" i="43"/>
  <c r="EL77" i="43"/>
  <c r="EL76" i="43" s="1"/>
  <c r="EK77" i="43"/>
  <c r="EJ77" i="43"/>
  <c r="EJ76" i="43" s="1"/>
  <c r="EI77" i="43"/>
  <c r="EI76" i="43" s="1"/>
  <c r="EH77" i="43"/>
  <c r="EG77" i="43"/>
  <c r="EG76" i="43" s="1"/>
  <c r="EF77" i="43"/>
  <c r="EE77" i="43"/>
  <c r="ED77" i="43"/>
  <c r="ED76" i="43" s="1"/>
  <c r="EC77" i="43"/>
  <c r="EC76" i="43" s="1"/>
  <c r="EB77" i="43"/>
  <c r="EB76" i="43" s="1"/>
  <c r="EA77" i="43"/>
  <c r="DZ77" i="43"/>
  <c r="DY77" i="43"/>
  <c r="DY76" i="43" s="1"/>
  <c r="DX77" i="43"/>
  <c r="DW77" i="43"/>
  <c r="DV77" i="43"/>
  <c r="DV76" i="43" s="1"/>
  <c r="DU77" i="43"/>
  <c r="DU76" i="43" s="1"/>
  <c r="DT77" i="43"/>
  <c r="DT76" i="43" s="1"/>
  <c r="DS77" i="43"/>
  <c r="DS76" i="43" s="1"/>
  <c r="DR77" i="43"/>
  <c r="DQ77" i="43"/>
  <c r="DQ76" i="43" s="1"/>
  <c r="DP77" i="43"/>
  <c r="DO77" i="43"/>
  <c r="DN77" i="43"/>
  <c r="DN76" i="43" s="1"/>
  <c r="DM77" i="43"/>
  <c r="DL77" i="43"/>
  <c r="DK77" i="43"/>
  <c r="DJ77" i="43"/>
  <c r="DI77" i="43"/>
  <c r="DI76" i="43" s="1"/>
  <c r="DH77" i="43"/>
  <c r="DG77" i="43"/>
  <c r="DF77" i="43"/>
  <c r="DF76" i="43" s="1"/>
  <c r="DE77" i="43"/>
  <c r="DD77" i="43"/>
  <c r="DC77" i="43"/>
  <c r="DB77" i="43"/>
  <c r="DA77" i="43"/>
  <c r="DA76" i="43" s="1"/>
  <c r="CZ77" i="43"/>
  <c r="CY77" i="43"/>
  <c r="CX77" i="43"/>
  <c r="CX76" i="43" s="1"/>
  <c r="CW77" i="43"/>
  <c r="CV77" i="43"/>
  <c r="CV76" i="43" s="1"/>
  <c r="CU77" i="43"/>
  <c r="CT77" i="43"/>
  <c r="CS77" i="43"/>
  <c r="CS76" i="43" s="1"/>
  <c r="CR77" i="43"/>
  <c r="CQ77" i="43"/>
  <c r="CP77" i="43"/>
  <c r="CP76" i="43" s="1"/>
  <c r="CO77" i="43"/>
  <c r="CO76" i="43" s="1"/>
  <c r="CN77" i="43"/>
  <c r="CN76" i="43" s="1"/>
  <c r="CM77" i="43"/>
  <c r="CM76" i="43" s="1"/>
  <c r="CL77" i="43"/>
  <c r="CK77" i="43"/>
  <c r="CK76" i="43" s="1"/>
  <c r="CJ77" i="43"/>
  <c r="CI77" i="43"/>
  <c r="CH77" i="43"/>
  <c r="CH76" i="43" s="1"/>
  <c r="CG77" i="43"/>
  <c r="CF77" i="43"/>
  <c r="CF76" i="43" s="1"/>
  <c r="CE77" i="43"/>
  <c r="CE76" i="43" s="1"/>
  <c r="CD77" i="43"/>
  <c r="CC77" i="43"/>
  <c r="CC76" i="43" s="1"/>
  <c r="CB77" i="43"/>
  <c r="CA77" i="43"/>
  <c r="BZ77" i="43"/>
  <c r="BZ76" i="43" s="1"/>
  <c r="BY77" i="43"/>
  <c r="BX77" i="43"/>
  <c r="BX76" i="43" s="1"/>
  <c r="BW77" i="43"/>
  <c r="BW76" i="43" s="1"/>
  <c r="BV77" i="43"/>
  <c r="BU77" i="43"/>
  <c r="BU76" i="43" s="1"/>
  <c r="BT77" i="43"/>
  <c r="BS77" i="43"/>
  <c r="BR77" i="43"/>
  <c r="BR76" i="43" s="1"/>
  <c r="BQ77" i="43"/>
  <c r="BQ76" i="43" s="1"/>
  <c r="BP77" i="43"/>
  <c r="BO77" i="43"/>
  <c r="BO76" i="43" s="1"/>
  <c r="BN77" i="43"/>
  <c r="BM77" i="43"/>
  <c r="BM76" i="43" s="1"/>
  <c r="BL77" i="43"/>
  <c r="BK77" i="43"/>
  <c r="BJ77" i="43"/>
  <c r="BJ76" i="43" s="1"/>
  <c r="BI77" i="43"/>
  <c r="BH77" i="43"/>
  <c r="BH76" i="43" s="1"/>
  <c r="BG77" i="43"/>
  <c r="BF77" i="43"/>
  <c r="BE77" i="43"/>
  <c r="BE76" i="43" s="1"/>
  <c r="BD77" i="43"/>
  <c r="BC77" i="43"/>
  <c r="BB77" i="43"/>
  <c r="BB76" i="43" s="1"/>
  <c r="BA77" i="43"/>
  <c r="AZ77" i="43"/>
  <c r="AY77" i="43"/>
  <c r="AY76" i="43" s="1"/>
  <c r="AX77" i="43"/>
  <c r="AW77" i="43"/>
  <c r="AW76" i="43" s="1"/>
  <c r="AV77" i="43"/>
  <c r="AU77" i="43"/>
  <c r="AT77" i="43"/>
  <c r="AT76" i="43" s="1"/>
  <c r="AS77" i="43"/>
  <c r="AR77" i="43"/>
  <c r="AR76" i="43" s="1"/>
  <c r="AQ77" i="43"/>
  <c r="AQ76" i="43" s="1"/>
  <c r="AP77" i="43"/>
  <c r="AO77" i="43"/>
  <c r="AO76" i="43" s="1"/>
  <c r="AN77" i="43"/>
  <c r="AM77" i="43"/>
  <c r="AL77" i="43"/>
  <c r="AL76" i="43" s="1"/>
  <c r="AK77" i="43"/>
  <c r="AK76" i="43" s="1"/>
  <c r="AJ77" i="43"/>
  <c r="AJ76" i="43" s="1"/>
  <c r="AI77" i="43"/>
  <c r="AI76" i="43" s="1"/>
  <c r="AH77" i="43"/>
  <c r="AG77" i="43"/>
  <c r="AG76" i="43" s="1"/>
  <c r="AF77" i="43"/>
  <c r="AE77" i="43"/>
  <c r="AD77" i="43"/>
  <c r="AD76" i="43" s="1"/>
  <c r="AC77" i="43"/>
  <c r="AC76" i="43" s="1"/>
  <c r="AB77" i="43"/>
  <c r="AB76" i="43" s="1"/>
  <c r="AA77" i="43"/>
  <c r="AA76" i="43" s="1"/>
  <c r="Z77" i="43"/>
  <c r="Z76" i="43" s="1"/>
  <c r="Y77" i="43"/>
  <c r="Y76" i="43" s="1"/>
  <c r="X77" i="43"/>
  <c r="W77" i="43"/>
  <c r="V77" i="43"/>
  <c r="V76" i="43" s="1"/>
  <c r="U77" i="43"/>
  <c r="T77" i="43"/>
  <c r="S77" i="43"/>
  <c r="S76" i="43" s="1"/>
  <c r="R77" i="43"/>
  <c r="Q77" i="43"/>
  <c r="Q76" i="43" s="1"/>
  <c r="P77" i="43"/>
  <c r="O77" i="43"/>
  <c r="N77" i="43"/>
  <c r="N76" i="43" s="1"/>
  <c r="M77" i="43"/>
  <c r="L77" i="43"/>
  <c r="L76" i="43" s="1"/>
  <c r="K77" i="43"/>
  <c r="K76" i="43" s="1"/>
  <c r="J77" i="43"/>
  <c r="I77" i="43"/>
  <c r="I76" i="43" s="1"/>
  <c r="H77" i="43"/>
  <c r="G77" i="43"/>
  <c r="F77" i="43"/>
  <c r="F76" i="43" s="1"/>
  <c r="E77" i="43"/>
  <c r="D77" i="43"/>
  <c r="D76" i="43" s="1"/>
  <c r="C77" i="43"/>
  <c r="EP76" i="43"/>
  <c r="EN76" i="43"/>
  <c r="EM76" i="43"/>
  <c r="EK76" i="43"/>
  <c r="EH76" i="43"/>
  <c r="EF76" i="43"/>
  <c r="EE76" i="43"/>
  <c r="EA76" i="43"/>
  <c r="DZ76" i="43"/>
  <c r="DX76" i="43"/>
  <c r="DW76" i="43"/>
  <c r="DR76" i="43"/>
  <c r="DP76" i="43"/>
  <c r="DO76" i="43"/>
  <c r="DM76" i="43"/>
  <c r="DL76" i="43"/>
  <c r="DK76" i="43"/>
  <c r="DJ76" i="43"/>
  <c r="DH76" i="43"/>
  <c r="DG76" i="43"/>
  <c r="DE76" i="43"/>
  <c r="DD76" i="43"/>
  <c r="DC76" i="43"/>
  <c r="DB76" i="43"/>
  <c r="CZ76" i="43"/>
  <c r="CY76" i="43"/>
  <c r="CW76" i="43"/>
  <c r="CU76" i="43"/>
  <c r="CT76" i="43"/>
  <c r="CR76" i="43"/>
  <c r="CQ76" i="43"/>
  <c r="CL76" i="43"/>
  <c r="CJ76" i="43"/>
  <c r="CI76" i="43"/>
  <c r="CG76" i="43"/>
  <c r="CD76" i="43"/>
  <c r="CB76" i="43"/>
  <c r="CA76" i="43"/>
  <c r="BY76" i="43"/>
  <c r="BV76" i="43"/>
  <c r="BT76" i="43"/>
  <c r="BS76" i="43"/>
  <c r="BP76" i="43"/>
  <c r="BN76" i="43"/>
  <c r="BL76" i="43"/>
  <c r="BK76" i="43"/>
  <c r="BI76" i="43"/>
  <c r="BG76" i="43"/>
  <c r="BF76" i="43"/>
  <c r="BD76" i="43"/>
  <c r="BC76" i="43"/>
  <c r="BA76" i="43"/>
  <c r="AZ76" i="43"/>
  <c r="AX76" i="43"/>
  <c r="AV76" i="43"/>
  <c r="AU76" i="43"/>
  <c r="AS76" i="43"/>
  <c r="AP76" i="43"/>
  <c r="AN76" i="43"/>
  <c r="AM76" i="43"/>
  <c r="AH76" i="43"/>
  <c r="AF76" i="43"/>
  <c r="AE76" i="43"/>
  <c r="X76" i="43"/>
  <c r="W76" i="43"/>
  <c r="W11" i="43" s="1"/>
  <c r="U76" i="43"/>
  <c r="T76" i="43"/>
  <c r="R76" i="43"/>
  <c r="P76" i="43"/>
  <c r="O76" i="43"/>
  <c r="M76" i="43"/>
  <c r="J76" i="43"/>
  <c r="H76" i="43"/>
  <c r="G76" i="43"/>
  <c r="E76" i="43"/>
  <c r="C76" i="43"/>
  <c r="EQ70" i="43"/>
  <c r="EP70" i="43"/>
  <c r="EO70" i="43"/>
  <c r="EN70" i="43"/>
  <c r="EM70" i="43"/>
  <c r="EL70" i="43"/>
  <c r="EK70" i="43"/>
  <c r="EJ70" i="43"/>
  <c r="EI70" i="43"/>
  <c r="EH70" i="43"/>
  <c r="EG70" i="43"/>
  <c r="EF70" i="43"/>
  <c r="EE70" i="43"/>
  <c r="ED70" i="43"/>
  <c r="EC70" i="43"/>
  <c r="EB70" i="43"/>
  <c r="EA70" i="43"/>
  <c r="DZ70" i="43"/>
  <c r="DY70" i="43"/>
  <c r="DX70" i="43"/>
  <c r="DW70" i="43"/>
  <c r="DV70" i="43"/>
  <c r="DU70" i="43"/>
  <c r="DT70" i="43"/>
  <c r="DS70" i="43"/>
  <c r="DR70" i="43"/>
  <c r="DQ70" i="43"/>
  <c r="DP70" i="43"/>
  <c r="DO70" i="43"/>
  <c r="DN70" i="43"/>
  <c r="DM70" i="43"/>
  <c r="DL70" i="43"/>
  <c r="DK70" i="43"/>
  <c r="DJ70" i="43"/>
  <c r="DI70" i="43"/>
  <c r="DH70" i="43"/>
  <c r="DG70" i="43"/>
  <c r="DF70" i="43"/>
  <c r="DE70" i="43"/>
  <c r="DD70" i="43"/>
  <c r="DC70" i="43"/>
  <c r="DB70" i="43"/>
  <c r="DA70" i="43"/>
  <c r="CZ70" i="43"/>
  <c r="CY70" i="43"/>
  <c r="CX70" i="43"/>
  <c r="CW70" i="43"/>
  <c r="CV70" i="43"/>
  <c r="CU70" i="43"/>
  <c r="CT70" i="43"/>
  <c r="CS70" i="43"/>
  <c r="CR70" i="43"/>
  <c r="CQ70" i="43"/>
  <c r="CP70" i="43"/>
  <c r="CO70" i="43"/>
  <c r="CN70" i="43"/>
  <c r="CM70" i="43"/>
  <c r="CL70" i="43"/>
  <c r="CK70" i="43"/>
  <c r="CJ70" i="43"/>
  <c r="CI70" i="43"/>
  <c r="CH70" i="43"/>
  <c r="CG70" i="43"/>
  <c r="CF70" i="43"/>
  <c r="CE70" i="43"/>
  <c r="CD70" i="43"/>
  <c r="CC70" i="43"/>
  <c r="CB70" i="43"/>
  <c r="CA70" i="43"/>
  <c r="BZ70" i="43"/>
  <c r="BY70" i="43"/>
  <c r="BX70" i="43"/>
  <c r="BW70" i="43"/>
  <c r="BV70" i="43"/>
  <c r="BU70" i="43"/>
  <c r="BT70" i="43"/>
  <c r="BS70" i="43"/>
  <c r="BR70" i="43"/>
  <c r="BQ70" i="43"/>
  <c r="BP70" i="43"/>
  <c r="BO70" i="43"/>
  <c r="BN70" i="43"/>
  <c r="BM70" i="43"/>
  <c r="BL70" i="43"/>
  <c r="BK70" i="43"/>
  <c r="BJ70" i="43"/>
  <c r="BI70" i="43"/>
  <c r="BH70" i="43"/>
  <c r="BG70" i="43"/>
  <c r="BF70" i="43"/>
  <c r="BE70" i="43"/>
  <c r="BD70" i="43"/>
  <c r="BC70" i="43"/>
  <c r="BB70" i="43"/>
  <c r="BA70" i="43"/>
  <c r="AZ70" i="43"/>
  <c r="AY70" i="43"/>
  <c r="AX70" i="43"/>
  <c r="AW70" i="43"/>
  <c r="AV70" i="43"/>
  <c r="AU70" i="43"/>
  <c r="AT70" i="43"/>
  <c r="AS70" i="43"/>
  <c r="AR70" i="43"/>
  <c r="AQ70" i="43"/>
  <c r="AP70" i="43"/>
  <c r="AO70" i="43"/>
  <c r="AN70" i="43"/>
  <c r="AM70" i="43"/>
  <c r="AL70" i="43"/>
  <c r="AK70" i="43"/>
  <c r="AJ70" i="43"/>
  <c r="AI70" i="43"/>
  <c r="AH70" i="43"/>
  <c r="AG70" i="43"/>
  <c r="AF70" i="43"/>
  <c r="AE70" i="43"/>
  <c r="AD70" i="43"/>
  <c r="AC70" i="43"/>
  <c r="AB70" i="43"/>
  <c r="AA70" i="43"/>
  <c r="Z70" i="43"/>
  <c r="Y70" i="43"/>
  <c r="X70" i="43"/>
  <c r="W70" i="43"/>
  <c r="V70" i="43"/>
  <c r="U70" i="43"/>
  <c r="T70" i="43"/>
  <c r="S70" i="43"/>
  <c r="R70" i="43"/>
  <c r="Q70" i="43"/>
  <c r="P70" i="43"/>
  <c r="O70" i="43"/>
  <c r="N70" i="43"/>
  <c r="M70" i="43"/>
  <c r="L70" i="43"/>
  <c r="K70" i="43"/>
  <c r="J70" i="43"/>
  <c r="I70" i="43"/>
  <c r="H70" i="43"/>
  <c r="G70" i="43"/>
  <c r="F70" i="43"/>
  <c r="E70" i="43"/>
  <c r="D70" i="43"/>
  <c r="C70" i="43"/>
  <c r="EQ62" i="43"/>
  <c r="EP62" i="43"/>
  <c r="EO62" i="43"/>
  <c r="EN62" i="43"/>
  <c r="EM62" i="43"/>
  <c r="EL62" i="43"/>
  <c r="EK62" i="43"/>
  <c r="EJ62" i="43"/>
  <c r="EI62" i="43"/>
  <c r="EH62" i="43"/>
  <c r="EG62" i="43"/>
  <c r="EF62" i="43"/>
  <c r="EE62" i="43"/>
  <c r="ED62" i="43"/>
  <c r="EC62" i="43"/>
  <c r="EB62" i="43"/>
  <c r="EA62" i="43"/>
  <c r="DZ62" i="43"/>
  <c r="DY62" i="43"/>
  <c r="DX62" i="43"/>
  <c r="DW62" i="43"/>
  <c r="DV62" i="43"/>
  <c r="DU62" i="43"/>
  <c r="DT62" i="43"/>
  <c r="DS62" i="43"/>
  <c r="DR62" i="43"/>
  <c r="DQ62" i="43"/>
  <c r="DP62" i="43"/>
  <c r="DO62" i="43"/>
  <c r="DN62" i="43"/>
  <c r="DM62" i="43"/>
  <c r="DL62" i="43"/>
  <c r="DK62" i="43"/>
  <c r="DJ62" i="43"/>
  <c r="DI62" i="43"/>
  <c r="DH62" i="43"/>
  <c r="DG62" i="43"/>
  <c r="DF62" i="43"/>
  <c r="DE62" i="43"/>
  <c r="DD62" i="43"/>
  <c r="DC62" i="43"/>
  <c r="DB62" i="43"/>
  <c r="DA62" i="43"/>
  <c r="CZ62" i="43"/>
  <c r="CY62" i="43"/>
  <c r="CX62" i="43"/>
  <c r="CW62" i="43"/>
  <c r="CV62" i="43"/>
  <c r="CU62" i="43"/>
  <c r="CT62" i="43"/>
  <c r="CS62" i="43"/>
  <c r="CR62" i="43"/>
  <c r="CQ62" i="43"/>
  <c r="CP62" i="43"/>
  <c r="CO62" i="43"/>
  <c r="CN62" i="43"/>
  <c r="CM62" i="43"/>
  <c r="CL62" i="43"/>
  <c r="CK62" i="43"/>
  <c r="CJ62" i="43"/>
  <c r="CI62" i="43"/>
  <c r="CH62" i="43"/>
  <c r="CG62" i="43"/>
  <c r="CF62" i="43"/>
  <c r="CE62" i="43"/>
  <c r="CD62" i="43"/>
  <c r="CC62" i="43"/>
  <c r="CB62" i="43"/>
  <c r="CA62" i="43"/>
  <c r="BZ62" i="43"/>
  <c r="BY62" i="43"/>
  <c r="BX62" i="43"/>
  <c r="BW62" i="43"/>
  <c r="BV62" i="43"/>
  <c r="BU62" i="43"/>
  <c r="BT62" i="43"/>
  <c r="BS62" i="43"/>
  <c r="BR62" i="43"/>
  <c r="BQ62" i="43"/>
  <c r="BP62" i="43"/>
  <c r="BO62" i="43"/>
  <c r="BN62" i="43"/>
  <c r="BM62" i="43"/>
  <c r="BL62" i="43"/>
  <c r="BK62" i="43"/>
  <c r="BJ62" i="43"/>
  <c r="BI62" i="43"/>
  <c r="BH62" i="43"/>
  <c r="BG62" i="43"/>
  <c r="BF62" i="43"/>
  <c r="BE62" i="43"/>
  <c r="BD62" i="43"/>
  <c r="BC62" i="43"/>
  <c r="BB62" i="43"/>
  <c r="BA62" i="43"/>
  <c r="AZ62" i="43"/>
  <c r="AY62" i="43"/>
  <c r="AX62" i="43"/>
  <c r="AW62" i="43"/>
  <c r="AV62" i="43"/>
  <c r="AU62" i="43"/>
  <c r="AT62" i="43"/>
  <c r="AS62" i="43"/>
  <c r="AR62" i="43"/>
  <c r="AQ62" i="43"/>
  <c r="AP62" i="43"/>
  <c r="AO62" i="43"/>
  <c r="AN62" i="43"/>
  <c r="AM62" i="43"/>
  <c r="AL62" i="43"/>
  <c r="AK62" i="43"/>
  <c r="AJ62" i="43"/>
  <c r="AI62" i="43"/>
  <c r="AH62" i="43"/>
  <c r="AG62" i="43"/>
  <c r="AF62" i="43"/>
  <c r="AE62" i="43"/>
  <c r="AD62" i="43"/>
  <c r="AC62" i="43"/>
  <c r="AB62" i="43"/>
  <c r="AA62" i="43"/>
  <c r="Z62" i="43"/>
  <c r="Y62" i="43"/>
  <c r="X62" i="43"/>
  <c r="W62" i="43"/>
  <c r="V62" i="43"/>
  <c r="U62" i="43"/>
  <c r="T62" i="43"/>
  <c r="S62" i="43"/>
  <c r="R62" i="43"/>
  <c r="Q62" i="43"/>
  <c r="P62" i="43"/>
  <c r="O62" i="43"/>
  <c r="N62" i="43"/>
  <c r="M62" i="43"/>
  <c r="L62" i="43"/>
  <c r="K62" i="43"/>
  <c r="J62" i="43"/>
  <c r="I62" i="43"/>
  <c r="H62" i="43"/>
  <c r="G62" i="43"/>
  <c r="F62" i="43"/>
  <c r="E62" i="43"/>
  <c r="D62" i="43"/>
  <c r="C62" i="43"/>
  <c r="EQ58" i="43"/>
  <c r="EP58" i="43"/>
  <c r="EO58" i="43"/>
  <c r="EN58" i="43"/>
  <c r="EM58" i="43"/>
  <c r="EL58" i="43"/>
  <c r="EK58" i="43"/>
  <c r="EJ58" i="43"/>
  <c r="EI58" i="43"/>
  <c r="EH58" i="43"/>
  <c r="EG58" i="43"/>
  <c r="EF58" i="43"/>
  <c r="EE58" i="43"/>
  <c r="ED58" i="43"/>
  <c r="EC58" i="43"/>
  <c r="EB58" i="43"/>
  <c r="EA58" i="43"/>
  <c r="DZ58" i="43"/>
  <c r="DY58" i="43"/>
  <c r="DX58" i="43"/>
  <c r="DW58" i="43"/>
  <c r="DV58" i="43"/>
  <c r="DU58" i="43"/>
  <c r="DT58" i="43"/>
  <c r="DS58" i="43"/>
  <c r="DR58" i="43"/>
  <c r="DQ58" i="43"/>
  <c r="DP58" i="43"/>
  <c r="DO58" i="43"/>
  <c r="DN58" i="43"/>
  <c r="DM58" i="43"/>
  <c r="DL58" i="43"/>
  <c r="DK58" i="43"/>
  <c r="DJ58" i="43"/>
  <c r="DI58" i="43"/>
  <c r="DH58" i="43"/>
  <c r="DG58" i="43"/>
  <c r="DF58" i="43"/>
  <c r="DE58" i="43"/>
  <c r="DD58" i="43"/>
  <c r="DC58" i="43"/>
  <c r="DB58" i="43"/>
  <c r="DA58" i="43"/>
  <c r="CZ58" i="43"/>
  <c r="CY58" i="43"/>
  <c r="CX58" i="43"/>
  <c r="CW58" i="43"/>
  <c r="CV58" i="43"/>
  <c r="CU58" i="43"/>
  <c r="CT58" i="43"/>
  <c r="CS58" i="43"/>
  <c r="CR58" i="43"/>
  <c r="CQ58" i="43"/>
  <c r="CP58" i="43"/>
  <c r="CO58" i="43"/>
  <c r="CN58" i="43"/>
  <c r="CM58" i="43"/>
  <c r="CL58" i="43"/>
  <c r="CK58" i="43"/>
  <c r="CJ58" i="43"/>
  <c r="CI58" i="43"/>
  <c r="CH58" i="43"/>
  <c r="CG58" i="43"/>
  <c r="CF58" i="43"/>
  <c r="CE58" i="43"/>
  <c r="CD58" i="43"/>
  <c r="CC58" i="43"/>
  <c r="CB58" i="43"/>
  <c r="CA58" i="43"/>
  <c r="BZ58" i="43"/>
  <c r="BY58" i="43"/>
  <c r="BX58" i="43"/>
  <c r="BW58" i="43"/>
  <c r="BV58" i="43"/>
  <c r="BU58" i="43"/>
  <c r="BT58" i="43"/>
  <c r="BS58" i="43"/>
  <c r="BR58" i="43"/>
  <c r="BQ58" i="43"/>
  <c r="BP58" i="43"/>
  <c r="BO58" i="43"/>
  <c r="BN58" i="43"/>
  <c r="BM58" i="43"/>
  <c r="BL58" i="43"/>
  <c r="BK58" i="43"/>
  <c r="BJ58" i="43"/>
  <c r="BI58" i="43"/>
  <c r="BH58" i="43"/>
  <c r="BG58" i="43"/>
  <c r="BF58" i="43"/>
  <c r="BE58" i="43"/>
  <c r="BD58" i="43"/>
  <c r="BC58" i="43"/>
  <c r="BB58" i="43"/>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C58" i="43"/>
  <c r="EQ48" i="43"/>
  <c r="EP48" i="43"/>
  <c r="EO48" i="43"/>
  <c r="EN48" i="43"/>
  <c r="EM48" i="43"/>
  <c r="EL48" i="43"/>
  <c r="EK48" i="43"/>
  <c r="EJ48" i="43"/>
  <c r="EI48" i="43"/>
  <c r="EH48" i="43"/>
  <c r="EG48" i="43"/>
  <c r="EF48" i="43"/>
  <c r="EE48" i="43"/>
  <c r="ED48" i="43"/>
  <c r="EC48" i="43"/>
  <c r="EB48" i="43"/>
  <c r="EA48" i="43"/>
  <c r="DZ48" i="43"/>
  <c r="DY48" i="43"/>
  <c r="DX48" i="43"/>
  <c r="DW48" i="43"/>
  <c r="DV48" i="43"/>
  <c r="DU48" i="43"/>
  <c r="DT48" i="43"/>
  <c r="DS48" i="43"/>
  <c r="DR48" i="43"/>
  <c r="DQ48" i="43"/>
  <c r="DP48" i="43"/>
  <c r="DO48" i="43"/>
  <c r="DN48" i="43"/>
  <c r="DM48" i="43"/>
  <c r="DL48" i="43"/>
  <c r="DK48" i="43"/>
  <c r="DJ48" i="43"/>
  <c r="DI48" i="43"/>
  <c r="DH48" i="43"/>
  <c r="DG48" i="43"/>
  <c r="DF48" i="43"/>
  <c r="DE48" i="43"/>
  <c r="DD48" i="43"/>
  <c r="DC48" i="43"/>
  <c r="DB48" i="43"/>
  <c r="DA48" i="43"/>
  <c r="CZ48" i="43"/>
  <c r="CY48" i="43"/>
  <c r="CX48" i="43"/>
  <c r="CW48" i="43"/>
  <c r="CV48" i="43"/>
  <c r="CU48" i="43"/>
  <c r="CT48" i="43"/>
  <c r="CS48" i="43"/>
  <c r="CR48" i="43"/>
  <c r="CQ48" i="43"/>
  <c r="CP48" i="43"/>
  <c r="CO48" i="43"/>
  <c r="CN48" i="43"/>
  <c r="CM48" i="43"/>
  <c r="CL48" i="43"/>
  <c r="CK48" i="43"/>
  <c r="CJ48" i="43"/>
  <c r="CI48" i="43"/>
  <c r="CH48" i="43"/>
  <c r="CG48" i="43"/>
  <c r="CF48" i="43"/>
  <c r="CE48" i="43"/>
  <c r="CD48" i="43"/>
  <c r="CC48" i="43"/>
  <c r="CB48" i="43"/>
  <c r="CA48" i="43"/>
  <c r="BZ48" i="43"/>
  <c r="BY48" i="43"/>
  <c r="BX48" i="43"/>
  <c r="BW48" i="43"/>
  <c r="BV48" i="43"/>
  <c r="BU48" i="43"/>
  <c r="BT48" i="43"/>
  <c r="BS48" i="43"/>
  <c r="BR48" i="43"/>
  <c r="BQ48" i="43"/>
  <c r="BP48" i="43"/>
  <c r="BO48" i="43"/>
  <c r="BN48" i="43"/>
  <c r="BM48" i="43"/>
  <c r="BL48" i="43"/>
  <c r="BL13" i="43" s="1"/>
  <c r="BK48" i="43"/>
  <c r="BJ48" i="43"/>
  <c r="BI48" i="43"/>
  <c r="BH48" i="43"/>
  <c r="BG48" i="43"/>
  <c r="BF48" i="43"/>
  <c r="BE48" i="43"/>
  <c r="BD48" i="43"/>
  <c r="BC48" i="43"/>
  <c r="BB48" i="43"/>
  <c r="BA48" i="43"/>
  <c r="AZ48" i="43"/>
  <c r="AY48" i="43"/>
  <c r="AX48" i="43"/>
  <c r="AW48" i="43"/>
  <c r="AV48" i="43"/>
  <c r="AU48" i="43"/>
  <c r="AT48" i="43"/>
  <c r="AS48" i="43"/>
  <c r="AR48" i="43"/>
  <c r="AQ48" i="43"/>
  <c r="AQ13" i="43" s="1"/>
  <c r="AP48" i="43"/>
  <c r="AO48" i="43"/>
  <c r="AN48" i="43"/>
  <c r="AM48" i="43"/>
  <c r="AL48" i="43"/>
  <c r="AK48" i="43"/>
  <c r="AJ48" i="43"/>
  <c r="AI48" i="43"/>
  <c r="AH48" i="43"/>
  <c r="AG48" i="43"/>
  <c r="AF48" i="43"/>
  <c r="AE48" i="43"/>
  <c r="AD48" i="43"/>
  <c r="AD13" i="43" s="1"/>
  <c r="AC48" i="43"/>
  <c r="AB48" i="43"/>
  <c r="AA48" i="43"/>
  <c r="Z48" i="43"/>
  <c r="Y48" i="43"/>
  <c r="X48" i="43"/>
  <c r="W48" i="43"/>
  <c r="V48" i="43"/>
  <c r="U48" i="43"/>
  <c r="T48" i="43"/>
  <c r="S48" i="43"/>
  <c r="R48" i="43"/>
  <c r="Q48" i="43"/>
  <c r="P48" i="43"/>
  <c r="O48" i="43"/>
  <c r="N48" i="43"/>
  <c r="M48" i="43"/>
  <c r="L48" i="43"/>
  <c r="K48" i="43"/>
  <c r="J48" i="43"/>
  <c r="I48" i="43"/>
  <c r="H48" i="43"/>
  <c r="G48" i="43"/>
  <c r="F48" i="43"/>
  <c r="E48" i="43"/>
  <c r="D48" i="43"/>
  <c r="C48" i="43"/>
  <c r="EQ38" i="43"/>
  <c r="EP38" i="43"/>
  <c r="EO38" i="43"/>
  <c r="EO36" i="43" s="1"/>
  <c r="EN38" i="43"/>
  <c r="EN36" i="43" s="1"/>
  <c r="EM38" i="43"/>
  <c r="EL38" i="43"/>
  <c r="EK38" i="43"/>
  <c r="EK36" i="43" s="1"/>
  <c r="EJ38" i="43"/>
  <c r="EI38" i="43"/>
  <c r="EH38" i="43"/>
  <c r="EG38" i="43"/>
  <c r="EF38" i="43"/>
  <c r="EF36" i="43" s="1"/>
  <c r="EE38" i="43"/>
  <c r="ED38" i="43"/>
  <c r="EC38" i="43"/>
  <c r="EC36" i="43" s="1"/>
  <c r="EB38" i="43"/>
  <c r="EB36" i="43" s="1"/>
  <c r="EA38" i="43"/>
  <c r="DZ38" i="43"/>
  <c r="DY38" i="43"/>
  <c r="DY36" i="43" s="1"/>
  <c r="DX38" i="43"/>
  <c r="DX36" i="43" s="1"/>
  <c r="DW38" i="43"/>
  <c r="DV38" i="43"/>
  <c r="DV36" i="43" s="1"/>
  <c r="DU38" i="43"/>
  <c r="DU36" i="43" s="1"/>
  <c r="DT38" i="43"/>
  <c r="DS38" i="43"/>
  <c r="DS36" i="43" s="1"/>
  <c r="DR38" i="43"/>
  <c r="DQ38" i="43"/>
  <c r="DQ36" i="43" s="1"/>
  <c r="DP38" i="43"/>
  <c r="DP36" i="43" s="1"/>
  <c r="DO38" i="43"/>
  <c r="DN38" i="43"/>
  <c r="DM38" i="43"/>
  <c r="DM36" i="43" s="1"/>
  <c r="DL38" i="43"/>
  <c r="DK38" i="43"/>
  <c r="DK36" i="43" s="1"/>
  <c r="DJ38" i="43"/>
  <c r="DI38" i="43"/>
  <c r="DH38" i="43"/>
  <c r="DG38" i="43"/>
  <c r="DF38" i="43"/>
  <c r="DE38" i="43"/>
  <c r="DE36" i="43" s="1"/>
  <c r="DD38" i="43"/>
  <c r="DD36" i="43" s="1"/>
  <c r="DC38" i="43"/>
  <c r="DC36" i="43" s="1"/>
  <c r="DB38" i="43"/>
  <c r="DA38" i="43"/>
  <c r="DA36" i="43" s="1"/>
  <c r="CZ38" i="43"/>
  <c r="CY38" i="43"/>
  <c r="CX38" i="43"/>
  <c r="CW38" i="43"/>
  <c r="CV38" i="43"/>
  <c r="CV36" i="43" s="1"/>
  <c r="CU38" i="43"/>
  <c r="CU36" i="43" s="1"/>
  <c r="CT38" i="43"/>
  <c r="CS38" i="43"/>
  <c r="CS36" i="43" s="1"/>
  <c r="CR38" i="43"/>
  <c r="CQ38" i="43"/>
  <c r="CP38" i="43"/>
  <c r="CO38" i="43"/>
  <c r="CO36" i="43" s="1"/>
  <c r="CN38" i="43"/>
  <c r="CM38" i="43"/>
  <c r="CL38" i="43"/>
  <c r="CK38" i="43"/>
  <c r="CK36" i="43" s="1"/>
  <c r="CJ38" i="43"/>
  <c r="CI38" i="43"/>
  <c r="CH38" i="43"/>
  <c r="CG38" i="43"/>
  <c r="CF38" i="43"/>
  <c r="CE38" i="43"/>
  <c r="CE36" i="43" s="1"/>
  <c r="CD38" i="43"/>
  <c r="CC38" i="43"/>
  <c r="CB38" i="43"/>
  <c r="CA38" i="43"/>
  <c r="BZ38" i="43"/>
  <c r="BY38" i="43"/>
  <c r="BX38" i="43"/>
  <c r="BX36" i="43" s="1"/>
  <c r="BW38" i="43"/>
  <c r="BW36" i="43" s="1"/>
  <c r="BV38" i="43"/>
  <c r="BU38" i="43"/>
  <c r="BU36" i="43" s="1"/>
  <c r="BT38" i="43"/>
  <c r="BS38" i="43"/>
  <c r="BR38" i="43"/>
  <c r="BQ38" i="43"/>
  <c r="BP38" i="43"/>
  <c r="BP36" i="43" s="1"/>
  <c r="BO38" i="43"/>
  <c r="BN38" i="43"/>
  <c r="BM38" i="43"/>
  <c r="BM36" i="43" s="1"/>
  <c r="BL38" i="43"/>
  <c r="BK38" i="43"/>
  <c r="BJ38" i="43"/>
  <c r="BI38" i="43"/>
  <c r="BI36" i="43" s="1"/>
  <c r="BH38" i="43"/>
  <c r="BG38" i="43"/>
  <c r="BG36" i="43" s="1"/>
  <c r="BF38" i="43"/>
  <c r="BE38" i="43"/>
  <c r="BD38" i="43"/>
  <c r="BC38" i="43"/>
  <c r="BB38" i="43"/>
  <c r="BA38" i="43"/>
  <c r="BA36" i="43" s="1"/>
  <c r="AZ38" i="43"/>
  <c r="AZ36" i="43" s="1"/>
  <c r="AY38" i="43"/>
  <c r="AY36" i="43" s="1"/>
  <c r="AX38" i="43"/>
  <c r="AW38" i="43"/>
  <c r="AV38" i="43"/>
  <c r="AU38" i="43"/>
  <c r="AT38" i="43"/>
  <c r="AS38" i="43"/>
  <c r="AS36" i="43" s="1"/>
  <c r="AR38" i="43"/>
  <c r="AR36" i="43" s="1"/>
  <c r="AQ38" i="43"/>
  <c r="AP38" i="43"/>
  <c r="AO38" i="43"/>
  <c r="AO36" i="43" s="1"/>
  <c r="AN38" i="43"/>
  <c r="AM38" i="43"/>
  <c r="AL38" i="43"/>
  <c r="AK38" i="43"/>
  <c r="AJ38" i="43"/>
  <c r="AI38" i="43"/>
  <c r="AI36" i="43" s="1"/>
  <c r="AH38" i="43"/>
  <c r="AG38" i="43"/>
  <c r="AF38" i="43"/>
  <c r="AE38" i="43"/>
  <c r="AD38" i="43"/>
  <c r="AC38" i="43"/>
  <c r="AB38" i="43"/>
  <c r="AB36" i="43" s="1"/>
  <c r="AA38" i="43"/>
  <c r="AA36" i="43" s="1"/>
  <c r="Z38" i="43"/>
  <c r="Y38" i="43"/>
  <c r="Y36" i="43" s="1"/>
  <c r="X38" i="43"/>
  <c r="W38" i="43"/>
  <c r="V38" i="43"/>
  <c r="U38" i="43"/>
  <c r="U36" i="43" s="1"/>
  <c r="T38" i="43"/>
  <c r="T36" i="43" s="1"/>
  <c r="S38" i="43"/>
  <c r="S36" i="43" s="1"/>
  <c r="R38" i="43"/>
  <c r="Q38" i="43"/>
  <c r="Q36" i="43" s="1"/>
  <c r="P38" i="43"/>
  <c r="O38" i="43"/>
  <c r="N38" i="43"/>
  <c r="M38" i="43"/>
  <c r="L38" i="43"/>
  <c r="L36" i="43" s="1"/>
  <c r="K38" i="43"/>
  <c r="K36" i="43" s="1"/>
  <c r="J38" i="43"/>
  <c r="I38" i="43"/>
  <c r="H38" i="43"/>
  <c r="G38" i="43"/>
  <c r="F38" i="43"/>
  <c r="E38" i="43"/>
  <c r="D38" i="43"/>
  <c r="D36" i="43" s="1"/>
  <c r="C38" i="43"/>
  <c r="EQ36" i="43"/>
  <c r="EP36" i="43"/>
  <c r="EM36" i="43"/>
  <c r="EL36" i="43"/>
  <c r="EJ36" i="43"/>
  <c r="EI36" i="43"/>
  <c r="EH36" i="43"/>
  <c r="EG36" i="43"/>
  <c r="EE36" i="43"/>
  <c r="ED36" i="43"/>
  <c r="EA36" i="43"/>
  <c r="DZ36" i="43"/>
  <c r="DW36" i="43"/>
  <c r="DT36" i="43"/>
  <c r="DR36" i="43"/>
  <c r="DO36" i="43"/>
  <c r="DN36" i="43"/>
  <c r="DL36" i="43"/>
  <c r="DJ36" i="43"/>
  <c r="DI36" i="43"/>
  <c r="DH36" i="43"/>
  <c r="DG36" i="43"/>
  <c r="DF36" i="43"/>
  <c r="DB36" i="43"/>
  <c r="CZ36" i="43"/>
  <c r="CY36" i="43"/>
  <c r="CX36" i="43"/>
  <c r="CW36" i="43"/>
  <c r="CT36" i="43"/>
  <c r="CR36" i="43"/>
  <c r="CQ36" i="43"/>
  <c r="CP36" i="43"/>
  <c r="CN36" i="43"/>
  <c r="CM36" i="43"/>
  <c r="CL36" i="43"/>
  <c r="CJ36" i="43"/>
  <c r="CI36" i="43"/>
  <c r="CH36" i="43"/>
  <c r="CG36" i="43"/>
  <c r="CF36" i="43"/>
  <c r="CD36" i="43"/>
  <c r="CC36" i="43"/>
  <c r="CB36" i="43"/>
  <c r="CA36" i="43"/>
  <c r="BZ36" i="43"/>
  <c r="BY36" i="43"/>
  <c r="BV36" i="43"/>
  <c r="BT36" i="43"/>
  <c r="BS36" i="43"/>
  <c r="BR36" i="43"/>
  <c r="BQ36" i="43"/>
  <c r="BO36" i="43"/>
  <c r="BN36" i="43"/>
  <c r="BL36" i="43"/>
  <c r="BK36" i="43"/>
  <c r="BJ36" i="43"/>
  <c r="BH36" i="43"/>
  <c r="BF36" i="43"/>
  <c r="BE36" i="43"/>
  <c r="BD36" i="43"/>
  <c r="BC36" i="43"/>
  <c r="BB36" i="43"/>
  <c r="AX36" i="43"/>
  <c r="AW36" i="43"/>
  <c r="AV36" i="43"/>
  <c r="AU36" i="43"/>
  <c r="AT36" i="43"/>
  <c r="AQ36" i="43"/>
  <c r="AP36" i="43"/>
  <c r="AN36" i="43"/>
  <c r="AM36" i="43"/>
  <c r="AL36" i="43"/>
  <c r="AK36" i="43"/>
  <c r="AJ36" i="43"/>
  <c r="AH36" i="43"/>
  <c r="AG36" i="43"/>
  <c r="AF36" i="43"/>
  <c r="AE36" i="43"/>
  <c r="AD36" i="43"/>
  <c r="AC36" i="43"/>
  <c r="Z36" i="43"/>
  <c r="X36" i="43"/>
  <c r="W36" i="43"/>
  <c r="V36" i="43"/>
  <c r="R36" i="43"/>
  <c r="P36" i="43"/>
  <c r="O36" i="43"/>
  <c r="N36" i="43"/>
  <c r="M36" i="43"/>
  <c r="J36" i="43"/>
  <c r="I36" i="43"/>
  <c r="H36" i="43"/>
  <c r="G36" i="43"/>
  <c r="F36" i="43"/>
  <c r="E36" i="43"/>
  <c r="C36" i="43"/>
  <c r="EQ17" i="43"/>
  <c r="EQ16" i="43" s="1"/>
  <c r="EQ15" i="43" s="1"/>
  <c r="EP17" i="43"/>
  <c r="EO17" i="43"/>
  <c r="EO16" i="43" s="1"/>
  <c r="EO15" i="43" s="1"/>
  <c r="EN17" i="43"/>
  <c r="EM17" i="43"/>
  <c r="EM16" i="43" s="1"/>
  <c r="EM15" i="43" s="1"/>
  <c r="EL17" i="43"/>
  <c r="EK17" i="43"/>
  <c r="EK16" i="43" s="1"/>
  <c r="EJ17" i="43"/>
  <c r="EJ16" i="43" s="1"/>
  <c r="EJ15" i="43" s="1"/>
  <c r="EI17" i="43"/>
  <c r="EI16" i="43" s="1"/>
  <c r="EI15" i="43" s="1"/>
  <c r="EH17" i="43"/>
  <c r="EG17" i="43"/>
  <c r="EG16" i="43" s="1"/>
  <c r="EG15" i="43" s="1"/>
  <c r="EF17" i="43"/>
  <c r="EE17" i="43"/>
  <c r="EE16" i="43" s="1"/>
  <c r="EE15" i="43" s="1"/>
  <c r="ED17" i="43"/>
  <c r="EC17" i="43"/>
  <c r="EC16" i="43" s="1"/>
  <c r="EC15" i="43" s="1"/>
  <c r="EB17" i="43"/>
  <c r="EB16" i="43" s="1"/>
  <c r="EB15" i="43" s="1"/>
  <c r="EA17" i="43"/>
  <c r="EA16" i="43" s="1"/>
  <c r="EA15" i="43" s="1"/>
  <c r="DZ17" i="43"/>
  <c r="DY17" i="43"/>
  <c r="DY16" i="43" s="1"/>
  <c r="DY15" i="43" s="1"/>
  <c r="DX17" i="43"/>
  <c r="DW17" i="43"/>
  <c r="DV17" i="43"/>
  <c r="DV16" i="43" s="1"/>
  <c r="DV15" i="43" s="1"/>
  <c r="DU17" i="43"/>
  <c r="DU16" i="43" s="1"/>
  <c r="DU15" i="43" s="1"/>
  <c r="DT17" i="43"/>
  <c r="DT16" i="43" s="1"/>
  <c r="DT15" i="43" s="1"/>
  <c r="DS17" i="43"/>
  <c r="DS16" i="43" s="1"/>
  <c r="DS15" i="43" s="1"/>
  <c r="DR17" i="43"/>
  <c r="DQ17" i="43"/>
  <c r="DQ16" i="43" s="1"/>
  <c r="DQ15" i="43" s="1"/>
  <c r="DP17" i="43"/>
  <c r="DO17" i="43"/>
  <c r="DN17" i="43"/>
  <c r="DM17" i="43"/>
  <c r="DM16" i="43" s="1"/>
  <c r="DM15" i="43" s="1"/>
  <c r="DL17" i="43"/>
  <c r="DL16" i="43" s="1"/>
  <c r="DL15" i="43" s="1"/>
  <c r="DK17" i="43"/>
  <c r="DK16" i="43" s="1"/>
  <c r="DK15" i="43" s="1"/>
  <c r="DJ17" i="43"/>
  <c r="DI17" i="43"/>
  <c r="DI16" i="43" s="1"/>
  <c r="DH17" i="43"/>
  <c r="DH16" i="43" s="1"/>
  <c r="DH15" i="43" s="1"/>
  <c r="DG17" i="43"/>
  <c r="DF17" i="43"/>
  <c r="DF16" i="43" s="1"/>
  <c r="DF15" i="43" s="1"/>
  <c r="DE17" i="43"/>
  <c r="DE16" i="43" s="1"/>
  <c r="DE15" i="43" s="1"/>
  <c r="DD17" i="43"/>
  <c r="DD16" i="43" s="1"/>
  <c r="DD15" i="43" s="1"/>
  <c r="DC17" i="43"/>
  <c r="DC16" i="43" s="1"/>
  <c r="DC15" i="43" s="1"/>
  <c r="DB17" i="43"/>
  <c r="DA17" i="43"/>
  <c r="DA16" i="43" s="1"/>
  <c r="DA15" i="43" s="1"/>
  <c r="CZ17" i="43"/>
  <c r="CY17" i="43"/>
  <c r="CX17" i="43"/>
  <c r="CW17" i="43"/>
  <c r="CW16" i="43" s="1"/>
  <c r="CW15" i="43" s="1"/>
  <c r="CV17" i="43"/>
  <c r="CV16" i="43" s="1"/>
  <c r="CV15" i="43" s="1"/>
  <c r="CU17" i="43"/>
  <c r="CU16" i="43" s="1"/>
  <c r="CU15" i="43" s="1"/>
  <c r="CT17" i="43"/>
  <c r="CS17" i="43"/>
  <c r="CS16" i="43" s="1"/>
  <c r="CS15" i="43" s="1"/>
  <c r="CR17" i="43"/>
  <c r="CR16" i="43" s="1"/>
  <c r="CR15" i="43" s="1"/>
  <c r="CQ17" i="43"/>
  <c r="CP17" i="43"/>
  <c r="CO17" i="43"/>
  <c r="CO16" i="43" s="1"/>
  <c r="CO15" i="43" s="1"/>
  <c r="CN17" i="43"/>
  <c r="CN16" i="43" s="1"/>
  <c r="CN15" i="43" s="1"/>
  <c r="CM17" i="43"/>
  <c r="CM16" i="43" s="1"/>
  <c r="CM15" i="43" s="1"/>
  <c r="CL17" i="43"/>
  <c r="CK17" i="43"/>
  <c r="CK16" i="43" s="1"/>
  <c r="CK15" i="43" s="1"/>
  <c r="CJ17" i="43"/>
  <c r="CI17" i="43"/>
  <c r="CI16" i="43" s="1"/>
  <c r="CH17" i="43"/>
  <c r="CG17" i="43"/>
  <c r="CG16" i="43" s="1"/>
  <c r="CF17" i="43"/>
  <c r="CF16" i="43" s="1"/>
  <c r="CF15" i="43" s="1"/>
  <c r="CE17" i="43"/>
  <c r="CE16" i="43" s="1"/>
  <c r="CE15" i="43" s="1"/>
  <c r="CD17" i="43"/>
  <c r="CC17" i="43"/>
  <c r="CC16" i="43" s="1"/>
  <c r="CC15" i="43" s="1"/>
  <c r="CB17" i="43"/>
  <c r="CA17" i="43"/>
  <c r="CA16" i="43" s="1"/>
  <c r="CA15" i="43" s="1"/>
  <c r="BZ17" i="43"/>
  <c r="BY17" i="43"/>
  <c r="BY16" i="43" s="1"/>
  <c r="BY15" i="43" s="1"/>
  <c r="BX17" i="43"/>
  <c r="BX16" i="43" s="1"/>
  <c r="BX15" i="43" s="1"/>
  <c r="BW17" i="43"/>
  <c r="BW16" i="43" s="1"/>
  <c r="BW15" i="43" s="1"/>
  <c r="BV17" i="43"/>
  <c r="BU17" i="43"/>
  <c r="BU16" i="43" s="1"/>
  <c r="BU15" i="43" s="1"/>
  <c r="BT17" i="43"/>
  <c r="BS17" i="43"/>
  <c r="BS16" i="43" s="1"/>
  <c r="BR17" i="43"/>
  <c r="BQ17" i="43"/>
  <c r="BQ16" i="43" s="1"/>
  <c r="BQ15" i="43" s="1"/>
  <c r="BP17" i="43"/>
  <c r="BP16" i="43" s="1"/>
  <c r="BP15" i="43" s="1"/>
  <c r="BO17" i="43"/>
  <c r="BN17" i="43"/>
  <c r="BM17" i="43"/>
  <c r="BM16" i="43" s="1"/>
  <c r="BM15" i="43" s="1"/>
  <c r="BL17" i="43"/>
  <c r="BK17" i="43"/>
  <c r="BJ17" i="43"/>
  <c r="BJ16" i="43" s="1"/>
  <c r="BJ15" i="43" s="1"/>
  <c r="BI17" i="43"/>
  <c r="BI16" i="43" s="1"/>
  <c r="BI15" i="43" s="1"/>
  <c r="BH17" i="43"/>
  <c r="BH16" i="43" s="1"/>
  <c r="BH15" i="43" s="1"/>
  <c r="BG17" i="43"/>
  <c r="BG16" i="43" s="1"/>
  <c r="BG15" i="43" s="1"/>
  <c r="BF17" i="43"/>
  <c r="BE17" i="43"/>
  <c r="BE16" i="43" s="1"/>
  <c r="BE15" i="43" s="1"/>
  <c r="BD17" i="43"/>
  <c r="BC17" i="43"/>
  <c r="BB17" i="43"/>
  <c r="BA17" i="43"/>
  <c r="BA16" i="43" s="1"/>
  <c r="BA15" i="43" s="1"/>
  <c r="AZ17" i="43"/>
  <c r="AZ16" i="43" s="1"/>
  <c r="AZ15" i="43" s="1"/>
  <c r="AY17" i="43"/>
  <c r="AY16" i="43" s="1"/>
  <c r="AY15" i="43" s="1"/>
  <c r="AX17" i="43"/>
  <c r="AW17" i="43"/>
  <c r="AW16" i="43" s="1"/>
  <c r="AW15" i="43" s="1"/>
  <c r="AV17" i="43"/>
  <c r="AV16" i="43" s="1"/>
  <c r="AV15" i="43" s="1"/>
  <c r="AU17" i="43"/>
  <c r="AT17" i="43"/>
  <c r="AS17" i="43"/>
  <c r="AS16" i="43" s="1"/>
  <c r="AS15" i="43" s="1"/>
  <c r="AR17" i="43"/>
  <c r="AR16" i="43" s="1"/>
  <c r="AR15" i="43" s="1"/>
  <c r="AQ17" i="43"/>
  <c r="AP17" i="43"/>
  <c r="AO17" i="43"/>
  <c r="AO16" i="43" s="1"/>
  <c r="AO15" i="43" s="1"/>
  <c r="AN17" i="43"/>
  <c r="AM17" i="43"/>
  <c r="AM16" i="43" s="1"/>
  <c r="AM15" i="43" s="1"/>
  <c r="AL17" i="43"/>
  <c r="AK17" i="43"/>
  <c r="AK16" i="43" s="1"/>
  <c r="AJ17" i="43"/>
  <c r="AJ16" i="43" s="1"/>
  <c r="AJ15" i="43" s="1"/>
  <c r="AI17" i="43"/>
  <c r="AI16" i="43" s="1"/>
  <c r="AI15" i="43" s="1"/>
  <c r="AH17" i="43"/>
  <c r="AG17" i="43"/>
  <c r="AG16" i="43" s="1"/>
  <c r="AG15" i="43" s="1"/>
  <c r="AF17" i="43"/>
  <c r="AF16" i="43" s="1"/>
  <c r="AF15" i="43" s="1"/>
  <c r="AE17" i="43"/>
  <c r="AD17" i="43"/>
  <c r="AC17" i="43"/>
  <c r="AC16" i="43" s="1"/>
  <c r="AC15" i="43" s="1"/>
  <c r="AB17" i="43"/>
  <c r="AB16" i="43" s="1"/>
  <c r="AB15" i="43" s="1"/>
  <c r="AA17" i="43"/>
  <c r="Z17" i="43"/>
  <c r="Y17" i="43"/>
  <c r="Y16" i="43" s="1"/>
  <c r="Y15" i="43" s="1"/>
  <c r="X17" i="43"/>
  <c r="W17" i="43"/>
  <c r="W16" i="43" s="1"/>
  <c r="W13" i="43" s="1"/>
  <c r="V17" i="43"/>
  <c r="U17" i="43"/>
  <c r="U16" i="43" s="1"/>
  <c r="U15" i="43" s="1"/>
  <c r="T17" i="43"/>
  <c r="T16" i="43" s="1"/>
  <c r="T15" i="43" s="1"/>
  <c r="S17" i="43"/>
  <c r="S16" i="43" s="1"/>
  <c r="R17" i="43"/>
  <c r="Q17" i="43"/>
  <c r="Q16" i="43" s="1"/>
  <c r="P17" i="43"/>
  <c r="O17" i="43"/>
  <c r="N17" i="43"/>
  <c r="M17" i="43"/>
  <c r="M16" i="43" s="1"/>
  <c r="M15" i="43" s="1"/>
  <c r="L17" i="43"/>
  <c r="L16" i="43" s="1"/>
  <c r="L15" i="43" s="1"/>
  <c r="K17" i="43"/>
  <c r="J17" i="43"/>
  <c r="I17" i="43"/>
  <c r="I16" i="43" s="1"/>
  <c r="I15" i="43" s="1"/>
  <c r="H17" i="43"/>
  <c r="G17" i="43"/>
  <c r="G16" i="43" s="1"/>
  <c r="G15" i="43" s="1"/>
  <c r="F17" i="43"/>
  <c r="E17" i="43"/>
  <c r="E16" i="43" s="1"/>
  <c r="E15" i="43" s="1"/>
  <c r="D17" i="43"/>
  <c r="D16" i="43" s="1"/>
  <c r="D15" i="43" s="1"/>
  <c r="C17" i="43"/>
  <c r="EP16" i="43"/>
  <c r="EP15" i="43" s="1"/>
  <c r="EN16" i="43"/>
  <c r="EL16" i="43"/>
  <c r="EL15" i="43" s="1"/>
  <c r="EH16" i="43"/>
  <c r="EH15" i="43" s="1"/>
  <c r="EF16" i="43"/>
  <c r="EF15" i="43" s="1"/>
  <c r="ED16" i="43"/>
  <c r="DZ16" i="43"/>
  <c r="DZ15" i="43" s="1"/>
  <c r="DX16" i="43"/>
  <c r="DW16" i="43"/>
  <c r="DR16" i="43"/>
  <c r="DR15" i="43" s="1"/>
  <c r="DP16" i="43"/>
  <c r="DP15" i="43" s="1"/>
  <c r="DO16" i="43"/>
  <c r="DO15" i="43" s="1"/>
  <c r="DN16" i="43"/>
  <c r="DN15" i="43" s="1"/>
  <c r="DJ16" i="43"/>
  <c r="DJ15" i="43" s="1"/>
  <c r="DG16" i="43"/>
  <c r="DG15" i="43" s="1"/>
  <c r="DB16" i="43"/>
  <c r="CZ16" i="43"/>
  <c r="CY16" i="43"/>
  <c r="CX16" i="43"/>
  <c r="CX15" i="43" s="1"/>
  <c r="CT16" i="43"/>
  <c r="CT15" i="43" s="1"/>
  <c r="CQ16" i="43"/>
  <c r="CP16" i="43"/>
  <c r="CP15" i="43" s="1"/>
  <c r="CL16" i="43"/>
  <c r="CL15" i="43" s="1"/>
  <c r="CJ16" i="43"/>
  <c r="CJ15" i="43" s="1"/>
  <c r="CH16" i="43"/>
  <c r="CH15" i="43" s="1"/>
  <c r="CD16" i="43"/>
  <c r="CD15" i="43" s="1"/>
  <c r="CB16" i="43"/>
  <c r="BZ16" i="43"/>
  <c r="BV16" i="43"/>
  <c r="BV15" i="43" s="1"/>
  <c r="BT16" i="43"/>
  <c r="BT15" i="43" s="1"/>
  <c r="BR16" i="43"/>
  <c r="BR15" i="43" s="1"/>
  <c r="BO16" i="43"/>
  <c r="BN16" i="43"/>
  <c r="BN15" i="43" s="1"/>
  <c r="BL16" i="43"/>
  <c r="BK16" i="43"/>
  <c r="BF16" i="43"/>
  <c r="BF15" i="43" s="1"/>
  <c r="BD16" i="43"/>
  <c r="BC16" i="43"/>
  <c r="BC15" i="43" s="1"/>
  <c r="BB16" i="43"/>
  <c r="BB15" i="43" s="1"/>
  <c r="AX16" i="43"/>
  <c r="AU16" i="43"/>
  <c r="AT16" i="43"/>
  <c r="AT15" i="43" s="1"/>
  <c r="AQ16" i="43"/>
  <c r="AP16" i="43"/>
  <c r="AP15" i="43" s="1"/>
  <c r="AN16" i="43"/>
  <c r="AN15" i="43" s="1"/>
  <c r="AL16" i="43"/>
  <c r="AL15" i="43" s="1"/>
  <c r="AH16" i="43"/>
  <c r="AH15" i="43" s="1"/>
  <c r="AE16" i="43"/>
  <c r="AD16" i="43"/>
  <c r="AD15" i="43" s="1"/>
  <c r="AA16" i="43"/>
  <c r="AA15" i="43" s="1"/>
  <c r="Z16" i="43"/>
  <c r="Z15" i="43" s="1"/>
  <c r="X16" i="43"/>
  <c r="X15" i="43" s="1"/>
  <c r="V16" i="43"/>
  <c r="V15" i="43" s="1"/>
  <c r="R16" i="43"/>
  <c r="R15" i="43" s="1"/>
  <c r="P16" i="43"/>
  <c r="O16" i="43"/>
  <c r="O15" i="43" s="1"/>
  <c r="N16" i="43"/>
  <c r="N15" i="43" s="1"/>
  <c r="K16" i="43"/>
  <c r="K15" i="43" s="1"/>
  <c r="J16" i="43"/>
  <c r="J15" i="43" s="1"/>
  <c r="H16" i="43"/>
  <c r="H15" i="43" s="1"/>
  <c r="F16" i="43"/>
  <c r="F15" i="43" s="1"/>
  <c r="C16" i="43"/>
  <c r="EN15" i="43"/>
  <c r="DX15" i="43"/>
  <c r="DW15" i="43"/>
  <c r="CZ15" i="43"/>
  <c r="CY15" i="43"/>
  <c r="CQ15" i="43"/>
  <c r="CI15" i="43"/>
  <c r="CB15" i="43"/>
  <c r="BO15" i="43"/>
  <c r="BL15" i="43"/>
  <c r="BK15" i="43"/>
  <c r="BD15" i="43"/>
  <c r="AU15" i="43"/>
  <c r="AQ15" i="43"/>
  <c r="AE15" i="43"/>
  <c r="W15" i="43"/>
  <c r="S15" i="43"/>
  <c r="P15" i="43"/>
  <c r="C15" i="43"/>
  <c r="C10" i="43" s="1"/>
  <c r="A1" i="43"/>
  <c r="AQ11" i="43" l="1"/>
  <c r="CN11" i="43"/>
  <c r="BS15" i="43"/>
  <c r="AX15" i="43"/>
  <c r="J11" i="43"/>
  <c r="Q15" i="43"/>
  <c r="AK15" i="43"/>
  <c r="AK13" i="43"/>
  <c r="BZ15" i="43"/>
  <c r="BZ13" i="43"/>
  <c r="BS101" i="43"/>
  <c r="BS13" i="43" s="1"/>
  <c r="DB15" i="43"/>
  <c r="ED15" i="43"/>
  <c r="ED13" i="43"/>
  <c r="CU13" i="43"/>
  <c r="CN13" i="43"/>
  <c r="CU11" i="43"/>
  <c r="DI15" i="43"/>
  <c r="DI13" i="43"/>
  <c r="DP11" i="43"/>
  <c r="AD11" i="43"/>
  <c r="AE101" i="43"/>
  <c r="J101" i="43"/>
  <c r="R101" i="43"/>
  <c r="Z101" i="43"/>
  <c r="AH101" i="43"/>
  <c r="AP101" i="43"/>
  <c r="AX101" i="43"/>
  <c r="BF101" i="43"/>
  <c r="BN101" i="43"/>
  <c r="BV101" i="43"/>
  <c r="CD101" i="43"/>
  <c r="DW13" i="43"/>
  <c r="BC101" i="43"/>
  <c r="BE13" i="43"/>
  <c r="AX11" i="43"/>
  <c r="BS11" i="43"/>
  <c r="Q11" i="43"/>
  <c r="DN101" i="43"/>
  <c r="CG184" i="43"/>
  <c r="CG11" i="43" s="1"/>
  <c r="CG15" i="43"/>
  <c r="CG13" i="43"/>
  <c r="EK15" i="43"/>
  <c r="EK13" i="43"/>
  <c r="J13" i="43"/>
  <c r="AX13" i="43"/>
  <c r="DB13" i="43"/>
  <c r="Q13" i="43"/>
  <c r="DP13" i="43"/>
  <c r="O101" i="43"/>
  <c r="AU101" i="43"/>
  <c r="CA101" i="43"/>
  <c r="BL11" i="43"/>
  <c r="DW11" i="43"/>
  <c r="AQ184" i="43"/>
  <c r="AG238" i="43"/>
  <c r="CS238" i="43"/>
  <c r="DX238" i="43"/>
  <c r="K238" i="43"/>
  <c r="S238" i="43"/>
  <c r="AA238" i="43"/>
  <c r="AI238" i="43"/>
  <c r="AQ238" i="43"/>
  <c r="AY238" i="43"/>
  <c r="BG238" i="43"/>
  <c r="BO238" i="43"/>
  <c r="BW238" i="43"/>
  <c r="CE238" i="43"/>
  <c r="CM238" i="43"/>
  <c r="CU238" i="43"/>
  <c r="DC238" i="43"/>
  <c r="DK238" i="43"/>
  <c r="DS238" i="43"/>
  <c r="EA238" i="43"/>
  <c r="EI238" i="43"/>
  <c r="J238" i="43"/>
  <c r="R238" i="43"/>
  <c r="Z238" i="43"/>
  <c r="AH238" i="43"/>
  <c r="AP238" i="43"/>
  <c r="AX238" i="43"/>
  <c r="BF238" i="43"/>
  <c r="BN238" i="43"/>
  <c r="BV238" i="43"/>
  <c r="CD238" i="43"/>
  <c r="CL238" i="43"/>
  <c r="CT238" i="43"/>
  <c r="DB238" i="43"/>
  <c r="DJ238" i="43"/>
  <c r="DR238" i="43"/>
  <c r="DZ238" i="43"/>
  <c r="EH238" i="43"/>
  <c r="EP238" i="43"/>
  <c r="G238" i="43"/>
  <c r="O238" i="43"/>
  <c r="AE238" i="43"/>
  <c r="AU238" i="43"/>
  <c r="BC238" i="43"/>
  <c r="CA238" i="43"/>
  <c r="CY238" i="43"/>
  <c r="DG238" i="43"/>
  <c r="EE238" i="43"/>
  <c r="BJ238" i="43"/>
  <c r="CH238" i="43"/>
  <c r="DF238" i="43"/>
  <c r="DN238" i="43"/>
  <c r="EL238" i="43"/>
  <c r="M268" i="43"/>
  <c r="M267" i="43" s="1"/>
  <c r="M238" i="43" s="1"/>
  <c r="U268" i="43"/>
  <c r="U267" i="43" s="1"/>
  <c r="U238" i="43" s="1"/>
  <c r="AC268" i="43"/>
  <c r="AC267" i="43" s="1"/>
  <c r="AC238" i="43" s="1"/>
  <c r="AK268" i="43"/>
  <c r="AK267" i="43" s="1"/>
  <c r="AK238" i="43" s="1"/>
  <c r="AS268" i="43"/>
  <c r="AS267" i="43" s="1"/>
  <c r="AS238" i="43" s="1"/>
  <c r="BA268" i="43"/>
  <c r="BA267" i="43" s="1"/>
  <c r="BA238" i="43" s="1"/>
  <c r="BI268" i="43"/>
  <c r="BI267" i="43" s="1"/>
  <c r="BI238" i="43" s="1"/>
  <c r="BQ268" i="43"/>
  <c r="BQ267" i="43" s="1"/>
  <c r="BQ238" i="43" s="1"/>
  <c r="BY268" i="43"/>
  <c r="BY267" i="43" s="1"/>
  <c r="BY238" i="43" s="1"/>
  <c r="CG268" i="43"/>
  <c r="CG267" i="43" s="1"/>
  <c r="CG238" i="43" s="1"/>
  <c r="CO268" i="43"/>
  <c r="CO267" i="43" s="1"/>
  <c r="CO238" i="43" s="1"/>
  <c r="CW268" i="43"/>
  <c r="CW267" i="43" s="1"/>
  <c r="CW238" i="43" s="1"/>
  <c r="DE268" i="43"/>
  <c r="DE267" i="43" s="1"/>
  <c r="DE238" i="43" s="1"/>
  <c r="DM268" i="43"/>
  <c r="DM267" i="43" s="1"/>
  <c r="DM238" i="43" s="1"/>
  <c r="DU268" i="43"/>
  <c r="DU267" i="43" s="1"/>
  <c r="DU238" i="43" s="1"/>
  <c r="EC268" i="43"/>
  <c r="EC267" i="43" s="1"/>
  <c r="EC238" i="43" s="1"/>
  <c r="EK268" i="43"/>
  <c r="EK267" i="43" s="1"/>
  <c r="EK238" i="43" s="1"/>
  <c r="CK238" i="43"/>
  <c r="DQ238" i="43"/>
  <c r="AF238" i="43"/>
  <c r="CR238" i="43"/>
  <c r="AH184" i="43"/>
  <c r="AP184" i="43"/>
  <c r="AX184" i="43"/>
  <c r="BF184" i="43"/>
  <c r="BV184" i="43"/>
  <c r="CD184" i="43"/>
  <c r="CL184" i="43"/>
  <c r="CT184" i="43"/>
  <c r="DB184" i="43"/>
  <c r="DB11" i="43" s="1"/>
  <c r="DJ184" i="43"/>
  <c r="DR184" i="43"/>
  <c r="DZ184" i="43"/>
  <c r="EH184" i="43"/>
  <c r="EP184" i="43"/>
  <c r="Q185" i="43"/>
  <c r="Q184" i="43" s="1"/>
  <c r="Y185" i="43"/>
  <c r="Y184" i="43" s="1"/>
  <c r="AG185" i="43"/>
  <c r="AG184" i="43" s="1"/>
  <c r="AO185" i="43"/>
  <c r="AO184" i="43" s="1"/>
  <c r="AW185" i="43"/>
  <c r="AW184" i="43" s="1"/>
  <c r="BE185" i="43"/>
  <c r="BE184" i="43" s="1"/>
  <c r="BE11" i="43" s="1"/>
  <c r="BM185" i="43"/>
  <c r="BM184" i="43" s="1"/>
  <c r="CC185" i="43"/>
  <c r="CC184" i="43" s="1"/>
  <c r="CK185" i="43"/>
  <c r="CK184" i="43" s="1"/>
  <c r="CS185" i="43"/>
  <c r="CS184" i="43" s="1"/>
  <c r="DA185" i="43"/>
  <c r="DA184" i="43" s="1"/>
  <c r="DI185" i="43"/>
  <c r="DI184" i="43" s="1"/>
  <c r="DI11" i="43" s="1"/>
  <c r="DQ185" i="43"/>
  <c r="DQ184" i="43" s="1"/>
  <c r="DY184" i="43"/>
  <c r="EO185" i="43"/>
  <c r="EO184" i="43" s="1"/>
  <c r="H238" i="43"/>
  <c r="BT238" i="43"/>
  <c r="F238" i="43"/>
  <c r="N238" i="43"/>
  <c r="V238" i="43"/>
  <c r="AD238" i="43"/>
  <c r="AL238" i="43"/>
  <c r="AT238" i="43"/>
  <c r="BB238" i="43"/>
  <c r="E54" i="2"/>
  <c r="D54" i="2"/>
  <c r="C54" i="2"/>
  <c r="D52" i="2"/>
  <c r="C52" i="2"/>
  <c r="E52" i="2"/>
  <c r="E10" i="42"/>
  <c r="F10" i="42" s="1"/>
  <c r="G10" i="42"/>
  <c r="H10" i="42"/>
  <c r="I10" i="42"/>
  <c r="E11" i="42"/>
  <c r="H11" i="42" s="1"/>
  <c r="F11" i="42"/>
  <c r="G11" i="42"/>
  <c r="E12" i="42"/>
  <c r="F12" i="42"/>
  <c r="G12" i="42"/>
  <c r="H12" i="42"/>
  <c r="I12" i="42"/>
  <c r="E13" i="42"/>
  <c r="F13" i="42" s="1"/>
  <c r="E14" i="42"/>
  <c r="I14" i="42" s="1"/>
  <c r="H14" i="42"/>
  <c r="E15" i="42"/>
  <c r="F15" i="42" s="1"/>
  <c r="G15" i="42"/>
  <c r="H15" i="42"/>
  <c r="I15" i="42"/>
  <c r="E16" i="42"/>
  <c r="G16" i="42" s="1"/>
  <c r="F16" i="42"/>
  <c r="E17" i="42"/>
  <c r="F17" i="42"/>
  <c r="G17" i="42"/>
  <c r="H17" i="42"/>
  <c r="I17" i="42"/>
  <c r="E18" i="42"/>
  <c r="F18" i="42" s="1"/>
  <c r="H18" i="42"/>
  <c r="I18" i="42"/>
  <c r="E19" i="42"/>
  <c r="H19" i="42" s="1"/>
  <c r="F19" i="42"/>
  <c r="G19" i="42"/>
  <c r="E20" i="42"/>
  <c r="F20" i="42"/>
  <c r="G20" i="42"/>
  <c r="H20" i="42"/>
  <c r="I20" i="42"/>
  <c r="E21" i="42"/>
  <c r="F21" i="42" s="1"/>
  <c r="E22" i="42"/>
  <c r="I22" i="42" s="1"/>
  <c r="G22" i="42"/>
  <c r="H22" i="42"/>
  <c r="E23" i="42"/>
  <c r="F23" i="42"/>
  <c r="G23" i="42"/>
  <c r="H23" i="42"/>
  <c r="I23" i="42"/>
  <c r="E24" i="42"/>
  <c r="G24" i="42" s="1"/>
  <c r="F24" i="42"/>
  <c r="E25" i="42"/>
  <c r="F25" i="42"/>
  <c r="G25" i="42"/>
  <c r="H25" i="42"/>
  <c r="I25" i="42"/>
  <c r="E26" i="42"/>
  <c r="F26" i="42" s="1"/>
  <c r="G26" i="42"/>
  <c r="H26" i="42"/>
  <c r="I26" i="42"/>
  <c r="E27" i="42"/>
  <c r="H27" i="42" s="1"/>
  <c r="F27" i="42"/>
  <c r="G27" i="42"/>
  <c r="E28" i="42"/>
  <c r="F28" i="42"/>
  <c r="G28" i="42"/>
  <c r="H28" i="42"/>
  <c r="I28" i="42"/>
  <c r="E29" i="42"/>
  <c r="F29" i="42" s="1"/>
  <c r="E30" i="42"/>
  <c r="I30" i="42" s="1"/>
  <c r="F30" i="42"/>
  <c r="G30" i="42"/>
  <c r="H30" i="42"/>
  <c r="E31" i="42"/>
  <c r="F31" i="42"/>
  <c r="G31" i="42"/>
  <c r="H31" i="42"/>
  <c r="I31" i="42"/>
  <c r="ER13" i="43" l="1"/>
  <c r="AK11" i="43"/>
  <c r="EK11" i="43"/>
  <c r="G14" i="42"/>
  <c r="F22" i="42"/>
  <c r="F14" i="42"/>
  <c r="I29" i="42"/>
  <c r="I21" i="42"/>
  <c r="I13" i="42"/>
  <c r="H29" i="42"/>
  <c r="I24" i="42"/>
  <c r="H21" i="42"/>
  <c r="G18" i="42"/>
  <c r="I16" i="42"/>
  <c r="H13" i="42"/>
  <c r="G29" i="42"/>
  <c r="I27" i="42"/>
  <c r="H24" i="42"/>
  <c r="G21" i="42"/>
  <c r="I19" i="42"/>
  <c r="H16" i="42"/>
  <c r="G13" i="42"/>
  <c r="I11" i="42"/>
  <c r="C681" i="41"/>
  <c r="C678" i="41"/>
  <c r="C758" i="41" s="1"/>
  <c r="C677" i="41"/>
  <c r="C757" i="41" s="1"/>
  <c r="C761" i="41" l="1"/>
  <c r="C769" i="41"/>
  <c r="C685" i="41"/>
  <c r="C693" i="41"/>
  <c r="C701" i="41"/>
  <c r="C709" i="41"/>
  <c r="C717" i="41"/>
  <c r="C725" i="41"/>
  <c r="C733" i="41"/>
  <c r="C741" i="41"/>
  <c r="C749" i="41"/>
  <c r="C689" i="41"/>
  <c r="C697" i="41"/>
  <c r="C705" i="41"/>
  <c r="C713" i="41"/>
  <c r="C721" i="41"/>
  <c r="C729" i="41"/>
  <c r="C737" i="41"/>
  <c r="C745" i="41"/>
  <c r="C753" i="41"/>
  <c r="C686" i="41"/>
  <c r="C694" i="41"/>
  <c r="C702" i="41"/>
  <c r="C710" i="41"/>
  <c r="C718" i="41"/>
  <c r="C726" i="41"/>
  <c r="C734" i="41"/>
  <c r="C742" i="41"/>
  <c r="C750" i="41"/>
  <c r="L59" i="8"/>
  <c r="L60" i="8"/>
  <c r="L61" i="8"/>
  <c r="L62" i="8"/>
  <c r="L63" i="8"/>
  <c r="L64" i="8"/>
  <c r="L65" i="8"/>
  <c r="L66" i="8"/>
  <c r="L67" i="8"/>
  <c r="L68" i="8"/>
  <c r="L69" i="8"/>
  <c r="L70" i="8"/>
  <c r="L71" i="8"/>
  <c r="L72" i="8"/>
  <c r="L73" i="8"/>
  <c r="L74" i="8"/>
  <c r="L75" i="8"/>
  <c r="L76" i="8"/>
  <c r="L77" i="8"/>
  <c r="L78" i="8"/>
  <c r="M78" i="8" s="1"/>
  <c r="L58" i="8"/>
  <c r="M58" i="8" s="1"/>
  <c r="R58" i="8" s="1"/>
  <c r="M71" i="8" l="1"/>
  <c r="M63" i="8"/>
  <c r="R63" i="8" s="1"/>
  <c r="M76" i="8"/>
  <c r="R76" i="8" s="1"/>
  <c r="M77" i="8"/>
  <c r="M70" i="8"/>
  <c r="R70" i="8" s="1"/>
  <c r="M62" i="8"/>
  <c r="R62" i="8" s="1"/>
  <c r="M69" i="8"/>
  <c r="R69" i="8" s="1"/>
  <c r="M61" i="8"/>
  <c r="R61" i="8" s="1"/>
  <c r="M68" i="8"/>
  <c r="R68" i="8" s="1"/>
  <c r="C549" i="41" s="1"/>
  <c r="M60" i="8"/>
  <c r="R60" i="8" s="1"/>
  <c r="M74" i="8"/>
  <c r="M66" i="8"/>
  <c r="R66" i="8" s="1"/>
  <c r="M73" i="8"/>
  <c r="R73" i="8" s="1"/>
  <c r="M65" i="8"/>
  <c r="R65" i="8" s="1"/>
  <c r="C493" i="41" s="1"/>
  <c r="M72" i="8"/>
  <c r="R72" i="8" s="1"/>
  <c r="M64" i="8"/>
  <c r="R64" i="8" s="1"/>
  <c r="R71" i="8"/>
  <c r="R77" i="8"/>
  <c r="R74" i="8"/>
  <c r="C485" i="41" s="1"/>
  <c r="M67" i="8"/>
  <c r="R67" i="8" s="1"/>
  <c r="M75" i="8"/>
  <c r="R75" i="8" s="1"/>
  <c r="M59" i="8"/>
  <c r="R59" i="8" s="1"/>
  <c r="F62" i="14"/>
  <c r="F63" i="14"/>
  <c r="F64" i="14"/>
  <c r="F65" i="14"/>
  <c r="F66" i="14"/>
  <c r="F67" i="14"/>
  <c r="F68" i="14"/>
  <c r="F69" i="14"/>
  <c r="F70" i="14"/>
  <c r="F71" i="14"/>
  <c r="F61" i="14"/>
  <c r="B62" i="4" l="1"/>
  <c r="B61" i="4"/>
  <c r="B60" i="4"/>
  <c r="B59" i="4"/>
  <c r="B55" i="4"/>
  <c r="B56" i="4"/>
  <c r="B57" i="4"/>
  <c r="F61" i="4"/>
  <c r="F60" i="4"/>
  <c r="F59" i="4"/>
  <c r="F57" i="4"/>
  <c r="F56" i="4"/>
  <c r="F55" i="4"/>
  <c r="H54" i="4"/>
  <c r="I54" i="4"/>
  <c r="J54" i="4"/>
  <c r="G54" i="4"/>
  <c r="C54" i="4"/>
  <c r="D54" i="4"/>
  <c r="E54" i="4"/>
  <c r="B54" i="4"/>
  <c r="B58" i="4"/>
  <c r="C58" i="4"/>
  <c r="D58" i="4"/>
  <c r="E58" i="4"/>
  <c r="H58" i="4"/>
  <c r="I58" i="4"/>
  <c r="J58" i="4"/>
  <c r="G58" i="4"/>
  <c r="F62" i="4"/>
  <c r="F54" i="4"/>
  <c r="F58" i="4"/>
  <c r="B30" i="3"/>
  <c r="E30" i="3"/>
  <c r="F30" i="3"/>
  <c r="G30" i="3"/>
  <c r="H30" i="3"/>
  <c r="I30" i="3"/>
  <c r="J30" i="3"/>
  <c r="D30" i="3"/>
  <c r="C29" i="3"/>
  <c r="C31" i="3"/>
  <c r="C32" i="3"/>
  <c r="C33" i="3"/>
  <c r="C34" i="3"/>
  <c r="C35" i="3"/>
  <c r="C36" i="3"/>
  <c r="C37" i="3"/>
  <c r="C30" i="3"/>
  <c r="J55" i="14" l="1"/>
  <c r="J49" i="40"/>
  <c r="C42" i="5" l="1"/>
  <c r="C35" i="5"/>
  <c r="I14" i="5"/>
  <c r="G11" i="5"/>
  <c r="D35" i="5"/>
  <c r="J17" i="2"/>
  <c r="C40" i="5" l="1"/>
  <c r="B35" i="5"/>
  <c r="E35" i="5"/>
  <c r="D48" i="5"/>
  <c r="E53" i="5" s="1"/>
  <c r="I35" i="5"/>
  <c r="C41" i="5"/>
  <c r="J35" i="5"/>
  <c r="C39" i="5"/>
  <c r="H35" i="5"/>
  <c r="C38" i="5"/>
  <c r="G35" i="5"/>
  <c r="C37" i="5"/>
  <c r="F35" i="5"/>
  <c r="C34" i="5"/>
  <c r="C36" i="5"/>
  <c r="C19" i="5"/>
  <c r="C283" i="41" l="1"/>
  <c r="C227" i="41"/>
  <c r="C267" i="41"/>
  <c r="C211" i="41"/>
  <c r="C251" i="41"/>
  <c r="C243" i="41"/>
  <c r="C8" i="9"/>
  <c r="H29" i="8" l="1"/>
  <c r="H31" i="8" s="1"/>
  <c r="I29" i="8"/>
  <c r="I31" i="8" s="1"/>
  <c r="I30" i="8"/>
  <c r="E18" i="28" l="1"/>
  <c r="E12" i="28"/>
  <c r="F5" i="8" l="1"/>
  <c r="F6" i="8"/>
  <c r="A1" i="28"/>
  <c r="B11" i="6" l="1"/>
  <c r="H19" i="6"/>
  <c r="C17" i="6"/>
  <c r="C13" i="6"/>
  <c r="E11" i="6" l="1"/>
  <c r="D28" i="6" s="1"/>
  <c r="F21" i="6"/>
  <c r="A25" i="5"/>
  <c r="F31" i="6" l="1"/>
  <c r="F24" i="6"/>
  <c r="F32" i="6"/>
  <c r="G28" i="6"/>
  <c r="F30" i="6"/>
  <c r="I28" i="6"/>
  <c r="F29" i="6"/>
  <c r="F27" i="6"/>
  <c r="F26" i="6"/>
  <c r="J28" i="6"/>
  <c r="F28" i="6"/>
  <c r="F25" i="6"/>
  <c r="B28" i="6"/>
  <c r="E28" i="6"/>
  <c r="F19" i="6"/>
  <c r="H28" i="6"/>
  <c r="C28" i="6"/>
  <c r="E10" i="14" l="1"/>
  <c r="E11" i="14"/>
  <c r="E12" i="14"/>
  <c r="E13" i="14"/>
  <c r="E14" i="14"/>
  <c r="E15" i="14"/>
  <c r="E9" i="14"/>
  <c r="B17" i="10"/>
  <c r="B33" i="10" s="1"/>
  <c r="I17" i="10"/>
  <c r="B41" i="10"/>
  <c r="B37" i="10"/>
  <c r="B35" i="10"/>
  <c r="A34" i="10"/>
  <c r="A35" i="10"/>
  <c r="A36" i="10"/>
  <c r="A37" i="10"/>
  <c r="A38" i="10"/>
  <c r="A39" i="10"/>
  <c r="A40" i="10"/>
  <c r="A41" i="10"/>
  <c r="A42" i="10"/>
  <c r="A43" i="10"/>
  <c r="A45" i="10"/>
  <c r="A46" i="10"/>
  <c r="A33" i="10"/>
  <c r="B18" i="10"/>
  <c r="E7" i="10"/>
  <c r="E6" i="10"/>
  <c r="E5" i="10"/>
  <c r="E9" i="10"/>
  <c r="E25" i="10"/>
  <c r="E19" i="10"/>
  <c r="E21" i="10"/>
  <c r="B28" i="10"/>
  <c r="E28" i="10" s="1"/>
  <c r="B27" i="10"/>
  <c r="B43" i="10" s="1"/>
  <c r="B26" i="10"/>
  <c r="B42" i="10" s="1"/>
  <c r="D26" i="10"/>
  <c r="E26" i="10" s="1"/>
  <c r="B20" i="10"/>
  <c r="B30" i="10"/>
  <c r="E30" i="10" s="1"/>
  <c r="B13" i="10"/>
  <c r="C13" i="10" s="1"/>
  <c r="B46" i="10" l="1"/>
  <c r="B58" i="10" s="1"/>
  <c r="B47" i="10"/>
  <c r="B48" i="10"/>
  <c r="E8" i="10"/>
  <c r="B22" i="10"/>
  <c r="B24" i="10"/>
  <c r="B23" i="10"/>
  <c r="D25" i="10"/>
  <c r="J16" i="14"/>
  <c r="J15" i="14"/>
  <c r="J14" i="14"/>
  <c r="J13" i="14"/>
  <c r="J12" i="14"/>
  <c r="J11" i="14"/>
  <c r="J10" i="14"/>
  <c r="J9" i="14"/>
  <c r="D22" i="10" l="1"/>
  <c r="D24" i="10"/>
  <c r="D23" i="10"/>
  <c r="H9" i="10"/>
  <c r="B29" i="10"/>
  <c r="C36" i="10" l="1"/>
  <c r="C34" i="10"/>
  <c r="C44" i="10"/>
  <c r="C38" i="10"/>
  <c r="C39" i="10"/>
  <c r="C40" i="10"/>
  <c r="C45" i="10"/>
  <c r="E29" i="10"/>
  <c r="G13" i="5"/>
  <c r="E14" i="5"/>
  <c r="L14" i="5" s="1"/>
  <c r="G15" i="5"/>
  <c r="B14" i="5"/>
  <c r="A32" i="5" s="1"/>
  <c r="G14" i="5" l="1"/>
  <c r="L6" i="5"/>
  <c r="L5" i="5"/>
  <c r="N5" i="5" s="1"/>
  <c r="AC15" i="16"/>
  <c r="Q15" i="16"/>
  <c r="AD15" i="16" s="1"/>
  <c r="Q12" i="16"/>
  <c r="L7" i="5" l="1"/>
  <c r="N7" i="5" s="1"/>
  <c r="A30" i="18"/>
  <c r="B30" i="18"/>
  <c r="C30" i="18"/>
  <c r="D30" i="18"/>
  <c r="E30" i="18"/>
  <c r="F30" i="18"/>
  <c r="G30" i="18"/>
  <c r="M5" i="5" l="1"/>
  <c r="E6" i="2"/>
  <c r="E7" i="2"/>
  <c r="E8" i="2"/>
  <c r="E13" i="2"/>
  <c r="E14" i="2"/>
  <c r="E15" i="2"/>
  <c r="E4" i="2"/>
  <c r="E10" i="2"/>
  <c r="A1" i="23"/>
  <c r="F12" i="2" l="1"/>
  <c r="D55" i="2"/>
  <c r="J14" i="2"/>
  <c r="K48" i="2" s="1"/>
  <c r="G14" i="2"/>
  <c r="F14" i="2"/>
  <c r="E9" i="2"/>
  <c r="J8" i="2"/>
  <c r="F43" i="2" s="1"/>
  <c r="G8" i="2"/>
  <c r="F8" i="2"/>
  <c r="J7" i="2"/>
  <c r="E42" i="2" s="1"/>
  <c r="G7" i="2"/>
  <c r="F7" i="2"/>
  <c r="J6" i="2"/>
  <c r="H45" i="2" s="1"/>
  <c r="G6" i="2"/>
  <c r="F6" i="2"/>
  <c r="E5" i="2"/>
  <c r="J5" i="2" s="1"/>
  <c r="I46" i="2" s="1"/>
  <c r="E12" i="2"/>
  <c r="C55" i="2" s="1"/>
  <c r="E16" i="2"/>
  <c r="E11" i="2"/>
  <c r="A31" i="18"/>
  <c r="A32" i="18"/>
  <c r="A33" i="18"/>
  <c r="A34" i="18"/>
  <c r="A35" i="18"/>
  <c r="C191" i="41" l="1"/>
  <c r="C151" i="41"/>
  <c r="C135" i="41"/>
  <c r="C143" i="41"/>
  <c r="C127" i="41"/>
  <c r="C103" i="41"/>
  <c r="C119" i="41"/>
  <c r="C183" i="41"/>
  <c r="C111" i="41"/>
  <c r="C175" i="41"/>
  <c r="C167" i="41"/>
  <c r="C159" i="41"/>
  <c r="C190" i="41"/>
  <c r="C150" i="41"/>
  <c r="C142" i="41"/>
  <c r="C134" i="41"/>
  <c r="C126" i="41"/>
  <c r="C118" i="41"/>
  <c r="C182" i="41"/>
  <c r="C110" i="41"/>
  <c r="C174" i="41"/>
  <c r="C102" i="41"/>
  <c r="C158" i="41"/>
  <c r="C166" i="41"/>
  <c r="C192" i="41"/>
  <c r="C152" i="41"/>
  <c r="C184" i="41"/>
  <c r="C112" i="41"/>
  <c r="C176" i="41"/>
  <c r="C104" i="41"/>
  <c r="C120" i="41"/>
  <c r="C168" i="41"/>
  <c r="C160" i="41"/>
  <c r="C144" i="41"/>
  <c r="C136" i="41"/>
  <c r="C128" i="41"/>
  <c r="C189" i="41"/>
  <c r="C149" i="41"/>
  <c r="C165" i="41"/>
  <c r="C157" i="41"/>
  <c r="C141" i="41"/>
  <c r="C133" i="41"/>
  <c r="C125" i="41"/>
  <c r="C109" i="41"/>
  <c r="C101" i="41"/>
  <c r="C173" i="41"/>
  <c r="C117" i="41"/>
  <c r="C181" i="41"/>
  <c r="C188" i="41"/>
  <c r="C148" i="41"/>
  <c r="C180" i="41"/>
  <c r="C108" i="41"/>
  <c r="C132" i="41"/>
  <c r="C172" i="41"/>
  <c r="C100" i="41"/>
  <c r="C140" i="41"/>
  <c r="C164" i="41"/>
  <c r="C116" i="41"/>
  <c r="C156" i="41"/>
  <c r="C124" i="41"/>
  <c r="C187" i="41"/>
  <c r="C147" i="41"/>
  <c r="C107" i="41"/>
  <c r="C155" i="41"/>
  <c r="C179" i="41"/>
  <c r="C115" i="41"/>
  <c r="C171" i="41"/>
  <c r="C99" i="41"/>
  <c r="I45" i="2"/>
  <c r="I43" i="2"/>
  <c r="I42" i="2"/>
  <c r="I48" i="2"/>
  <c r="F46" i="2"/>
  <c r="F45" i="2"/>
  <c r="F42" i="2"/>
  <c r="F48" i="2"/>
  <c r="J9" i="2"/>
  <c r="F9" i="2"/>
  <c r="G9" i="2"/>
  <c r="J12" i="2"/>
  <c r="G12" i="2"/>
  <c r="H46" i="2"/>
  <c r="H43" i="2"/>
  <c r="H42" i="2"/>
  <c r="H48" i="2"/>
  <c r="F11" i="2"/>
  <c r="G11" i="2"/>
  <c r="K45" i="2"/>
  <c r="K43" i="2"/>
  <c r="K42" i="2"/>
  <c r="K46" i="2"/>
  <c r="E46" i="2"/>
  <c r="E45" i="2"/>
  <c r="E43" i="2"/>
  <c r="E48" i="2"/>
  <c r="D41" i="2" l="1"/>
  <c r="D43" i="2" s="1"/>
  <c r="E55" i="2"/>
  <c r="G44" i="2"/>
  <c r="J10" i="2"/>
  <c r="C40" i="2" s="1"/>
  <c r="H12" i="2"/>
  <c r="H41" i="2"/>
  <c r="I41" i="2"/>
  <c r="H446" i="19"/>
  <c r="H445" i="19"/>
  <c r="H444" i="19"/>
  <c r="H443" i="19"/>
  <c r="H442" i="19"/>
  <c r="H441" i="19"/>
  <c r="H440" i="19"/>
  <c r="H439" i="19"/>
  <c r="H438" i="19"/>
  <c r="H437" i="19"/>
  <c r="H436" i="19"/>
  <c r="H435" i="19"/>
  <c r="H434" i="19"/>
  <c r="H433" i="19"/>
  <c r="H432" i="19"/>
  <c r="H431" i="19"/>
  <c r="H430" i="19"/>
  <c r="H429" i="19"/>
  <c r="H428" i="19"/>
  <c r="H427" i="19"/>
  <c r="H426" i="19"/>
  <c r="H425" i="19"/>
  <c r="H424" i="19"/>
  <c r="H423" i="19"/>
  <c r="H422" i="19"/>
  <c r="H421" i="19"/>
  <c r="H420" i="19"/>
  <c r="H419" i="19"/>
  <c r="H418" i="19"/>
  <c r="H417" i="19"/>
  <c r="H416" i="19"/>
  <c r="H415" i="19"/>
  <c r="H414" i="19"/>
  <c r="H413" i="19"/>
  <c r="H412" i="19"/>
  <c r="H411" i="19"/>
  <c r="H410" i="19"/>
  <c r="H409" i="19"/>
  <c r="H408" i="19"/>
  <c r="H407" i="19"/>
  <c r="H406" i="19"/>
  <c r="H405" i="19"/>
  <c r="H404" i="19"/>
  <c r="H403" i="19"/>
  <c r="H402" i="19"/>
  <c r="H401" i="19"/>
  <c r="H400" i="19"/>
  <c r="H399" i="19"/>
  <c r="H398" i="19"/>
  <c r="H397" i="19"/>
  <c r="H396" i="19"/>
  <c r="H395" i="19"/>
  <c r="H394" i="19"/>
  <c r="H393" i="19"/>
  <c r="H392" i="19"/>
  <c r="H391" i="19"/>
  <c r="H390" i="19"/>
  <c r="H389" i="19"/>
  <c r="H388" i="19"/>
  <c r="H387" i="19"/>
  <c r="H386" i="19"/>
  <c r="H385" i="19"/>
  <c r="H384" i="19"/>
  <c r="H383" i="19"/>
  <c r="H382" i="19"/>
  <c r="H381" i="19"/>
  <c r="H380" i="19"/>
  <c r="H379" i="19"/>
  <c r="H378" i="19"/>
  <c r="H377" i="19"/>
  <c r="H376" i="19"/>
  <c r="H375" i="19"/>
  <c r="H374" i="19"/>
  <c r="H373" i="19"/>
  <c r="H372" i="19"/>
  <c r="H371" i="19"/>
  <c r="H370" i="19"/>
  <c r="H369" i="19"/>
  <c r="H368" i="19"/>
  <c r="H367" i="19"/>
  <c r="H366" i="19"/>
  <c r="H365" i="19"/>
  <c r="H364" i="19"/>
  <c r="H363" i="19"/>
  <c r="H362" i="19"/>
  <c r="H361" i="19"/>
  <c r="H360" i="19"/>
  <c r="H359" i="19"/>
  <c r="H358" i="19"/>
  <c r="H357" i="19"/>
  <c r="H356" i="19"/>
  <c r="H355" i="19"/>
  <c r="H354" i="19"/>
  <c r="H353" i="19"/>
  <c r="H352" i="19"/>
  <c r="H351" i="19"/>
  <c r="H350" i="19"/>
  <c r="H349" i="19"/>
  <c r="H348" i="19"/>
  <c r="H347" i="19"/>
  <c r="H346" i="19"/>
  <c r="H345" i="19"/>
  <c r="H344" i="19"/>
  <c r="H343" i="19"/>
  <c r="H342" i="19"/>
  <c r="H341" i="19"/>
  <c r="H340" i="19"/>
  <c r="H339" i="19"/>
  <c r="H338" i="19"/>
  <c r="H337" i="19"/>
  <c r="H336" i="19"/>
  <c r="H335" i="19"/>
  <c r="H334" i="19"/>
  <c r="H333" i="19"/>
  <c r="H332" i="19"/>
  <c r="H331" i="19"/>
  <c r="H330" i="19"/>
  <c r="H329" i="19"/>
  <c r="H328" i="19"/>
  <c r="H327" i="19"/>
  <c r="H326" i="19"/>
  <c r="H325" i="19"/>
  <c r="H324" i="19"/>
  <c r="H323" i="19"/>
  <c r="H322" i="19"/>
  <c r="H321" i="19"/>
  <c r="H320" i="19"/>
  <c r="H319" i="19"/>
  <c r="H318" i="19"/>
  <c r="H317" i="19"/>
  <c r="H316" i="19"/>
  <c r="H315" i="19"/>
  <c r="H314" i="19"/>
  <c r="H313" i="19"/>
  <c r="H312" i="19"/>
  <c r="H311" i="19"/>
  <c r="H310" i="19"/>
  <c r="H309" i="19"/>
  <c r="H308" i="19"/>
  <c r="H307" i="19"/>
  <c r="H306" i="19"/>
  <c r="H305" i="19"/>
  <c r="H304" i="19"/>
  <c r="H303" i="19"/>
  <c r="H302" i="19"/>
  <c r="H301" i="19"/>
  <c r="H300" i="19"/>
  <c r="H299" i="19"/>
  <c r="H298" i="19"/>
  <c r="H297" i="19"/>
  <c r="H296" i="19"/>
  <c r="H295" i="19"/>
  <c r="H294" i="19"/>
  <c r="H293" i="19"/>
  <c r="H292" i="19"/>
  <c r="H291" i="19"/>
  <c r="H290" i="19"/>
  <c r="H289" i="19"/>
  <c r="H288" i="19"/>
  <c r="H287" i="19"/>
  <c r="H286" i="19"/>
  <c r="H285" i="19"/>
  <c r="H284" i="19"/>
  <c r="H283" i="19"/>
  <c r="H282" i="19"/>
  <c r="H281" i="19"/>
  <c r="H280" i="19"/>
  <c r="H279" i="19"/>
  <c r="H278" i="19"/>
  <c r="H277" i="19"/>
  <c r="H276" i="19"/>
  <c r="H275" i="19"/>
  <c r="H274" i="19"/>
  <c r="H273" i="19"/>
  <c r="H272" i="19"/>
  <c r="H271" i="19"/>
  <c r="H270" i="19"/>
  <c r="H269" i="19"/>
  <c r="H268" i="19"/>
  <c r="H267" i="19"/>
  <c r="H266" i="19"/>
  <c r="H265" i="19"/>
  <c r="H264" i="19"/>
  <c r="H263" i="19"/>
  <c r="H262" i="19"/>
  <c r="H261" i="19"/>
  <c r="H260" i="19"/>
  <c r="H259" i="19"/>
  <c r="H258" i="19"/>
  <c r="H257" i="19"/>
  <c r="H256" i="19"/>
  <c r="H255" i="19"/>
  <c r="H254" i="19"/>
  <c r="H253" i="19"/>
  <c r="H252" i="19"/>
  <c r="H251" i="19"/>
  <c r="H250" i="19"/>
  <c r="H249" i="19"/>
  <c r="H248" i="19"/>
  <c r="H247" i="19"/>
  <c r="H246" i="19"/>
  <c r="H245" i="19"/>
  <c r="H244" i="19"/>
  <c r="H243" i="19"/>
  <c r="H242" i="19"/>
  <c r="H241" i="19"/>
  <c r="H240" i="19"/>
  <c r="H239" i="19"/>
  <c r="H238" i="19"/>
  <c r="H237" i="19"/>
  <c r="H236" i="19"/>
  <c r="H235" i="19"/>
  <c r="H234" i="19"/>
  <c r="H233" i="19"/>
  <c r="H232" i="19"/>
  <c r="H231" i="19"/>
  <c r="H230" i="19"/>
  <c r="H229" i="19"/>
  <c r="H228" i="19"/>
  <c r="H227" i="19"/>
  <c r="H226" i="19"/>
  <c r="H225" i="19"/>
  <c r="H224" i="19"/>
  <c r="H223" i="19"/>
  <c r="H222" i="19"/>
  <c r="H221" i="19"/>
  <c r="H220" i="19"/>
  <c r="H219" i="19"/>
  <c r="H218" i="19"/>
  <c r="H217" i="19"/>
  <c r="H216" i="19"/>
  <c r="H215" i="19"/>
  <c r="H214" i="19"/>
  <c r="H213" i="19"/>
  <c r="H212" i="19"/>
  <c r="H211" i="19"/>
  <c r="H210" i="19"/>
  <c r="H209" i="19"/>
  <c r="H208" i="19"/>
  <c r="H207" i="19"/>
  <c r="H206" i="19"/>
  <c r="H205" i="19"/>
  <c r="H204" i="19"/>
  <c r="H203" i="19"/>
  <c r="H202" i="19"/>
  <c r="H201" i="19"/>
  <c r="H200" i="19"/>
  <c r="H199" i="19"/>
  <c r="H198" i="19"/>
  <c r="H197" i="19"/>
  <c r="H196" i="19"/>
  <c r="H195" i="19"/>
  <c r="H194" i="19"/>
  <c r="H193" i="19"/>
  <c r="H192" i="19"/>
  <c r="H191" i="19"/>
  <c r="H190" i="19"/>
  <c r="H189" i="19"/>
  <c r="H188" i="19"/>
  <c r="H187" i="19"/>
  <c r="H186" i="19"/>
  <c r="H185" i="19"/>
  <c r="H184" i="19"/>
  <c r="H183" i="19"/>
  <c r="H182" i="19"/>
  <c r="H181" i="19"/>
  <c r="H180" i="19"/>
  <c r="H179" i="19"/>
  <c r="H178" i="19"/>
  <c r="H177" i="19"/>
  <c r="H176" i="19"/>
  <c r="H175" i="19"/>
  <c r="H174" i="19"/>
  <c r="H173" i="19"/>
  <c r="H172" i="19"/>
  <c r="H171" i="19"/>
  <c r="H170" i="19"/>
  <c r="H169" i="19"/>
  <c r="H168" i="19"/>
  <c r="H167" i="19"/>
  <c r="H166" i="19"/>
  <c r="H165" i="19"/>
  <c r="H164" i="19"/>
  <c r="H163" i="19"/>
  <c r="H162" i="19"/>
  <c r="H161" i="19"/>
  <c r="H160" i="19"/>
  <c r="H159" i="19"/>
  <c r="H158" i="19"/>
  <c r="H157" i="19"/>
  <c r="H156" i="19"/>
  <c r="H155" i="19"/>
  <c r="H154" i="19"/>
  <c r="H153" i="19"/>
  <c r="H152" i="19"/>
  <c r="H151" i="19"/>
  <c r="H150" i="19"/>
  <c r="H149" i="19"/>
  <c r="H148" i="19"/>
  <c r="H147" i="19"/>
  <c r="H146" i="19"/>
  <c r="H145" i="19"/>
  <c r="H144" i="19"/>
  <c r="H143" i="19"/>
  <c r="H142" i="19"/>
  <c r="H141" i="19"/>
  <c r="H140" i="19"/>
  <c r="H139" i="19"/>
  <c r="H138" i="19"/>
  <c r="H137" i="19"/>
  <c r="H136" i="19"/>
  <c r="H135" i="19"/>
  <c r="H134" i="19"/>
  <c r="H133" i="19"/>
  <c r="H132" i="19"/>
  <c r="H131" i="19"/>
  <c r="H130" i="19"/>
  <c r="H129" i="19"/>
  <c r="H128" i="19"/>
  <c r="H127" i="19"/>
  <c r="H126" i="19"/>
  <c r="H125" i="19"/>
  <c r="H124" i="19"/>
  <c r="H123" i="19"/>
  <c r="H122" i="19"/>
  <c r="H121" i="19"/>
  <c r="H120" i="19"/>
  <c r="H119" i="19"/>
  <c r="H118" i="19"/>
  <c r="H117" i="19"/>
  <c r="H116" i="19"/>
  <c r="H115" i="19"/>
  <c r="H114" i="19"/>
  <c r="H113" i="19"/>
  <c r="H112" i="19"/>
  <c r="H111" i="19"/>
  <c r="H110" i="19"/>
  <c r="H109" i="19"/>
  <c r="H108" i="19"/>
  <c r="H107" i="19"/>
  <c r="H106" i="19"/>
  <c r="H105" i="19"/>
  <c r="H104" i="19"/>
  <c r="H103" i="19"/>
  <c r="H102" i="19"/>
  <c r="H101" i="19"/>
  <c r="H100" i="19"/>
  <c r="H99" i="19"/>
  <c r="H98" i="19"/>
  <c r="H97" i="19"/>
  <c r="H96" i="19"/>
  <c r="H95" i="19"/>
  <c r="H94" i="19"/>
  <c r="H93" i="19"/>
  <c r="H92" i="19"/>
  <c r="H91" i="19"/>
  <c r="H90" i="19"/>
  <c r="H89" i="19"/>
  <c r="H88" i="19"/>
  <c r="H87" i="19"/>
  <c r="H86" i="19"/>
  <c r="H85" i="19"/>
  <c r="H84" i="19"/>
  <c r="H83" i="19"/>
  <c r="H82" i="19"/>
  <c r="H81" i="19"/>
  <c r="H80" i="19"/>
  <c r="H79" i="19"/>
  <c r="H78" i="19"/>
  <c r="H77" i="19"/>
  <c r="H76" i="19"/>
  <c r="H75" i="19"/>
  <c r="H74" i="19"/>
  <c r="H73" i="19"/>
  <c r="H72" i="19"/>
  <c r="H71" i="19"/>
  <c r="H70" i="19"/>
  <c r="H69" i="19"/>
  <c r="H68" i="19"/>
  <c r="H67" i="19"/>
  <c r="H66" i="19"/>
  <c r="H65" i="19"/>
  <c r="H64" i="19"/>
  <c r="H63" i="19"/>
  <c r="H62" i="19"/>
  <c r="H61" i="19"/>
  <c r="H60" i="19"/>
  <c r="H59" i="19"/>
  <c r="H58" i="19"/>
  <c r="H57" i="19"/>
  <c r="H56" i="19"/>
  <c r="H55" i="19"/>
  <c r="H54" i="19"/>
  <c r="H53" i="19"/>
  <c r="H52" i="19"/>
  <c r="H51" i="19"/>
  <c r="H50" i="19"/>
  <c r="H49" i="19"/>
  <c r="H48" i="19"/>
  <c r="H47" i="19"/>
  <c r="H46" i="19"/>
  <c r="H45" i="19"/>
  <c r="H44" i="19"/>
  <c r="H43" i="19"/>
  <c r="H42" i="19"/>
  <c r="H41" i="19"/>
  <c r="H40" i="19"/>
  <c r="H39" i="19"/>
  <c r="H38" i="19"/>
  <c r="H37" i="19"/>
  <c r="H36" i="19"/>
  <c r="H35" i="19"/>
  <c r="H34" i="19"/>
  <c r="H33" i="19"/>
  <c r="H32" i="19"/>
  <c r="H31" i="19"/>
  <c r="H30" i="19"/>
  <c r="H29" i="19"/>
  <c r="H28" i="19"/>
  <c r="H27" i="19"/>
  <c r="H26" i="19"/>
  <c r="H25" i="19"/>
  <c r="H24" i="19"/>
  <c r="H23" i="19"/>
  <c r="H22" i="19"/>
  <c r="H21" i="19"/>
  <c r="H20" i="19"/>
  <c r="H19" i="19"/>
  <c r="H18" i="19"/>
  <c r="H17" i="19"/>
  <c r="H16" i="19"/>
  <c r="H15" i="19"/>
  <c r="H14" i="19"/>
  <c r="H13" i="19"/>
  <c r="H12" i="19"/>
  <c r="H11" i="19"/>
  <c r="H10" i="19"/>
  <c r="H9" i="19"/>
  <c r="H8" i="19"/>
  <c r="H7" i="19"/>
  <c r="H6" i="19"/>
  <c r="H5" i="19"/>
  <c r="H4" i="19"/>
  <c r="H3" i="19"/>
  <c r="H2" i="19"/>
  <c r="C186" i="41" l="1"/>
  <c r="C146" i="41"/>
  <c r="C122" i="41"/>
  <c r="C106" i="41"/>
  <c r="C162" i="41"/>
  <c r="C114" i="41"/>
  <c r="C138" i="41"/>
  <c r="C178" i="41"/>
  <c r="C154" i="41"/>
  <c r="C170" i="41"/>
  <c r="C98" i="41"/>
  <c r="C130" i="41"/>
  <c r="D46" i="2"/>
  <c r="F41" i="2"/>
  <c r="D48" i="2"/>
  <c r="D42" i="2"/>
  <c r="D45" i="2"/>
  <c r="C163" i="41"/>
  <c r="C139" i="41"/>
  <c r="C131" i="41"/>
  <c r="C123" i="41"/>
  <c r="E41" i="2"/>
  <c r="K41" i="2"/>
  <c r="C46" i="2"/>
  <c r="C45" i="2"/>
  <c r="C44" i="2"/>
  <c r="C43" i="2"/>
  <c r="C42" i="2"/>
  <c r="C41" i="2"/>
  <c r="C48" i="2"/>
  <c r="K40" i="2"/>
  <c r="E40" i="2"/>
  <c r="F40" i="2"/>
  <c r="I40" i="2"/>
  <c r="H40" i="2"/>
  <c r="G46" i="2"/>
  <c r="G45" i="2"/>
  <c r="G43" i="2"/>
  <c r="G42" i="2"/>
  <c r="G41" i="2"/>
  <c r="G40" i="2"/>
  <c r="G48" i="2"/>
  <c r="K44" i="2"/>
  <c r="E44" i="2"/>
  <c r="I44" i="2"/>
  <c r="H44" i="2"/>
  <c r="F44" i="2"/>
  <c r="D40" i="2"/>
  <c r="D44" i="2"/>
  <c r="G25" i="18" l="1"/>
  <c r="F12" i="18"/>
  <c r="B12" i="18"/>
  <c r="F24" i="18"/>
  <c r="E23" i="18"/>
  <c r="J12" i="18" l="1"/>
  <c r="K8" i="18"/>
  <c r="K7" i="18"/>
  <c r="J12" i="35"/>
  <c r="K6" i="18"/>
  <c r="M6" i="18" s="1"/>
  <c r="G12" i="18"/>
  <c r="C12" i="18"/>
  <c r="B25" i="18" l="1"/>
  <c r="G20" i="18"/>
  <c r="F20" i="18"/>
  <c r="E20" i="18"/>
  <c r="B23" i="18"/>
  <c r="B24" i="18"/>
  <c r="M8" i="18"/>
  <c r="B22" i="18" s="1"/>
  <c r="M7" i="18"/>
  <c r="C21" i="18" s="1"/>
  <c r="K12" i="18"/>
  <c r="M12" i="18" s="1"/>
  <c r="B20" i="18"/>
  <c r="C14" i="18"/>
  <c r="E36" i="4"/>
  <c r="D35" i="4"/>
  <c r="D36" i="4"/>
  <c r="D34" i="4"/>
  <c r="C36" i="4"/>
  <c r="C34" i="4"/>
  <c r="E34" i="4" s="1"/>
  <c r="C35" i="4"/>
  <c r="E35" i="4" s="1"/>
  <c r="F23" i="4"/>
  <c r="F22" i="4"/>
  <c r="F21" i="4"/>
  <c r="F18" i="4"/>
  <c r="F17" i="4"/>
  <c r="F16" i="4"/>
  <c r="C47" i="18" l="1"/>
  <c r="C46" i="18"/>
  <c r="B47" i="18"/>
  <c r="B46" i="18"/>
  <c r="B42" i="18"/>
  <c r="C42" i="18" s="1"/>
  <c r="D22" i="18"/>
  <c r="L13" i="18"/>
  <c r="J13" i="18"/>
  <c r="K13" i="18"/>
  <c r="C25" i="18"/>
  <c r="C22" i="18"/>
  <c r="G21" i="18"/>
  <c r="C23" i="18"/>
  <c r="F21" i="18"/>
  <c r="C20" i="18"/>
  <c r="C24" i="18"/>
  <c r="E21" i="18"/>
  <c r="D24" i="18"/>
  <c r="F22" i="18"/>
  <c r="E22" i="18"/>
  <c r="D25" i="18"/>
  <c r="D21" i="18"/>
  <c r="D20" i="18"/>
  <c r="D23" i="18"/>
  <c r="G22" i="18"/>
  <c r="B21" i="18"/>
  <c r="C43" i="18"/>
  <c r="B43" i="18" s="1"/>
  <c r="F20" i="4"/>
  <c r="D60" i="18"/>
  <c r="L15" i="18"/>
  <c r="D18" i="4"/>
  <c r="D17" i="4"/>
  <c r="D16" i="4"/>
  <c r="C18" i="4"/>
  <c r="C16" i="4"/>
  <c r="C17" i="4"/>
  <c r="B18" i="4"/>
  <c r="B17" i="4"/>
  <c r="B16" i="4"/>
  <c r="B25" i="16"/>
  <c r="B23" i="16" s="1"/>
  <c r="D23" i="16" s="1"/>
  <c r="F23" i="16" s="1"/>
  <c r="B24" i="16"/>
  <c r="F23" i="17"/>
  <c r="E23" i="17"/>
  <c r="F22" i="17"/>
  <c r="E22" i="17"/>
  <c r="F12" i="17"/>
  <c r="E12" i="17"/>
  <c r="C12" i="17"/>
  <c r="B12" i="17"/>
  <c r="D11" i="17"/>
  <c r="K10" i="17"/>
  <c r="D10" i="17"/>
  <c r="K9" i="17"/>
  <c r="D9" i="17"/>
  <c r="G8" i="17"/>
  <c r="D8" i="17"/>
  <c r="G7" i="17"/>
  <c r="J7" i="17" s="1"/>
  <c r="C22" i="17" s="1"/>
  <c r="D7" i="17"/>
  <c r="G6" i="17"/>
  <c r="D6" i="17"/>
  <c r="J6" i="17" s="1"/>
  <c r="D42" i="18" l="1"/>
  <c r="D46" i="18"/>
  <c r="E46" i="18"/>
  <c r="E47" i="18"/>
  <c r="E42" i="18"/>
  <c r="D47" i="18"/>
  <c r="F43" i="18"/>
  <c r="G43" i="18"/>
  <c r="F42" i="18"/>
  <c r="G42" i="18"/>
  <c r="D44" i="18"/>
  <c r="E45" i="18"/>
  <c r="C45" i="18" s="1"/>
  <c r="M13" i="18"/>
  <c r="B44" i="18"/>
  <c r="C92" i="41"/>
  <c r="C76" i="41"/>
  <c r="C12" i="41"/>
  <c r="C20" i="41"/>
  <c r="C68" i="41"/>
  <c r="C36" i="41"/>
  <c r="C4" i="41"/>
  <c r="C52" i="41"/>
  <c r="C60" i="41"/>
  <c r="C28" i="41"/>
  <c r="C84" i="41"/>
  <c r="C91" i="41"/>
  <c r="C75" i="41"/>
  <c r="C43" i="41"/>
  <c r="C11" i="41"/>
  <c r="C51" i="41"/>
  <c r="C3" i="41"/>
  <c r="C19" i="41"/>
  <c r="C67" i="41"/>
  <c r="C35" i="41"/>
  <c r="C59" i="41"/>
  <c r="C27" i="41"/>
  <c r="C83" i="41"/>
  <c r="D43" i="18"/>
  <c r="E43" i="18"/>
  <c r="G12" i="17"/>
  <c r="D59" i="18"/>
  <c r="C44" i="18"/>
  <c r="E44" i="18"/>
  <c r="B23" i="17"/>
  <c r="F19" i="17"/>
  <c r="B19" i="17"/>
  <c r="B21" i="17"/>
  <c r="B20" i="17"/>
  <c r="B22" i="17"/>
  <c r="E19" i="17"/>
  <c r="J12" i="17"/>
  <c r="K12" i="17" s="1"/>
  <c r="K6" i="17"/>
  <c r="L9" i="17"/>
  <c r="F20" i="17"/>
  <c r="C23" i="17"/>
  <c r="K7" i="17"/>
  <c r="J8" i="17"/>
  <c r="C20" i="17"/>
  <c r="D12" i="17"/>
  <c r="C21" i="17"/>
  <c r="C19" i="17"/>
  <c r="E20" i="17"/>
  <c r="D45" i="18" l="1"/>
  <c r="B45" i="18"/>
  <c r="F45" i="18"/>
  <c r="G45" i="18"/>
  <c r="F44" i="18"/>
  <c r="G44" i="18"/>
  <c r="C44" i="41"/>
  <c r="L11" i="17"/>
  <c r="D14" i="17"/>
  <c r="L10" i="17"/>
  <c r="L12" i="17"/>
  <c r="L7" i="17"/>
  <c r="L6" i="17"/>
  <c r="D21" i="17"/>
  <c r="D19" i="17"/>
  <c r="D22" i="17"/>
  <c r="D20" i="17"/>
  <c r="K8" i="17"/>
  <c r="D23" i="17"/>
  <c r="F21" i="17"/>
  <c r="E21" i="17"/>
  <c r="L8" i="17"/>
  <c r="L15" i="17" l="1"/>
  <c r="AF14" i="16" l="1"/>
  <c r="AF12" i="16"/>
  <c r="AG12" i="16" s="1"/>
  <c r="AC14" i="16"/>
  <c r="AC12" i="16"/>
  <c r="AD12" i="16"/>
  <c r="Q14" i="16"/>
  <c r="AD14" i="16" s="1"/>
  <c r="AH14" i="16" s="1"/>
  <c r="AF15" i="16" l="1"/>
  <c r="AG15" i="16" s="1"/>
  <c r="AG14" i="16"/>
  <c r="D70" i="2"/>
  <c r="D71" i="2"/>
  <c r="D72" i="2"/>
  <c r="D73" i="2"/>
  <c r="D74" i="2"/>
  <c r="D75" i="2"/>
  <c r="D76" i="2"/>
  <c r="D77" i="2"/>
  <c r="D78" i="2"/>
  <c r="D69" i="2"/>
  <c r="A26" i="5" l="1"/>
  <c r="A27" i="5"/>
  <c r="D47" i="5" s="1"/>
  <c r="B29" i="8"/>
  <c r="F38" i="8"/>
  <c r="F37" i="8" s="1"/>
  <c r="G37" i="8" s="1"/>
  <c r="E29" i="8" s="1"/>
  <c r="F29" i="8" s="1"/>
  <c r="G39" i="8"/>
  <c r="H36" i="8"/>
  <c r="E22" i="8" l="1"/>
  <c r="F22" i="8" s="1"/>
  <c r="C47" i="5"/>
  <c r="C48" i="5"/>
  <c r="D53" i="5" s="1"/>
  <c r="E27" i="8"/>
  <c r="F27" i="8" s="1"/>
  <c r="E23" i="8"/>
  <c r="F23" i="8" s="1"/>
  <c r="E28" i="8"/>
  <c r="E25" i="8"/>
  <c r="F25" i="8" s="1"/>
  <c r="E21" i="8"/>
  <c r="F21" i="8" s="1"/>
  <c r="E24" i="8"/>
  <c r="F24" i="8" s="1"/>
  <c r="E26" i="8"/>
  <c r="F26" i="8" s="1"/>
  <c r="D41" i="14"/>
  <c r="C40" i="14"/>
  <c r="D20" i="14"/>
  <c r="B41" i="14"/>
  <c r="K10" i="14"/>
  <c r="K11" i="14"/>
  <c r="K12" i="14"/>
  <c r="K13" i="14"/>
  <c r="K14" i="14"/>
  <c r="K15" i="14"/>
  <c r="K16" i="14"/>
  <c r="K9" i="14"/>
  <c r="I10" i="14"/>
  <c r="I11" i="14"/>
  <c r="I12" i="14"/>
  <c r="I13" i="14"/>
  <c r="I14" i="14"/>
  <c r="I15" i="14"/>
  <c r="I16" i="14"/>
  <c r="I9" i="14"/>
  <c r="H17" i="14"/>
  <c r="G17" i="14"/>
  <c r="F17" i="14"/>
  <c r="C275" i="41" l="1"/>
  <c r="C203" i="41"/>
  <c r="J17" i="14"/>
  <c r="K17" i="14" s="1"/>
  <c r="I52" i="8"/>
  <c r="I53" i="8"/>
  <c r="J52" i="8"/>
  <c r="B48" i="5"/>
  <c r="C53" i="5" s="1"/>
  <c r="B47" i="5"/>
  <c r="E30" i="8"/>
  <c r="C41" i="14"/>
  <c r="I17" i="14"/>
  <c r="J18" i="14"/>
  <c r="B30" i="1"/>
  <c r="D30" i="1" s="1"/>
  <c r="F30" i="1" s="1"/>
  <c r="B31" i="1"/>
  <c r="B32" i="1"/>
  <c r="D33" i="1"/>
  <c r="C14" i="13"/>
  <c r="B14" i="13"/>
  <c r="G13" i="13"/>
  <c r="F13" i="13"/>
  <c r="E13" i="13"/>
  <c r="C13" i="13"/>
  <c r="B13" i="13"/>
  <c r="L13" i="13" s="1"/>
  <c r="L11" i="13"/>
  <c r="L10" i="13"/>
  <c r="J10" i="13"/>
  <c r="I10" i="13"/>
  <c r="H10" i="13"/>
  <c r="J9" i="13"/>
  <c r="I9" i="13"/>
  <c r="H9" i="13"/>
  <c r="L8" i="13"/>
  <c r="J8" i="13"/>
  <c r="J13" i="13" s="1"/>
  <c r="I8" i="13"/>
  <c r="H8" i="13"/>
  <c r="L7" i="13"/>
  <c r="K7" i="13"/>
  <c r="J7" i="13"/>
  <c r="I7" i="13"/>
  <c r="H7" i="13"/>
  <c r="L6" i="13"/>
  <c r="J6" i="13"/>
  <c r="I6" i="13"/>
  <c r="H6" i="13"/>
  <c r="C235" i="41" l="1"/>
  <c r="C259" i="41"/>
  <c r="C195" i="41"/>
  <c r="V78" i="8"/>
  <c r="I13" i="13"/>
  <c r="K10" i="13"/>
  <c r="H13" i="13"/>
  <c r="K13" i="13" s="1"/>
  <c r="F22" i="13"/>
  <c r="F19" i="13"/>
  <c r="K9" i="13"/>
  <c r="F21" i="13" s="1"/>
  <c r="C22" i="13"/>
  <c r="K8" i="13"/>
  <c r="F20" i="13" s="1"/>
  <c r="C19" i="13"/>
  <c r="K6" i="13"/>
  <c r="F18" i="13" s="1"/>
  <c r="L9" i="13"/>
  <c r="L14" i="13" s="1"/>
  <c r="V63" i="8" l="1"/>
  <c r="V71" i="8"/>
  <c r="C513" i="41" s="1"/>
  <c r="V62" i="8"/>
  <c r="C545" i="41" s="1"/>
  <c r="V70" i="8"/>
  <c r="C505" i="41" s="1"/>
  <c r="V61" i="8"/>
  <c r="V69" i="8"/>
  <c r="C561" i="41" s="1"/>
  <c r="V77" i="8"/>
  <c r="V64" i="8"/>
  <c r="V60" i="8"/>
  <c r="C537" i="41" s="1"/>
  <c r="V68" i="8"/>
  <c r="C553" i="41" s="1"/>
  <c r="V76" i="8"/>
  <c r="V59" i="8"/>
  <c r="V67" i="8"/>
  <c r="V75" i="8"/>
  <c r="C521" i="41" s="1"/>
  <c r="V58" i="8"/>
  <c r="C577" i="41" s="1"/>
  <c r="V66" i="8"/>
  <c r="C569" i="41" s="1"/>
  <c r="V74" i="8"/>
  <c r="C489" i="41" s="1"/>
  <c r="V72" i="8"/>
  <c r="V65" i="8"/>
  <c r="C497" i="41" s="1"/>
  <c r="V73" i="8"/>
  <c r="C529" i="41" s="1"/>
  <c r="D20" i="13"/>
  <c r="D19" i="13"/>
  <c r="D22" i="13"/>
  <c r="D18" i="13"/>
  <c r="D21" i="13"/>
  <c r="C21" i="13"/>
  <c r="E19" i="13"/>
  <c r="E22" i="13"/>
  <c r="E18" i="13"/>
  <c r="E21" i="13"/>
  <c r="E20" i="13"/>
  <c r="B22" i="13"/>
  <c r="B18" i="13"/>
  <c r="B21" i="13"/>
  <c r="B20" i="13"/>
  <c r="B19" i="13"/>
  <c r="C20" i="13"/>
  <c r="C18" i="13"/>
  <c r="C65" i="10" l="1"/>
  <c r="C66" i="10"/>
  <c r="C67" i="10"/>
  <c r="C68" i="10"/>
  <c r="C69" i="10"/>
  <c r="C64" i="10"/>
  <c r="B70" i="10"/>
  <c r="C70" i="10" s="1"/>
  <c r="F1" i="1" l="1"/>
  <c r="D3" i="10" l="1"/>
  <c r="F3" i="10" s="1"/>
  <c r="C4" i="10"/>
  <c r="C5" i="10"/>
  <c r="C6" i="10"/>
  <c r="C7" i="10"/>
  <c r="C8" i="10"/>
  <c r="C9" i="10"/>
  <c r="C10" i="10"/>
  <c r="C3" i="10"/>
  <c r="B11" i="10"/>
  <c r="C11" i="10" s="1"/>
  <c r="L17" i="14" l="1"/>
  <c r="N17" i="14" s="1"/>
  <c r="C11" i="8"/>
  <c r="C10" i="8"/>
  <c r="C9" i="8"/>
  <c r="H21" i="1"/>
  <c r="B21" i="1" s="1"/>
  <c r="D21" i="1" s="1"/>
  <c r="E21" i="1" s="1"/>
  <c r="H20" i="1"/>
  <c r="I20" i="1" s="1"/>
  <c r="J20" i="1" s="1"/>
  <c r="H19" i="1"/>
  <c r="I19" i="1" s="1"/>
  <c r="J19" i="1" s="1"/>
  <c r="B19" i="1"/>
  <c r="B20" i="1"/>
  <c r="B22" i="1"/>
  <c r="B23" i="1"/>
  <c r="B24" i="1"/>
  <c r="B18" i="1"/>
  <c r="F7" i="4"/>
  <c r="I21" i="1" l="1"/>
  <c r="J21" i="1" s="1"/>
  <c r="E18" i="4"/>
  <c r="E17" i="4"/>
  <c r="E16" i="4"/>
  <c r="F36" i="4" s="1"/>
  <c r="I36" i="4" s="1"/>
  <c r="A10" i="4"/>
  <c r="F15" i="3"/>
  <c r="G16" i="4" l="1"/>
  <c r="H16" i="4" s="1"/>
  <c r="I16" i="4"/>
  <c r="I17" i="4"/>
  <c r="G17" i="4"/>
  <c r="H17" i="4" s="1"/>
  <c r="J17" i="4" s="1"/>
  <c r="I18" i="4"/>
  <c r="G18" i="4"/>
  <c r="H18" i="4" s="1"/>
  <c r="J18" i="4" s="1"/>
  <c r="D20" i="1"/>
  <c r="E20" i="1" s="1"/>
  <c r="D22" i="1"/>
  <c r="E22" i="1" s="1"/>
  <c r="D23" i="1"/>
  <c r="E23" i="1" s="1"/>
  <c r="D24" i="1"/>
  <c r="E24" i="1" s="1"/>
  <c r="D19" i="1"/>
  <c r="E19" i="1" s="1"/>
  <c r="D18" i="1"/>
  <c r="E18" i="1" s="1"/>
  <c r="D10" i="8"/>
  <c r="D11" i="8"/>
  <c r="D9" i="8"/>
  <c r="F14" i="7"/>
  <c r="F13" i="7"/>
  <c r="D14" i="7"/>
  <c r="D13" i="7"/>
  <c r="B21" i="6"/>
  <c r="B19" i="6"/>
  <c r="B16" i="6"/>
  <c r="B12" i="6"/>
  <c r="G5" i="1"/>
  <c r="G6" i="1"/>
  <c r="G7" i="1"/>
  <c r="G8" i="1"/>
  <c r="G9" i="1"/>
  <c r="G4" i="1"/>
  <c r="F20" i="6" l="1"/>
  <c r="F15" i="7"/>
  <c r="J15" i="7" s="1"/>
  <c r="J16" i="4"/>
  <c r="H36" i="4"/>
  <c r="H34" i="4"/>
  <c r="H35" i="4"/>
  <c r="B20" i="6"/>
  <c r="H5" i="1"/>
  <c r="H6" i="1"/>
  <c r="H7" i="1"/>
  <c r="H8" i="1"/>
  <c r="I8" i="1" s="1"/>
  <c r="H9" i="1"/>
  <c r="H4" i="1"/>
  <c r="E98" i="7" l="1"/>
  <c r="E90" i="7"/>
  <c r="C739" i="41" s="1"/>
  <c r="E82" i="7"/>
  <c r="C723" i="41" s="1"/>
  <c r="E95" i="7"/>
  <c r="C715" i="41" s="1"/>
  <c r="E86" i="7"/>
  <c r="E99" i="7"/>
  <c r="E97" i="7"/>
  <c r="C707" i="41" s="1"/>
  <c r="E89" i="7"/>
  <c r="E81" i="7"/>
  <c r="E87" i="7"/>
  <c r="C683" i="41" s="1"/>
  <c r="E94" i="7"/>
  <c r="C27" i="7"/>
  <c r="C674" i="41" s="1"/>
  <c r="C762" i="41" s="1"/>
  <c r="E96" i="7"/>
  <c r="C675" i="41" s="1"/>
  <c r="E88" i="7"/>
  <c r="C755" i="41" s="1"/>
  <c r="E80" i="7"/>
  <c r="C763" i="41" s="1"/>
  <c r="H27" i="7"/>
  <c r="C680" i="41" s="1"/>
  <c r="C768" i="41" s="1"/>
  <c r="G27" i="7"/>
  <c r="C679" i="41" s="1"/>
  <c r="C767" i="41" s="1"/>
  <c r="E91" i="7"/>
  <c r="C747" i="41" s="1"/>
  <c r="E93" i="7"/>
  <c r="C699" i="41" s="1"/>
  <c r="E85" i="7"/>
  <c r="E27" i="7"/>
  <c r="C676" i="41" s="1"/>
  <c r="C764" i="41" s="1"/>
  <c r="E100" i="7"/>
  <c r="E92" i="7"/>
  <c r="C691" i="41" s="1"/>
  <c r="E84" i="7"/>
  <c r="C731" i="41" s="1"/>
  <c r="D27" i="7"/>
  <c r="F100" i="7" s="1"/>
  <c r="E83" i="7"/>
  <c r="G35" i="4"/>
  <c r="J35" i="4"/>
  <c r="F35" i="4"/>
  <c r="I35" i="4" s="1"/>
  <c r="J34" i="4"/>
  <c r="F34" i="4"/>
  <c r="I34" i="4" s="1"/>
  <c r="G34" i="4"/>
  <c r="G36" i="4"/>
  <c r="J36" i="4"/>
  <c r="I7" i="1"/>
  <c r="I4" i="1"/>
  <c r="I6" i="1"/>
  <c r="I9" i="1"/>
  <c r="I5" i="1"/>
  <c r="C29" i="8"/>
  <c r="C760" i="41" l="1"/>
  <c r="C712" i="41"/>
  <c r="C720" i="41"/>
  <c r="C728" i="41"/>
  <c r="C736" i="41"/>
  <c r="C744" i="41"/>
  <c r="C688" i="41"/>
  <c r="C752" i="41"/>
  <c r="C696" i="41"/>
  <c r="C704" i="41"/>
  <c r="C724" i="41"/>
  <c r="C692" i="41"/>
  <c r="C716" i="41"/>
  <c r="C732" i="41"/>
  <c r="C756" i="41"/>
  <c r="C740" i="41"/>
  <c r="C684" i="41"/>
  <c r="C748" i="41"/>
  <c r="C700" i="41"/>
  <c r="C708" i="41"/>
  <c r="C754" i="41"/>
  <c r="C722" i="41"/>
  <c r="C730" i="41"/>
  <c r="C738" i="41"/>
  <c r="C682" i="41"/>
  <c r="C746" i="41"/>
  <c r="C690" i="41"/>
  <c r="C698" i="41"/>
  <c r="C706" i="41"/>
  <c r="C714" i="41"/>
  <c r="C759" i="41"/>
  <c r="C703" i="41"/>
  <c r="C711" i="41"/>
  <c r="C719" i="41"/>
  <c r="C727" i="41"/>
  <c r="C735" i="41"/>
  <c r="C743" i="41"/>
  <c r="C695" i="41"/>
  <c r="C687" i="41"/>
  <c r="C751" i="41"/>
  <c r="B40" i="10"/>
  <c r="B55" i="10" s="1"/>
  <c r="B57" i="10"/>
  <c r="B36" i="10"/>
  <c r="B52" i="10" s="1"/>
  <c r="B44" i="10"/>
  <c r="B39" i="10"/>
  <c r="B54" i="10" s="1"/>
  <c r="B38" i="10"/>
  <c r="B53" i="10" s="1"/>
  <c r="B34" i="10"/>
  <c r="B56" i="10"/>
  <c r="B51" i="10"/>
  <c r="B59" i="18" l="1"/>
  <c r="J19" i="2"/>
  <c r="A31" i="9"/>
  <c r="A34" i="9" s="1"/>
  <c r="A35" i="9" s="1"/>
  <c r="L14" i="14"/>
  <c r="N14" i="14" s="1"/>
  <c r="M14" i="14"/>
  <c r="F38" i="14" s="1"/>
  <c r="E38" i="14"/>
  <c r="L10" i="14"/>
  <c r="N10" i="14" s="1"/>
  <c r="M10" i="14"/>
  <c r="F34" i="14" s="1"/>
  <c r="E34" i="14"/>
  <c r="L11" i="14"/>
  <c r="N11" i="14" s="1"/>
  <c r="M11" i="14"/>
  <c r="E35" i="14"/>
  <c r="M15" i="14"/>
  <c r="F39" i="14" s="1"/>
  <c r="L15" i="14"/>
  <c r="N15" i="14" s="1"/>
  <c r="E39" i="14"/>
  <c r="L12" i="14"/>
  <c r="N12" i="14" s="1"/>
  <c r="M12" i="14"/>
  <c r="F36" i="14" s="1"/>
  <c r="E36" i="14"/>
  <c r="B59" i="10"/>
  <c r="B58" i="18"/>
  <c r="B61" i="18" s="1"/>
  <c r="C58" i="18" s="1"/>
  <c r="J18" i="2"/>
  <c r="M9" i="14"/>
  <c r="F33" i="14" s="1"/>
  <c r="L9" i="14"/>
  <c r="N9" i="14" s="1"/>
  <c r="E33" i="14"/>
  <c r="L13" i="14"/>
  <c r="N13" i="14" s="1"/>
  <c r="M13" i="14"/>
  <c r="F37" i="14" s="1"/>
  <c r="E37" i="14"/>
  <c r="B60" i="10"/>
  <c r="B45" i="10"/>
  <c r="J17" i="10" s="1"/>
  <c r="F35" i="14" l="1"/>
  <c r="G35" i="14" s="1"/>
  <c r="C606" i="41"/>
  <c r="C662" i="41"/>
  <c r="C598" i="41"/>
  <c r="C622" i="41"/>
  <c r="C614" i="41"/>
  <c r="C654" i="41"/>
  <c r="C590" i="41"/>
  <c r="C646" i="41"/>
  <c r="C582" i="41"/>
  <c r="C638" i="41"/>
  <c r="C630" i="41"/>
  <c r="G37" i="14"/>
  <c r="G34" i="14"/>
  <c r="D48" i="14" s="1"/>
  <c r="G50" i="8"/>
  <c r="G51" i="8"/>
  <c r="J50" i="8"/>
  <c r="G45" i="8"/>
  <c r="G53" i="8"/>
  <c r="G48" i="8"/>
  <c r="G47" i="8"/>
  <c r="G46" i="8"/>
  <c r="G49" i="8"/>
  <c r="G52" i="8"/>
  <c r="I50" i="8"/>
  <c r="G38" i="14"/>
  <c r="J20" i="2"/>
  <c r="K17" i="2" s="1"/>
  <c r="M16" i="14"/>
  <c r="F40" i="14" s="1"/>
  <c r="L16" i="14"/>
  <c r="N16" i="14" s="1"/>
  <c r="E40" i="14"/>
  <c r="G40" i="14" s="1"/>
  <c r="C46" i="8"/>
  <c r="C53" i="8"/>
  <c r="C50" i="8"/>
  <c r="C51" i="8"/>
  <c r="C47" i="8"/>
  <c r="C52" i="8"/>
  <c r="C49" i="8"/>
  <c r="C45" i="8"/>
  <c r="J46" i="8"/>
  <c r="C48" i="8"/>
  <c r="I46" i="8"/>
  <c r="B45" i="8"/>
  <c r="B51" i="8"/>
  <c r="B50" i="8"/>
  <c r="B53" i="8"/>
  <c r="J45" i="8"/>
  <c r="B47" i="8"/>
  <c r="B48" i="8"/>
  <c r="B49" i="8"/>
  <c r="B46" i="8"/>
  <c r="B52" i="8"/>
  <c r="I45" i="8"/>
  <c r="E48" i="8"/>
  <c r="E49" i="8"/>
  <c r="E52" i="8"/>
  <c r="E47" i="8"/>
  <c r="E50" i="8"/>
  <c r="J48" i="8"/>
  <c r="E45" i="8"/>
  <c r="E51" i="8"/>
  <c r="E46" i="8"/>
  <c r="E53" i="8"/>
  <c r="I48" i="8"/>
  <c r="G39" i="14"/>
  <c r="C55" i="14"/>
  <c r="J48" i="14"/>
  <c r="G46" i="9"/>
  <c r="H46" i="9"/>
  <c r="H47" i="9"/>
  <c r="G47" i="9"/>
  <c r="J47" i="9"/>
  <c r="E47" i="9"/>
  <c r="C46" i="9"/>
  <c r="H42" i="9"/>
  <c r="A36" i="9"/>
  <c r="D46" i="9"/>
  <c r="J46" i="9"/>
  <c r="D47" i="9"/>
  <c r="B46" i="9"/>
  <c r="G42" i="9"/>
  <c r="F47" i="9"/>
  <c r="H49" i="9"/>
  <c r="C47" i="9"/>
  <c r="H45" i="9"/>
  <c r="H41" i="9"/>
  <c r="G49" i="9"/>
  <c r="B47" i="9"/>
  <c r="G45" i="9"/>
  <c r="G41" i="9"/>
  <c r="E46" i="9"/>
  <c r="H48" i="9"/>
  <c r="I46" i="9"/>
  <c r="H44" i="9"/>
  <c r="G48" i="9"/>
  <c r="F46" i="9"/>
  <c r="G44" i="9"/>
  <c r="I47" i="9"/>
  <c r="H43" i="9"/>
  <c r="G43" i="9"/>
  <c r="H51" i="8"/>
  <c r="H45" i="8"/>
  <c r="H53" i="8"/>
  <c r="H50" i="8"/>
  <c r="J51" i="8"/>
  <c r="H48" i="8"/>
  <c r="H52" i="8"/>
  <c r="H49" i="8"/>
  <c r="H47" i="8"/>
  <c r="H46" i="8"/>
  <c r="I51" i="8"/>
  <c r="M17" i="14"/>
  <c r="F41" i="14" s="1"/>
  <c r="E41" i="14"/>
  <c r="G36" i="14"/>
  <c r="D50" i="8"/>
  <c r="D47" i="8"/>
  <c r="D48" i="8"/>
  <c r="D51" i="8"/>
  <c r="D45" i="8"/>
  <c r="D46" i="8"/>
  <c r="D49" i="8"/>
  <c r="D53" i="8"/>
  <c r="D52" i="8"/>
  <c r="J47" i="8"/>
  <c r="I47" i="8"/>
  <c r="F49" i="8"/>
  <c r="F50" i="8"/>
  <c r="F46" i="8"/>
  <c r="F53" i="8"/>
  <c r="J49" i="8"/>
  <c r="F51" i="8"/>
  <c r="F52" i="8"/>
  <c r="F47" i="8"/>
  <c r="F48" i="8"/>
  <c r="F45" i="8"/>
  <c r="I49" i="8"/>
  <c r="G33" i="14"/>
  <c r="C59" i="18"/>
  <c r="C61" i="18" s="1"/>
  <c r="C49" i="14" l="1"/>
  <c r="J49" i="14"/>
  <c r="D49" i="14"/>
  <c r="E60" i="14" s="1"/>
  <c r="E69" i="14" s="1"/>
  <c r="C332" i="41" s="1"/>
  <c r="D55" i="14"/>
  <c r="G49" i="14"/>
  <c r="E49" i="14"/>
  <c r="C48" i="14"/>
  <c r="D60" i="14" s="1"/>
  <c r="D65" i="14" s="1"/>
  <c r="C363" i="41" s="1"/>
  <c r="H48" i="14"/>
  <c r="P78" i="8"/>
  <c r="S78" i="8"/>
  <c r="Q78" i="8"/>
  <c r="U78" i="8"/>
  <c r="T78" i="8"/>
  <c r="O78" i="8"/>
  <c r="O58" i="8" s="1"/>
  <c r="C570" i="41" s="1"/>
  <c r="F48" i="14"/>
  <c r="E62" i="14"/>
  <c r="C300" i="41" s="1"/>
  <c r="E70" i="14"/>
  <c r="C340" i="41" s="1"/>
  <c r="E67" i="14"/>
  <c r="C316" i="41" s="1"/>
  <c r="E64" i="14"/>
  <c r="C308" i="41" s="1"/>
  <c r="E61" i="14"/>
  <c r="C292" i="41" s="1"/>
  <c r="E63" i="14"/>
  <c r="C356" i="41" s="1"/>
  <c r="E71" i="14"/>
  <c r="C348" i="41" s="1"/>
  <c r="E68" i="14"/>
  <c r="C324" i="41" s="1"/>
  <c r="E65" i="14"/>
  <c r="C364" i="41" s="1"/>
  <c r="D68" i="14"/>
  <c r="C323" i="41" s="1"/>
  <c r="D70" i="14"/>
  <c r="C339" i="41" s="1"/>
  <c r="D66" i="14"/>
  <c r="C371" i="41" s="1"/>
  <c r="D63" i="14"/>
  <c r="C355" i="41" s="1"/>
  <c r="D71" i="14"/>
  <c r="C347" i="41" s="1"/>
  <c r="D64" i="14"/>
  <c r="C307" i="41" s="1"/>
  <c r="J51" i="14"/>
  <c r="D51" i="14"/>
  <c r="C51" i="14"/>
  <c r="F55" i="14"/>
  <c r="F49" i="14"/>
  <c r="F51" i="14"/>
  <c r="C60" i="14" s="1"/>
  <c r="B51" i="14"/>
  <c r="K19" i="2"/>
  <c r="G48" i="14"/>
  <c r="G6" i="35"/>
  <c r="E6" i="35"/>
  <c r="G41" i="14"/>
  <c r="D5" i="35"/>
  <c r="H53" i="14"/>
  <c r="D53" i="14"/>
  <c r="G53" i="14"/>
  <c r="C53" i="14"/>
  <c r="J53" i="14"/>
  <c r="F53" i="14"/>
  <c r="E53" i="14"/>
  <c r="B53" i="14"/>
  <c r="H55" i="14"/>
  <c r="I53" i="14"/>
  <c r="F6" i="35"/>
  <c r="G51" i="14"/>
  <c r="H5" i="35"/>
  <c r="E48" i="14"/>
  <c r="I50" i="14"/>
  <c r="I54" i="14"/>
  <c r="I60" i="14" s="1"/>
  <c r="C54" i="14"/>
  <c r="E54" i="14"/>
  <c r="I55" i="14"/>
  <c r="B54" i="14"/>
  <c r="H54" i="14"/>
  <c r="J54" i="14"/>
  <c r="D54" i="14"/>
  <c r="F54" i="14"/>
  <c r="G54" i="14"/>
  <c r="C6" i="35"/>
  <c r="H51" i="14"/>
  <c r="J6" i="35"/>
  <c r="B48" i="14"/>
  <c r="C8" i="35"/>
  <c r="D8" i="35"/>
  <c r="F5" i="35"/>
  <c r="I49" i="14"/>
  <c r="H49" i="14"/>
  <c r="F12" i="35"/>
  <c r="J5" i="35"/>
  <c r="D12" i="35"/>
  <c r="D6" i="35"/>
  <c r="E51" i="14"/>
  <c r="I48" i="14"/>
  <c r="C12" i="35"/>
  <c r="K18" i="2"/>
  <c r="J11" i="2" s="1"/>
  <c r="J47" i="2" s="1"/>
  <c r="I51" i="14"/>
  <c r="B47" i="14"/>
  <c r="F47" i="14"/>
  <c r="E47" i="14"/>
  <c r="B55" i="14"/>
  <c r="C47" i="14"/>
  <c r="H47" i="14"/>
  <c r="D47" i="14"/>
  <c r="G47" i="14"/>
  <c r="J47" i="14"/>
  <c r="I47" i="14"/>
  <c r="E50" i="14"/>
  <c r="D50" i="14"/>
  <c r="G50" i="14"/>
  <c r="C50" i="14"/>
  <c r="E55" i="14"/>
  <c r="B50" i="14"/>
  <c r="J50" i="14"/>
  <c r="F50" i="14"/>
  <c r="H50" i="14"/>
  <c r="G5" i="35"/>
  <c r="C5" i="35"/>
  <c r="G52" i="14"/>
  <c r="G60" i="14" s="1"/>
  <c r="G55" i="14"/>
  <c r="J52" i="14"/>
  <c r="F52" i="14"/>
  <c r="B52" i="14"/>
  <c r="D52" i="14"/>
  <c r="E52" i="14"/>
  <c r="H52" i="14"/>
  <c r="C52" i="14"/>
  <c r="I52" i="14"/>
  <c r="B49" i="14"/>
  <c r="C193" i="41" l="1"/>
  <c r="C153" i="41"/>
  <c r="C169" i="41"/>
  <c r="C161" i="41"/>
  <c r="C145" i="41"/>
  <c r="C137" i="41"/>
  <c r="C105" i="41"/>
  <c r="C129" i="41"/>
  <c r="C121" i="41"/>
  <c r="C185" i="41"/>
  <c r="C113" i="41"/>
  <c r="C177" i="41"/>
  <c r="K20" i="2"/>
  <c r="F8" i="35"/>
  <c r="D62" i="14"/>
  <c r="C299" i="41" s="1"/>
  <c r="D67" i="14"/>
  <c r="C315" i="41" s="1"/>
  <c r="D69" i="14"/>
  <c r="C331" i="41" s="1"/>
  <c r="E66" i="14"/>
  <c r="C372" i="41" s="1"/>
  <c r="D61" i="14"/>
  <c r="C291" i="41" s="1"/>
  <c r="U62" i="8"/>
  <c r="C544" i="41" s="1"/>
  <c r="U70" i="8"/>
  <c r="C504" i="41" s="1"/>
  <c r="U61" i="8"/>
  <c r="U69" i="8"/>
  <c r="C560" i="41" s="1"/>
  <c r="U77" i="8"/>
  <c r="U60" i="8"/>
  <c r="C536" i="41" s="1"/>
  <c r="U68" i="8"/>
  <c r="C552" i="41" s="1"/>
  <c r="U76" i="8"/>
  <c r="U59" i="8"/>
  <c r="U67" i="8"/>
  <c r="U75" i="8"/>
  <c r="C520" i="41" s="1"/>
  <c r="U58" i="8"/>
  <c r="C576" i="41" s="1"/>
  <c r="U66" i="8"/>
  <c r="C568" i="41" s="1"/>
  <c r="U74" i="8"/>
  <c r="C488" i="41" s="1"/>
  <c r="U71" i="8"/>
  <c r="C512" i="41" s="1"/>
  <c r="U65" i="8"/>
  <c r="C496" i="41" s="1"/>
  <c r="U73" i="8"/>
  <c r="C528" i="41" s="1"/>
  <c r="U63" i="8"/>
  <c r="U64" i="8"/>
  <c r="U72" i="8"/>
  <c r="Q58" i="8"/>
  <c r="C572" i="41" s="1"/>
  <c r="Q66" i="8"/>
  <c r="C564" i="41" s="1"/>
  <c r="Q74" i="8"/>
  <c r="C484" i="41" s="1"/>
  <c r="Q65" i="8"/>
  <c r="C492" i="41" s="1"/>
  <c r="Q73" i="8"/>
  <c r="C524" i="41" s="1"/>
  <c r="Q64" i="8"/>
  <c r="Q72" i="8"/>
  <c r="Q63" i="8"/>
  <c r="Q71" i="8"/>
  <c r="C508" i="41" s="1"/>
  <c r="Q62" i="8"/>
  <c r="C540" i="41" s="1"/>
  <c r="Q70" i="8"/>
  <c r="C500" i="41" s="1"/>
  <c r="Q59" i="8"/>
  <c r="Q61" i="8"/>
  <c r="Q69" i="8"/>
  <c r="C556" i="41" s="1"/>
  <c r="Q77" i="8"/>
  <c r="Q67" i="8"/>
  <c r="Q60" i="8"/>
  <c r="C532" i="41" s="1"/>
  <c r="Q68" i="8"/>
  <c r="C548" i="41" s="1"/>
  <c r="Q76" i="8"/>
  <c r="Q75" i="8"/>
  <c r="C516" i="41" s="1"/>
  <c r="S60" i="8"/>
  <c r="C534" i="41" s="1"/>
  <c r="S68" i="8"/>
  <c r="C550" i="41" s="1"/>
  <c r="S76" i="8"/>
  <c r="S59" i="8"/>
  <c r="S67" i="8"/>
  <c r="S75" i="8"/>
  <c r="C518" i="41" s="1"/>
  <c r="S61" i="8"/>
  <c r="S58" i="8"/>
  <c r="C574" i="41" s="1"/>
  <c r="S66" i="8"/>
  <c r="C566" i="41" s="1"/>
  <c r="S74" i="8"/>
  <c r="C486" i="41" s="1"/>
  <c r="S69" i="8"/>
  <c r="C558" i="41" s="1"/>
  <c r="S65" i="8"/>
  <c r="C494" i="41" s="1"/>
  <c r="S73" i="8"/>
  <c r="C526" i="41" s="1"/>
  <c r="S77" i="8"/>
  <c r="S64" i="8"/>
  <c r="S72" i="8"/>
  <c r="S63" i="8"/>
  <c r="S71" i="8"/>
  <c r="C510" i="41" s="1"/>
  <c r="S62" i="8"/>
  <c r="C542" i="41" s="1"/>
  <c r="S70" i="8"/>
  <c r="C502" i="41" s="1"/>
  <c r="O64" i="8"/>
  <c r="O72" i="8"/>
  <c r="O65" i="8"/>
  <c r="C490" i="41" s="1"/>
  <c r="O73" i="8"/>
  <c r="C522" i="41" s="1"/>
  <c r="O63" i="8"/>
  <c r="O66" i="8"/>
  <c r="C562" i="41" s="1"/>
  <c r="O74" i="8"/>
  <c r="C482" i="41" s="1"/>
  <c r="O59" i="8"/>
  <c r="O67" i="8"/>
  <c r="O75" i="8"/>
  <c r="C514" i="41" s="1"/>
  <c r="O60" i="8"/>
  <c r="C530" i="41" s="1"/>
  <c r="O68" i="8"/>
  <c r="C546" i="41" s="1"/>
  <c r="O76" i="8"/>
  <c r="O61" i="8"/>
  <c r="O69" i="8"/>
  <c r="C554" i="41" s="1"/>
  <c r="O77" i="8"/>
  <c r="O71" i="8"/>
  <c r="C506" i="41" s="1"/>
  <c r="O62" i="8"/>
  <c r="C538" i="41" s="1"/>
  <c r="O70" i="8"/>
  <c r="C498" i="41" s="1"/>
  <c r="P65" i="8"/>
  <c r="C491" i="41" s="1"/>
  <c r="P73" i="8"/>
  <c r="C523" i="41" s="1"/>
  <c r="P64" i="8"/>
  <c r="P72" i="8"/>
  <c r="P66" i="8"/>
  <c r="C563" i="41" s="1"/>
  <c r="P63" i="8"/>
  <c r="P71" i="8"/>
  <c r="C507" i="41" s="1"/>
  <c r="P74" i="8"/>
  <c r="C483" i="41" s="1"/>
  <c r="P62" i="8"/>
  <c r="C539" i="41" s="1"/>
  <c r="P70" i="8"/>
  <c r="C499" i="41" s="1"/>
  <c r="P61" i="8"/>
  <c r="P69" i="8"/>
  <c r="C555" i="41" s="1"/>
  <c r="P77" i="8"/>
  <c r="P60" i="8"/>
  <c r="C531" i="41" s="1"/>
  <c r="P68" i="8"/>
  <c r="C547" i="41" s="1"/>
  <c r="P76" i="8"/>
  <c r="P58" i="8"/>
  <c r="C571" i="41" s="1"/>
  <c r="P59" i="8"/>
  <c r="P67" i="8"/>
  <c r="P75" i="8"/>
  <c r="C515" i="41" s="1"/>
  <c r="T61" i="8"/>
  <c r="T69" i="8"/>
  <c r="C559" i="41" s="1"/>
  <c r="T77" i="8"/>
  <c r="T60" i="8"/>
  <c r="C535" i="41" s="1"/>
  <c r="T68" i="8"/>
  <c r="C551" i="41" s="1"/>
  <c r="T76" i="8"/>
  <c r="T70" i="8"/>
  <c r="C503" i="41" s="1"/>
  <c r="T59" i="8"/>
  <c r="T67" i="8"/>
  <c r="T75" i="8"/>
  <c r="C519" i="41" s="1"/>
  <c r="T58" i="8"/>
  <c r="C575" i="41" s="1"/>
  <c r="T66" i="8"/>
  <c r="C567" i="41" s="1"/>
  <c r="T74" i="8"/>
  <c r="C487" i="41" s="1"/>
  <c r="T65" i="8"/>
  <c r="C495" i="41" s="1"/>
  <c r="T73" i="8"/>
  <c r="C527" i="41" s="1"/>
  <c r="T64" i="8"/>
  <c r="T72" i="8"/>
  <c r="T63" i="8"/>
  <c r="T71" i="8"/>
  <c r="C511" i="41" s="1"/>
  <c r="T62" i="8"/>
  <c r="C543" i="41" s="1"/>
  <c r="J8" i="35"/>
  <c r="G68" i="14"/>
  <c r="C326" i="41" s="1"/>
  <c r="G65" i="14"/>
  <c r="C366" i="41" s="1"/>
  <c r="G62" i="14"/>
  <c r="C302" i="41" s="1"/>
  <c r="G70" i="14"/>
  <c r="C342" i="41" s="1"/>
  <c r="G67" i="14"/>
  <c r="C318" i="41" s="1"/>
  <c r="G64" i="14"/>
  <c r="C310" i="41" s="1"/>
  <c r="G61" i="14"/>
  <c r="C294" i="41" s="1"/>
  <c r="G69" i="14"/>
  <c r="C334" i="41" s="1"/>
  <c r="G66" i="14"/>
  <c r="C374" i="41" s="1"/>
  <c r="G63" i="14"/>
  <c r="C358" i="41" s="1"/>
  <c r="G71" i="14"/>
  <c r="C350" i="41" s="1"/>
  <c r="C67" i="14"/>
  <c r="C314" i="41" s="1"/>
  <c r="C62" i="14"/>
  <c r="C298" i="41" s="1"/>
  <c r="C68" i="14"/>
  <c r="C322" i="41" s="1"/>
  <c r="C69" i="14"/>
  <c r="C330" i="41" s="1"/>
  <c r="C70" i="14"/>
  <c r="C338" i="41" s="1"/>
  <c r="C71" i="14"/>
  <c r="C346" i="41" s="1"/>
  <c r="C63" i="14"/>
  <c r="C354" i="41" s="1"/>
  <c r="C64" i="14"/>
  <c r="C306" i="41" s="1"/>
  <c r="C65" i="14"/>
  <c r="C362" i="41" s="1"/>
  <c r="C66" i="14"/>
  <c r="C370" i="41" s="1"/>
  <c r="C61" i="14"/>
  <c r="C290" i="41" s="1"/>
  <c r="H60" i="14"/>
  <c r="J60" i="14"/>
  <c r="C9" i="35"/>
  <c r="E8" i="35"/>
  <c r="G12" i="35"/>
  <c r="J7" i="35"/>
  <c r="E10" i="35"/>
  <c r="E4" i="35"/>
  <c r="E12" i="35"/>
  <c r="F4" i="35"/>
  <c r="H8" i="35"/>
  <c r="E5" i="35"/>
  <c r="J10" i="35"/>
  <c r="G9" i="35"/>
  <c r="E9" i="35"/>
  <c r="C7" i="35"/>
  <c r="C10" i="35"/>
  <c r="H9" i="35"/>
  <c r="G7" i="35"/>
  <c r="G4" i="35"/>
  <c r="G10" i="35"/>
  <c r="D9" i="35"/>
  <c r="B9" i="35"/>
  <c r="D7" i="35"/>
  <c r="D4" i="35"/>
  <c r="H6" i="35"/>
  <c r="G8" i="35"/>
  <c r="D10" i="35"/>
  <c r="F10" i="35"/>
  <c r="F9" i="35"/>
  <c r="H7" i="35"/>
  <c r="E7" i="35"/>
  <c r="H4" i="35"/>
  <c r="J45" i="2"/>
  <c r="I9" i="35" s="1"/>
  <c r="J44" i="2"/>
  <c r="J43" i="2"/>
  <c r="J42" i="2"/>
  <c r="J41" i="2"/>
  <c r="J40" i="2"/>
  <c r="J48" i="2"/>
  <c r="J46" i="2"/>
  <c r="I10" i="35" s="1"/>
  <c r="I47" i="2"/>
  <c r="H11" i="35" s="1"/>
  <c r="H47" i="2"/>
  <c r="G11" i="35" s="1"/>
  <c r="F47" i="2"/>
  <c r="K47" i="2"/>
  <c r="E47" i="2"/>
  <c r="D47" i="2"/>
  <c r="G47" i="2"/>
  <c r="C47" i="2"/>
  <c r="H12" i="35"/>
  <c r="H10" i="35"/>
  <c r="J9" i="35"/>
  <c r="F7" i="35"/>
  <c r="C4" i="35"/>
  <c r="B10" i="35"/>
  <c r="I66" i="14" l="1"/>
  <c r="C376" i="41" s="1"/>
  <c r="I61" i="14"/>
  <c r="C296" i="41" s="1"/>
  <c r="I63" i="14"/>
  <c r="C360" i="41" s="1"/>
  <c r="I71" i="14"/>
  <c r="C352" i="41" s="1"/>
  <c r="I68" i="14"/>
  <c r="C328" i="41" s="1"/>
  <c r="I65" i="14"/>
  <c r="C368" i="41" s="1"/>
  <c r="I62" i="14"/>
  <c r="C304" i="41" s="1"/>
  <c r="I70" i="14"/>
  <c r="C344" i="41" s="1"/>
  <c r="I67" i="14"/>
  <c r="C320" i="41" s="1"/>
  <c r="I64" i="14"/>
  <c r="C312" i="41" s="1"/>
  <c r="I69" i="14"/>
  <c r="C336" i="41" s="1"/>
  <c r="H63" i="14"/>
  <c r="C359" i="41" s="1"/>
  <c r="H71" i="14"/>
  <c r="C351" i="41" s="1"/>
  <c r="H68" i="14"/>
  <c r="C327" i="41" s="1"/>
  <c r="H65" i="14"/>
  <c r="C367" i="41" s="1"/>
  <c r="H62" i="14"/>
  <c r="C303" i="41" s="1"/>
  <c r="H70" i="14"/>
  <c r="C343" i="41" s="1"/>
  <c r="H69" i="14"/>
  <c r="C335" i="41" s="1"/>
  <c r="H67" i="14"/>
  <c r="C319" i="41" s="1"/>
  <c r="H64" i="14"/>
  <c r="C311" i="41" s="1"/>
  <c r="H66" i="14"/>
  <c r="C375" i="41" s="1"/>
  <c r="H61" i="14"/>
  <c r="C295" i="41" s="1"/>
  <c r="J68" i="14"/>
  <c r="C329" i="41" s="1"/>
  <c r="J69" i="14"/>
  <c r="C337" i="41" s="1"/>
  <c r="J61" i="14"/>
  <c r="C297" i="41" s="1"/>
  <c r="J62" i="14"/>
  <c r="C305" i="41" s="1"/>
  <c r="J70" i="14"/>
  <c r="C345" i="41" s="1"/>
  <c r="J65" i="14"/>
  <c r="C369" i="41" s="1"/>
  <c r="J63" i="14"/>
  <c r="C361" i="41" s="1"/>
  <c r="J71" i="14"/>
  <c r="C353" i="41" s="1"/>
  <c r="J64" i="14"/>
  <c r="C313" i="41" s="1"/>
  <c r="J66" i="14"/>
  <c r="C377" i="41" s="1"/>
  <c r="J67" i="14"/>
  <c r="C321" i="41" s="1"/>
  <c r="I6" i="35"/>
  <c r="I7" i="35"/>
  <c r="I11" i="35"/>
  <c r="D11" i="35"/>
  <c r="C11" i="35"/>
  <c r="E11" i="35"/>
  <c r="J11" i="35"/>
  <c r="F11" i="35"/>
  <c r="I12" i="35"/>
  <c r="I4" i="35"/>
  <c r="I8" i="35"/>
  <c r="I5" i="35"/>
  <c r="J4" i="35" l="1"/>
  <c r="M14" i="2"/>
  <c r="O1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unieuro</author>
  </authors>
  <commentList>
    <comment ref="D4" authorId="0" shapeId="0" xr:uid="{6D7B137E-B305-4DC3-9164-4663614482F4}">
      <text>
        <r>
          <rPr>
            <b/>
            <sz val="9"/>
            <color indexed="81"/>
            <rFont val="Tahoma"/>
            <family val="2"/>
          </rPr>
          <t>superficie agricola totale nel 2013 fonte: Istat, annuario statistico italiano https://www.istat.it/it/files/2017/12/C13.pdf</t>
        </r>
        <r>
          <rPr>
            <sz val="9"/>
            <color indexed="81"/>
            <rFont val="Tahoma"/>
            <family val="2"/>
          </rPr>
          <t xml:space="preserve">
</t>
        </r>
      </text>
    </comment>
    <comment ref="E4" authorId="0" shapeId="0" xr:uid="{CA105E4F-D44B-496D-B8E3-3F24DDBB5E4A}">
      <text>
        <r>
          <rPr>
            <b/>
            <sz val="9"/>
            <color indexed="81"/>
            <rFont val="Tahoma"/>
            <family val="2"/>
          </rPr>
          <t>superficie agricola utilizzata SAU nel 2013 fonte: Istat, annuario statistico italiano https://www.istat.it/it/files/2017/12/C13.pdf</t>
        </r>
        <r>
          <rPr>
            <sz val="9"/>
            <color indexed="81"/>
            <rFont val="Tahoma"/>
            <family val="2"/>
          </rPr>
          <t xml:space="preserve">
</t>
        </r>
      </text>
    </comment>
    <comment ref="F4" authorId="0" shapeId="0" xr:uid="{53503A99-123D-4F34-B7E6-049F32EB6334}">
      <text>
        <r>
          <rPr>
            <b/>
            <sz val="9"/>
            <color indexed="81"/>
            <rFont val="Tahoma"/>
            <family val="2"/>
          </rPr>
          <t>SAU 2016 fonte ISPRA 2018, https://annuario.isprambiente.it/ada/basic/6935</t>
        </r>
        <r>
          <rPr>
            <sz val="9"/>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unieuro</author>
  </authors>
  <commentList>
    <comment ref="A2" authorId="0" shapeId="0" xr:uid="{77819519-8AB9-4F2C-B2C9-00289A28EAB7}">
      <text>
        <r>
          <rPr>
            <b/>
            <sz val="9"/>
            <color indexed="81"/>
            <rFont val="Tahoma"/>
            <family val="2"/>
          </rPr>
          <t>Anche il contributo del JRC nel II RKN riferisce il servizio solo alle aree agricole</t>
        </r>
      </text>
    </comment>
    <comment ref="G33" authorId="0" shapeId="0" xr:uid="{D6926081-F3BF-43F4-8218-8615F09120C0}">
      <text>
        <r>
          <rPr>
            <sz val="9"/>
            <color indexed="81"/>
            <rFont val="Tahoma"/>
            <family val="2"/>
          </rPr>
          <t>Piante che resistono in terreni semiaridi</t>
        </r>
      </text>
    </comment>
    <comment ref="A39" authorId="0" shapeId="0" xr:uid="{E3EEF0DB-5C85-4CA2-9358-D95B055859AF}">
      <text>
        <r>
          <rPr>
            <sz val="9"/>
            <color indexed="81"/>
            <rFont val="Tahoma"/>
            <family val="2"/>
          </rPr>
          <t>Piante che resistono in terreni semiaridi</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tc={AED30FA6-3E57-4BD7-9D25-B9A45736DD6B}</author>
    <author>tc={56E6AFB3-3A89-4747-B92A-68C99D64B968}</author>
    <author>tc={E846BD26-F017-4C6C-8AA9-B6C9C97240CB}</author>
  </authors>
  <commentList>
    <comment ref="C28" authorId="0" shapeId="0" xr:uid="{AED30FA6-3E57-4BD7-9D25-B9A45736DD6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Il carico critico di azoto di un corpo idrico varia ogni anno in funzione del suo volume. Le esternalità (i superi della soglia critica per metro cupo di acqua) si possono ridurre non solo per la riduzione degli scarichi di azoto ma anche per l'aumento del volume dei corpi idrici, che innalzano la quantità di azoto che ogni corpo può assorbire.</t>
      </text>
    </comment>
    <comment ref="D28" authorId="1" shapeId="0" xr:uid="{56E6AFB3-3A89-4747-B92A-68C99D64B96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due errori nel PITESAI 2020: 1) 1108 milioni erano stati interpretati come beneficio del SE mentre ad una rilettura attenta è la domanda complessiva di purificazione (la porzione di domanda soddisfatta per via naturale va quindi calcolata per differenza) 2) la valutazione monetaria non è riferita al 2015 come scritto nel testo ma al 2005</t>
      </text>
    </comment>
    <comment ref="C30" authorId="2" shapeId="0" xr:uid="{E846BD26-F017-4C6C-8AA9-B6C9C97240C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nuova interpretazione, in coccasione dello studio RSE PITESAI 2021</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tc={BA9B82E8-EB53-4D55-BF1D-6AEF0A2546AA}</author>
    <author>tc={2BB68C43-B0FF-48BD-BE87-236D3256486F}</author>
    <author>tc={7B74B59C-7C2A-4091-8DF9-106E016FA149}</author>
    <author>tc={C9C3636F-3FCD-4A38-ABE4-01F49EC33BA3}</author>
    <author>tc={81963B3D-3BB5-479B-936E-223D6137A1C0}</author>
    <author>tc={F8A0BA6A-6651-4905-922F-ABB0D77F5C20}</author>
    <author>tc={B03DE5A3-DB45-4D81-B19A-63C2016006FB}</author>
    <author>tc={A7969596-05CD-490D-91B5-FF56EB297494}</author>
    <author>tc={E905CD81-B9CA-4E34-B426-C0686F7BFAA5}</author>
    <author>tc={B46FB352-7566-4ABB-9DBE-28E08F908A62}</author>
  </authors>
  <commentList>
    <comment ref="B11" authorId="0" shapeId="0" xr:uid="{BA9B82E8-EB53-4D55-BF1D-6AEF0A2546AA}">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Valori di base per 
ISPRA ann met pag. 30</t>
      </text>
    </comment>
    <comment ref="E13" authorId="1" shapeId="0" xr:uid="{2BB68C43-B0FF-48BD-BE87-236D3256486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ISPRA p. 26</t>
      </text>
    </comment>
    <comment ref="C20" authorId="2" shapeId="0" xr:uid="{7B74B59C-7C2A-4091-8DF9-106E016FA14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si assume mitigazione massima dell'erosione</t>
      </text>
    </comment>
    <comment ref="E20" authorId="3" shapeId="0" xr:uid="{C9C3636F-3FCD-4A38-ABE4-01F49EC33BA3}">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si assume mitigazione minima dell'erosione</t>
      </text>
    </comment>
    <comment ref="F20" authorId="4" shapeId="0" xr:uid="{81963B3D-3BB5-479B-936E-223D6137A1C0}">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Non essendoci vegetazione non c'è mitigazone</t>
      </text>
    </comment>
    <comment ref="C25" authorId="5" shapeId="0" xr:uid="{F8A0BA6A-6651-4905-922F-ABB0D77F5C20}">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fonte Regione Campania  e articolo Cina</t>
      </text>
    </comment>
    <comment ref="E25" authorId="6" shapeId="0" xr:uid="{B03DE5A3-DB45-4D81-B19A-63C2016006F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fonte Regione Campania  e articolo Cina</t>
      </text>
    </comment>
    <comment ref="G25" authorId="7" shapeId="0" xr:uid="{A7969596-05CD-490D-91B5-FF56EB29749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fonte Regione Campania  e articolo Cina</t>
      </text>
    </comment>
    <comment ref="H25" authorId="8" shapeId="0" xr:uid="{E905CD81-B9CA-4E34-B426-C0686F7BFAA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fonte Regione Campania  e articolo Cina</t>
      </text>
    </comment>
    <comment ref="D27" authorId="9" shapeId="0" xr:uid="{B46FB352-7566-4ABB-9DBE-28E08F908A62}">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 questa cella viene riportato il valore medio per l'Italia del beneficio ecosistemico di mitigazione dell'erosione per ettaro di suolo agricolo (a prescindere dal tipo di coltivazione)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unieuro</author>
  </authors>
  <commentList>
    <comment ref="E18" authorId="0" shapeId="0" xr:uid="{0B9F54CD-F8A9-4BB4-9E77-6F5E8E0A6C7D}">
      <text>
        <r>
          <rPr>
            <b/>
            <sz val="9"/>
            <color indexed="81"/>
            <rFont val="Tahoma"/>
            <family val="2"/>
          </rPr>
          <t>https://www.istat.it/it/files/2017/05/Urbanizzazione.pdf
Istat, forme livelli e dinamiche dell'urbanizzazione in Italia, 2017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unieuro</author>
  </authors>
  <commentList>
    <comment ref="I16" authorId="0" shapeId="0" xr:uid="{9A21F776-3157-4527-8D72-3058C8FA1237}">
      <text>
        <r>
          <rPr>
            <b/>
            <sz val="9"/>
            <color indexed="81"/>
            <rFont val="Tahoma"/>
            <family val="2"/>
          </rPr>
          <t>Stesso valore ottenuto dal III rapp K naturale per Italia 2012</t>
        </r>
      </text>
    </comment>
    <comment ref="A25" authorId="0" shapeId="0" xr:uid="{3D102F2B-4473-40C6-8819-AD4F0B37DB4A}">
      <text>
        <r>
          <rPr>
            <b/>
            <sz val="9"/>
            <color indexed="81"/>
            <rFont val="Tahoma"/>
            <family val="2"/>
          </rPr>
          <t xml:space="preserve">Non è chiaro cosa faccia JRC, perché:
la mappa di offerta si riferisce a tutta la generazione di legname
le tavole contabili fanno riferimento a dati biofisici di taglio effettivo che non sono esposti e il loro valore economico è attribuito al sottoinsieme delle foreste gestite (dentro l'ecosistema boschi e foreste) </t>
        </r>
        <r>
          <rPr>
            <sz val="9"/>
            <color indexed="81"/>
            <rFont val="Tahoma"/>
            <family val="2"/>
          </rPr>
          <t xml:space="preserve">
</t>
        </r>
      </text>
    </comment>
    <comment ref="F31" authorId="0" shapeId="0" xr:uid="{6D8D8F2F-ADBB-4FD9-9649-E7939327EAF6}">
      <text>
        <r>
          <rPr>
            <b/>
            <sz val="9"/>
            <color indexed="81"/>
            <rFont val="Tahoma"/>
            <family val="2"/>
          </rPr>
          <t>Non trovato il dato regionale nemmeno nel rapporto RFA</t>
        </r>
      </text>
    </comment>
    <comment ref="B37" authorId="0" shapeId="0" xr:uid="{FA5A788E-00DD-453E-B8BE-EE364AE48319}">
      <text>
        <r>
          <rPr>
            <b/>
            <sz val="9"/>
            <color indexed="81"/>
            <rFont val="Tahoma"/>
            <family val="2"/>
          </rPr>
          <t>I dati regionali sono forniti solo da queste due tabelle del CRF, la cui somma dà il totale delle foreste del CRF</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unieuro</author>
    <author>tc={8E0241C8-F9A6-4C84-B32E-EBCDC306D60F}</author>
    <author>tc={D8A06739-C4C4-4C5D-AEA7-862FC3DAA4D5}</author>
    <author>tc={AD36DE29-8E14-4252-B0CC-30C31A94AD03}</author>
    <author>tc={56AC2078-0577-40DC-999F-1E563597BEC2}</author>
  </authors>
  <commentList>
    <comment ref="B10" authorId="0" shapeId="0" xr:uid="{C1057A25-3753-4999-B43F-E07B16114104}">
      <text>
        <r>
          <rPr>
            <b/>
            <sz val="9"/>
            <color indexed="81"/>
            <rFont val="Tahoma"/>
            <family val="2"/>
          </rPr>
          <t>Prezzi 2010 da attualizzare: ISTAT riporta un
valore economico 6,6 miliardi di euro come valore complessivo della “produzione” di acqua al 2014 (con
anno di riferimento 2010)</t>
        </r>
      </text>
    </comment>
    <comment ref="D28" authorId="1" shapeId="0" xr:uid="{8E0241C8-F9A6-4C84-B32E-EBCDC306D60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Coste: superficie ottenuta sommando le aree scarsamente vegetate con le marine inlets and transitional waters</t>
      </text>
    </comment>
    <comment ref="F28" authorId="2" shapeId="0" xr:uid="{D8A06739-C4C4-4C5D-AEA7-862FC3DAA4D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Coste: superficie ottenuta sommando le aree scarsamente vegetate con le marine inlets and transitional waters</t>
      </text>
    </comment>
    <comment ref="F38" authorId="3" shapeId="0" xr:uid="{AD36DE29-8E14-4252-B0CC-30C31A94AD03}">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corretto in base al 4° RCN 2021</t>
      </text>
    </comment>
    <comment ref="M48" authorId="4" shapeId="0" xr:uid="{56AC2078-0577-40DC-999F-1E563597BEC2}">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E' stata tolta la componente di servizio di fornitura idrica dovuta alle saline e alle lagune (acque salate) che era implicita nelle "coste"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unieuro</author>
    <author>tc={B0839FDE-614E-44ED-8A42-09752E94BDC9}</author>
  </authors>
  <commentList>
    <comment ref="F4" authorId="0" shapeId="0" xr:uid="{70095330-086A-4A47-A809-18655F3D55CE}">
      <text>
        <r>
          <rPr>
            <b/>
            <sz val="9"/>
            <color indexed="81"/>
            <rFont val="Tahoma"/>
            <family val="2"/>
          </rPr>
          <t>(val tot max 1990-2017)</t>
        </r>
        <r>
          <rPr>
            <sz val="9"/>
            <color indexed="81"/>
            <rFont val="Tahoma"/>
            <family val="2"/>
          </rPr>
          <t xml:space="preserve">
</t>
        </r>
      </text>
    </comment>
    <comment ref="H4" authorId="0" shapeId="0" xr:uid="{9971DC90-7F0E-4579-93B4-C1D50BB89ABC}">
      <text>
        <r>
          <rPr>
            <b/>
            <sz val="9"/>
            <color indexed="81"/>
            <rFont val="Tahoma"/>
            <family val="2"/>
          </rPr>
          <t>(4° val tot più basso 1990-2017)</t>
        </r>
        <r>
          <rPr>
            <sz val="9"/>
            <color indexed="81"/>
            <rFont val="Tahoma"/>
            <family val="2"/>
          </rPr>
          <t xml:space="preserve">
</t>
        </r>
      </text>
    </comment>
    <comment ref="B28" authorId="1" shapeId="0" xr:uid="{B0839FDE-614E-44ED-8A42-09752E94BDC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Calcolato con BT dal valore di 100 euro 2016 usando il GDP pro capite del mondo, epsilon mondo 0,5 e il deflatore del PIL dell'eurozona (essendo i prezzi in euro). I calcoli sono nel master costi esterni mobilità</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Z14" authorId="0" shapeId="0" xr:uid="{F27664E6-BEC4-47AE-9B24-B7EBF9CF7A58}">
      <text>
        <r>
          <rPr>
            <sz val="11"/>
            <color theme="1"/>
            <rFont val="Calibri"/>
            <family val="2"/>
            <scheme val="minor"/>
          </rPr>
          <t xml:space="preserve">not a source principle has applied, provinding, in the NIR, demonstration that the poool is not a source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Y13" authorId="0" shapeId="0" xr:uid="{C0484431-E9F0-4A47-988D-40AEDD8D4A35}">
      <text>
        <r>
          <rPr>
            <sz val="11"/>
            <color theme="1"/>
            <rFont val="Calibri"/>
            <family val="2"/>
            <scheme val="minor"/>
          </rPr>
          <t xml:space="preserve">not a source principle has applied, provinding, in the NIR, demonstration that the poool is not a source
</t>
        </r>
      </text>
    </comment>
    <comment ref="Y14" authorId="0" shapeId="0" xr:uid="{055EEDAA-E0C9-441A-BD75-2861677CDBF2}">
      <text>
        <r>
          <rPr>
            <sz val="11"/>
            <color theme="1"/>
            <rFont val="Calibri"/>
            <family val="2"/>
            <scheme val="minor"/>
          </rPr>
          <t xml:space="preserve">not a source principle has applied, provinding, in the NIR, demonstration that the poool is not a source
</t>
        </r>
      </text>
    </comment>
    <comment ref="Y15" authorId="0" shapeId="0" xr:uid="{9708FF61-998B-4F73-976D-DEE4C53CAF90}">
      <text>
        <r>
          <rPr>
            <sz val="11"/>
            <color theme="1"/>
            <rFont val="Calibri"/>
            <family val="2"/>
            <scheme val="minor"/>
          </rPr>
          <t xml:space="preserve">not a source principle has applied, provinding, in the NIR, demonstration that the poool is not a source
</t>
        </r>
      </text>
    </comment>
    <comment ref="Y16" authorId="0" shapeId="0" xr:uid="{1ED85117-F266-435C-9BAF-425F5D4F75AC}">
      <text>
        <r>
          <rPr>
            <sz val="11"/>
            <color theme="1"/>
            <rFont val="Calibri"/>
            <family val="2"/>
            <scheme val="minor"/>
          </rPr>
          <t xml:space="preserve">not a source principle has applied, provinding, in the NIR, demonstration that the poool is not a source
</t>
        </r>
      </text>
    </comment>
    <comment ref="Y17" authorId="0" shapeId="0" xr:uid="{6095D6A0-64F0-4F38-8995-3322F0CBA1B3}">
      <text>
        <r>
          <rPr>
            <sz val="11"/>
            <color theme="1"/>
            <rFont val="Calibri"/>
            <family val="2"/>
            <scheme val="minor"/>
          </rPr>
          <t xml:space="preserve">not a source principle has applied, provinding, in the NIR, demonstration that the poool is not a source
</t>
        </r>
      </text>
    </comment>
    <comment ref="Y18" authorId="0" shapeId="0" xr:uid="{C91AF2C1-6406-435D-9B37-352FAD91FDEF}">
      <text>
        <r>
          <rPr>
            <sz val="11"/>
            <color theme="1"/>
            <rFont val="Calibri"/>
            <family val="2"/>
            <scheme val="minor"/>
          </rPr>
          <t xml:space="preserve">not a source principle has applied, provinding, in the NIR, demonstration that the poool is not a source
</t>
        </r>
      </text>
    </comment>
    <comment ref="Y19" authorId="0" shapeId="0" xr:uid="{2E6FCAE4-1C2D-43BA-BCAC-DA833361A56C}">
      <text>
        <r>
          <rPr>
            <sz val="11"/>
            <color theme="1"/>
            <rFont val="Calibri"/>
            <family val="2"/>
            <scheme val="minor"/>
          </rPr>
          <t xml:space="preserve">not a source principle has applied, provinding, in the NIR, demonstration that the poool is not a source
</t>
        </r>
      </text>
    </comment>
    <comment ref="Y20" authorId="0" shapeId="0" xr:uid="{59256D2D-59B4-4621-9C18-7881FFEA03CC}">
      <text>
        <r>
          <rPr>
            <sz val="11"/>
            <color theme="1"/>
            <rFont val="Calibri"/>
            <family val="2"/>
            <scheme val="minor"/>
          </rPr>
          <t xml:space="preserve">not a source principle has applied, provinding, in the NIR, demonstration that the poool is not a source
</t>
        </r>
      </text>
    </comment>
    <comment ref="Y21" authorId="0" shapeId="0" xr:uid="{1FE613B6-8423-4651-BFD4-B3D8223F0783}">
      <text>
        <r>
          <rPr>
            <sz val="11"/>
            <color theme="1"/>
            <rFont val="Calibri"/>
            <family val="2"/>
            <scheme val="minor"/>
          </rPr>
          <t xml:space="preserve">not a source principle has applied, provinding, in the NIR, demonstration that the poool is not a source
</t>
        </r>
      </text>
    </comment>
    <comment ref="Y22" authorId="0" shapeId="0" xr:uid="{6954561D-408C-4253-95BE-32DE229EDECB}">
      <text>
        <r>
          <rPr>
            <sz val="11"/>
            <color theme="1"/>
            <rFont val="Calibri"/>
            <family val="2"/>
            <scheme val="minor"/>
          </rPr>
          <t xml:space="preserve">not a source principle has applied, provinding, in the NIR, demonstration that the poool is not a source
</t>
        </r>
      </text>
    </comment>
    <comment ref="Y24" authorId="0" shapeId="0" xr:uid="{46B3D4D6-BBE4-4D98-872A-BEF552F71D68}">
      <text>
        <r>
          <rPr>
            <sz val="11"/>
            <color theme="1"/>
            <rFont val="Calibri"/>
            <family val="2"/>
            <scheme val="minor"/>
          </rPr>
          <t xml:space="preserve">not a source principle has applied, provinding, in the NIR, demonstration that the poool is not a source
</t>
        </r>
      </text>
    </comment>
    <comment ref="Y25" authorId="0" shapeId="0" xr:uid="{B522B08A-91CA-4247-B24B-9C93D3418844}">
      <text>
        <r>
          <rPr>
            <sz val="11"/>
            <color theme="1"/>
            <rFont val="Calibri"/>
            <family val="2"/>
            <scheme val="minor"/>
          </rPr>
          <t xml:space="preserve">not a source principle has applied, provinding, in the NIR, demonstration that the poool is not a source
</t>
        </r>
      </text>
    </comment>
    <comment ref="Y26" authorId="0" shapeId="0" xr:uid="{5AA2627B-0ED8-44A1-9630-658226CBB643}">
      <text>
        <r>
          <rPr>
            <sz val="11"/>
            <color theme="1"/>
            <rFont val="Calibri"/>
            <family val="2"/>
            <scheme val="minor"/>
          </rPr>
          <t xml:space="preserve">not a source principle has applied, provinding, in the NIR, demonstration that the poool is not a source
</t>
        </r>
      </text>
    </comment>
    <comment ref="Y27" authorId="0" shapeId="0" xr:uid="{C39D4080-BD26-4E80-AD5A-2230B5192D52}">
      <text>
        <r>
          <rPr>
            <sz val="11"/>
            <color theme="1"/>
            <rFont val="Calibri"/>
            <family val="2"/>
            <scheme val="minor"/>
          </rPr>
          <t xml:space="preserve">not a source principle has applied, provinding, in the NIR, demonstration that the poool is not a source
</t>
        </r>
      </text>
    </comment>
    <comment ref="Y28" authorId="0" shapeId="0" xr:uid="{5BC597AB-3A46-4E94-90B9-5CC9E7423F90}">
      <text>
        <r>
          <rPr>
            <sz val="11"/>
            <color theme="1"/>
            <rFont val="Calibri"/>
            <family val="2"/>
            <scheme val="minor"/>
          </rPr>
          <t xml:space="preserve">not a source principle has applied, provinding, in the NIR, demonstration that the poool is not a source
</t>
        </r>
      </text>
    </comment>
    <comment ref="Y29" authorId="0" shapeId="0" xr:uid="{E46C28EC-33E8-43FB-B80A-A556369DBD2D}">
      <text>
        <r>
          <rPr>
            <sz val="11"/>
            <color theme="1"/>
            <rFont val="Calibri"/>
            <family val="2"/>
            <scheme val="minor"/>
          </rPr>
          <t xml:space="preserve">not a source principle has applied, provinding, in the NIR, demonstration that the poool is not a source
</t>
        </r>
      </text>
    </comment>
    <comment ref="Y30" authorId="0" shapeId="0" xr:uid="{4C392169-C7EF-41A4-B8EA-0291FDC5B869}">
      <text>
        <r>
          <rPr>
            <sz val="11"/>
            <color theme="1"/>
            <rFont val="Calibri"/>
            <family val="2"/>
            <scheme val="minor"/>
          </rPr>
          <t xml:space="preserve">not a source principle has applied, provinding, in the NIR, demonstration that the poool is not a source
</t>
        </r>
      </text>
    </comment>
    <comment ref="Y31" authorId="0" shapeId="0" xr:uid="{44910768-B9C0-47DE-90C1-9962C17B7635}">
      <text>
        <r>
          <rPr>
            <sz val="11"/>
            <color theme="1"/>
            <rFont val="Calibri"/>
            <family val="2"/>
            <scheme val="minor"/>
          </rPr>
          <t xml:space="preserve">not a source principle has applied, provinding, in the NIR, demonstration that the poool is not a source
</t>
        </r>
      </text>
    </comment>
    <comment ref="Y32" authorId="0" shapeId="0" xr:uid="{4B4F37BA-F645-4F93-93D6-5DD94CCE1E49}">
      <text>
        <r>
          <rPr>
            <sz val="11"/>
            <color theme="1"/>
            <rFont val="Calibri"/>
            <family val="2"/>
            <scheme val="minor"/>
          </rPr>
          <t xml:space="preserve">not a source principle has applied, provinding, in the NIR, demonstration that the poool is not a source
</t>
        </r>
      </text>
    </comment>
    <comment ref="Y33" authorId="0" shapeId="0" xr:uid="{B62B6C9B-8BA7-480C-8E88-9A9E4129B613}">
      <text>
        <r>
          <rPr>
            <sz val="11"/>
            <color theme="1"/>
            <rFont val="Calibri"/>
            <family val="2"/>
            <scheme val="minor"/>
          </rPr>
          <t xml:space="preserve">not a source principle has applied, provinding, in the NIR, demonstration that the poool is not a source
</t>
        </r>
      </text>
    </comment>
    <comment ref="Y34" authorId="0" shapeId="0" xr:uid="{DAA20611-3381-4A17-A58B-7B3BA70EDA48}">
      <text>
        <r>
          <rPr>
            <sz val="11"/>
            <color theme="1"/>
            <rFont val="Calibri"/>
            <family val="2"/>
            <scheme val="minor"/>
          </rPr>
          <t xml:space="preserve">not a source principle has applied, provinding, in the NIR, demonstration that the poool is not a source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unieuro</author>
  </authors>
  <commentList>
    <comment ref="E4" authorId="0" shapeId="0" xr:uid="{CD5CA778-1872-4466-AC3B-0299B3681536}">
      <text>
        <r>
          <rPr>
            <b/>
            <sz val="9"/>
            <color indexed="81"/>
            <rFont val="Tahoma"/>
            <family val="2"/>
          </rPr>
          <t>(val tot max 1990-2017)</t>
        </r>
        <r>
          <rPr>
            <sz val="9"/>
            <color indexed="81"/>
            <rFont val="Tahoma"/>
            <family val="2"/>
          </rPr>
          <t xml:space="preserve">
</t>
        </r>
      </text>
    </comment>
    <comment ref="G4" authorId="0" shapeId="0" xr:uid="{76694EB7-FA6E-4C95-A1B1-C60A01A826F5}">
      <text>
        <r>
          <rPr>
            <b/>
            <sz val="9"/>
            <color indexed="81"/>
            <rFont val="Tahoma"/>
            <family val="2"/>
          </rPr>
          <t>(4° val tot più basso 1990-2017)</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unieuro</author>
  </authors>
  <commentList>
    <comment ref="E4" authorId="0" shapeId="0" xr:uid="{5AB839F7-9C65-4E86-A45C-C56B3595A9A7}">
      <text>
        <r>
          <rPr>
            <b/>
            <sz val="9"/>
            <color indexed="81"/>
            <rFont val="Tahoma"/>
            <family val="2"/>
          </rPr>
          <t>(val tot max 1990-2017)</t>
        </r>
        <r>
          <rPr>
            <sz val="9"/>
            <color indexed="81"/>
            <rFont val="Tahoma"/>
            <family val="2"/>
          </rPr>
          <t xml:space="preserve">
</t>
        </r>
      </text>
    </comment>
    <comment ref="G4" authorId="0" shapeId="0" xr:uid="{7408A3B1-5540-49C9-B7BD-A2BE2A853118}">
      <text>
        <r>
          <rPr>
            <b/>
            <sz val="9"/>
            <color indexed="81"/>
            <rFont val="Tahoma"/>
            <family val="2"/>
          </rPr>
          <t>(4° val tot più basso 1990-2017)</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unieuro</author>
    <author>tc={5FD133A3-3990-4808-822D-D61F4B5740CC}</author>
    <author>tc={BCBEBF62-EEA8-4DAB-A72C-B1F47644C14D}</author>
    <author>tc={BDFCF732-60E4-4D49-864B-E7FEA2706751}</author>
  </authors>
  <commentList>
    <comment ref="C2" authorId="0" shapeId="0" xr:uid="{ED101EE7-1635-4ED0-A0AE-83F5E5841005}">
      <text>
        <r>
          <rPr>
            <b/>
            <sz val="9"/>
            <color indexed="81"/>
            <rFont val="Tahoma"/>
            <family val="2"/>
          </rPr>
          <t>capacità di
sostenere specie vegetali e comunità animali che concorrono al mantenimento e alla conservazione della
biodiversità.</t>
        </r>
        <r>
          <rPr>
            <sz val="9"/>
            <color indexed="81"/>
            <rFont val="Tahoma"/>
            <family val="2"/>
          </rPr>
          <t xml:space="preserve">
</t>
        </r>
      </text>
    </comment>
    <comment ref="A3" authorId="1" shapeId="0" xr:uid="{5FD133A3-3990-4808-822D-D61F4B5740CC}">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valore medio per le tre classi in euro17 (ottenuto dal valore medio in dollari) in base ai dati ISPRA</t>
      </text>
    </comment>
    <comment ref="B3" authorId="2" shapeId="0" xr:uid="{BCBEBF62-EEA8-4DAB-A72C-B1F47644C14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tentativo di ricostruire come ISPRA ottiene i valori per altri ecosistemi</t>
      </text>
    </comment>
    <comment ref="M5" authorId="3" shapeId="0" xr:uid="{BDFCF732-60E4-4D49-864B-E7FEA2706751}">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media ponderata usando l'indicatore Eurostat di superficie SAU delle imprese agricole ad alta o bassa intensità di input</t>
      </text>
    </comment>
    <comment ref="B17" authorId="0" shapeId="0" xr:uid="{50283919-B93A-43D9-811E-47B62A63B0DA}">
      <text>
        <r>
          <rPr>
            <b/>
            <sz val="9"/>
            <color indexed="81"/>
            <rFont val="Tahoma"/>
            <family val="2"/>
          </rPr>
          <t xml:space="preserve">Valutazione economica (tratto da Ispra 2018 annesso metodologico)
</t>
        </r>
        <r>
          <rPr>
            <sz val="9"/>
            <color indexed="81"/>
            <rFont val="Tahoma"/>
            <family val="2"/>
          </rPr>
          <t>Per quanto riguarda il valore economico da associare a questo servizio, poiché esso è associato a
valutazioni complessive della biodiversità si è scelto di fare riferimento a valutazioni come quella di
Costanza (Costanza et al.1997 e 2014) che fornisce il valore economico a scala globale di 17 servizi
ecosistemici, tra cui anche l’habitat/refugia, suddivisi in 16 biomi. La stima più aggiornata rivista dallo
stesso Costanza nel 2014, fa riferimento allo studio condotto da de Groot (de Groot, 2012). I valori
economici di questo studio, per alcuni ecosistemi presenti sul territorio italiano (zone umide, praterie e
foreste), sono stati anche utilizzati per le valutazioni del Rapporto sul Capitale naturale (Comitato Capitale
Naturale, 2018).</t>
        </r>
        <r>
          <rPr>
            <sz val="9"/>
            <color indexed="81"/>
            <rFont val="Tahoma"/>
            <family val="2"/>
          </rPr>
          <t xml:space="preserve">
</t>
        </r>
      </text>
    </comment>
    <comment ref="H39" authorId="0" shapeId="0" xr:uid="{40D8C3F1-D365-4543-9C17-62DCE03E9AB6}">
      <text>
        <r>
          <rPr>
            <sz val="9"/>
            <color indexed="81"/>
            <rFont val="Tahoma"/>
            <family val="2"/>
          </rPr>
          <t>Piante che resistono in terreni semiaridi</t>
        </r>
      </text>
    </comment>
    <comment ref="B45" authorId="0" shapeId="0" xr:uid="{843BA860-8661-4A4C-9CD7-296F2DE1D54B}">
      <text>
        <r>
          <rPr>
            <sz val="9"/>
            <color indexed="81"/>
            <rFont val="Tahoma"/>
            <family val="2"/>
          </rPr>
          <t>Piante che resistono in terreni semiaridi</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B17A31-A81F-46ED-BEB3-18C2C74B749E}" keepAlive="1" name="Query - flood_control_supply_2012_million_euro" description="Connessione alla query 'flood_control_supply_2012_million_euro' nella cartella di lavoro." type="5" refreshedVersion="0" background="1">
    <dbPr connection="Provider=Microsoft.Mashup.OleDb.1;Data Source=$Workbook$;Location=flood_control_supply_2012_million_euro;Extended Properties=&quot;&quot;" command="SELECT * FROM [flood_control_supply_2012_million_euro]"/>
  </connection>
  <connection id="2" xr16:uid="{808B9913-0358-40F2-898F-8799A920A831}" keepAlive="1" name="Query - flood_control_supply_2018_km2" description="Connessione alla query 'flood_control_supply_2018_km2' nella cartella di lavoro." type="5" refreshedVersion="0" background="1">
    <dbPr connection="Provider=Microsoft.Mashup.OleDb.1;Data Source=$Workbook$;Location=flood_control_supply_2018_km2;Extended Properties=&quot;&quot;" command="SELECT * FROM [flood_control_supply_2018_km2]"/>
  </connection>
  <connection id="3" xr16:uid="{DC988C51-4B8D-4FE6-BECE-426689D38636}" keepAlive="1" name="Query - flood_control_use_2012_million_euro" description="Connessione alla query 'flood_control_use_2012_million_euro' nella cartella di lavoro." type="5" refreshedVersion="0" background="1">
    <dbPr connection="Provider=Microsoft.Mashup.OleDb.1;Data Source=$Workbook$;Location=flood_control_use_2012_million_euro;Extended Properties=&quot;&quot;" command="SELECT * FROM [flood_control_use_2012_million_euro]"/>
  </connection>
  <connection id="4" xr16:uid="{839B1248-CA11-4250-9E91-B6DF4C56D606}" keepAlive="1" name="Query - flood_control_use_2018_km2" description="Connessione alla query 'flood_control_use_2018_km2' nella cartella di lavoro." type="5" refreshedVersion="0" background="1">
    <dbPr connection="Provider=Microsoft.Mashup.OleDb.1;Data Source=$Workbook$;Location=flood_control_use_2018_km2;Extended Properties=&quot;&quot;" command="SELECT * FROM [flood_control_use_2018_km2]"/>
  </connection>
</connections>
</file>

<file path=xl/sharedStrings.xml><?xml version="1.0" encoding="utf-8"?>
<sst xmlns="http://schemas.openxmlformats.org/spreadsheetml/2006/main" count="9749" uniqueCount="2473">
  <si>
    <t>Arboricoltura da frutto</t>
  </si>
  <si>
    <t>Aree agricole (coltivazioni non arboree)</t>
  </si>
  <si>
    <t>Arboricoltura da legno (silvicoltura)</t>
  </si>
  <si>
    <t>Prati e pascoli</t>
  </si>
  <si>
    <t>Altre aree boscate (non da legno, quindi seminaturali)</t>
  </si>
  <si>
    <t>Foreste (si presume naturali e non usate per scopi produttivi)</t>
  </si>
  <si>
    <t>t C / ha</t>
  </si>
  <si>
    <t>Totale suolo</t>
  </si>
  <si>
    <t>zona epigea</t>
  </si>
  <si>
    <t>strato superficiale</t>
  </si>
  <si>
    <t>-</t>
  </si>
  <si>
    <t>sostanza org morta</t>
  </si>
  <si>
    <t>vrf</t>
  </si>
  <si>
    <t>Fonte: ISPRA (2018, annesso metodologico SE)</t>
  </si>
  <si>
    <t>strato ipogeo</t>
  </si>
  <si>
    <t>Note</t>
  </si>
  <si>
    <t>riferimento base</t>
  </si>
  <si>
    <t>anche i boschi seminaturali impoveriscono un po' il suolo superficiale ma meno della silvicoltura</t>
  </si>
  <si>
    <t>Rapp con Prati e pascoli</t>
  </si>
  <si>
    <t>Le foreste naturali non impoveriscono il suolo superficiale e immagazzinano molto più dei pascoli mediante le chiome, l'ipogeo e la sostanza morta</t>
  </si>
  <si>
    <t>l'agricoltura impoverisce il suolo superficiale vs rif base e non compensa attraverso le piante</t>
  </si>
  <si>
    <t>anche l'agricoltura da frutto impoverisce il suolo sup vs rif base e non compensa attraverso l'albero</t>
  </si>
  <si>
    <t>anche la silvicoltura impoverisce il suolo superficiale ma le chiome e l'ipogeo compensano con +26%</t>
  </si>
  <si>
    <t>Nota: l'assorbimento dovuto all'accrescimento delle piante riguarda la componente epigea</t>
  </si>
  <si>
    <t>Tipologie di habitat/categorie di uso del suolo (ecosistemi)</t>
  </si>
  <si>
    <t>corpi idrici permanenti</t>
  </si>
  <si>
    <t>zone umide</t>
  </si>
  <si>
    <t>praterie</t>
  </si>
  <si>
    <t>cespuglieti</t>
  </si>
  <si>
    <t>foreste di latifoglie</t>
  </si>
  <si>
    <t>foreste di conifere</t>
  </si>
  <si>
    <t>superfici agricole a uso estensivo</t>
  </si>
  <si>
    <t>Suitability</t>
  </si>
  <si>
    <t>spiagge, dune e sabbie</t>
  </si>
  <si>
    <t>indice</t>
  </si>
  <si>
    <t>Elaborazione ISPRA (2018, allegato metodologico SE) a partire dai valori originariamente forniti da Costanza per tre tipi di ecosistemi (2014) (in grigio).</t>
  </si>
  <si>
    <t>superfici agricole a uso intensivo</t>
  </si>
  <si>
    <t>procedure di espropriazione per pubblica utilità delle aree non edificabili</t>
  </si>
  <si>
    <t xml:space="preserve"> determinati dalla Commissione Provinciale Espropri e pubblicati ufficialmente sui Bollettini Ufficiali Regionali, con la principale finalità delle</t>
  </si>
  <si>
    <t>i Valori Agricoli Medi (ovvero i valori dei terreni agricoli, per tipologia di produzione)  forniti dall’Agenzia delle Entrate e</t>
  </si>
  <si>
    <t>Es Basilicata Matera: https://www.regione.basilicata.it/giunta/files/docs/DOCUMENT_FILE_3050368.pdf</t>
  </si>
  <si>
    <t xml:space="preserve">tC= 3,66 t CO2 in funzione del rapporto tra peso molecolare del CO2 e peso atomico del carbonio C; </t>
  </si>
  <si>
    <t>t CO2 / ha</t>
  </si>
  <si>
    <t>produzione agricola, valutando direttamente in termini economici lo stock di risorsa perduta, utilizzando</t>
  </si>
  <si>
    <t>come proxy il valore delle aree espresso dai VAM associati ai boschi.</t>
  </si>
  <si>
    <t>la stima è stata eseguita nel 2016 e 2017 con lo stesso procedimento applicato per la</t>
  </si>
  <si>
    <t>valore massimo</t>
  </si>
  <si>
    <t>valore centrale</t>
  </si>
  <si>
    <t>Commento:</t>
  </si>
  <si>
    <t>Non si applica alle aree agricole</t>
  </si>
  <si>
    <t>Gli ecosistemi forestali, per l’elevato rapporto superficie fogliare/volume, contribuiscono in</t>
  </si>
  <si>
    <t>modo rilevante al processo di rimozione di inquinanti dall’atmosfera, in particolare grazie alla capacità di</t>
  </si>
  <si>
    <t>assorbimento fogliare di O3 e di adsorbimento di PM10.</t>
  </si>
  <si>
    <t>I seguenti valori di danno evitato (dovuti alla presenza di foreste boschi e aree verdi nel mix italiano ) si riferiscono a qualsiasi tipo di contesto del bosco (Valori medi)</t>
  </si>
  <si>
    <t>minimo</t>
  </si>
  <si>
    <t>centrale</t>
  </si>
  <si>
    <t>massimo</t>
  </si>
  <si>
    <t>Ozono</t>
  </si>
  <si>
    <t xml:space="preserve">Il servizio consiste nella mitigazione dell'inquinamento atmosferico (rimozione di ozono e di particolato) mediante le foglie degli alberi e piante di alto fusto, riducendo l'esposizione dell'uomo all'inquinamento. </t>
  </si>
  <si>
    <t>max</t>
  </si>
  <si>
    <t>media di erosione in EU</t>
  </si>
  <si>
    <t>t / ha-y</t>
  </si>
  <si>
    <t>media di erosione in Italia</t>
  </si>
  <si>
    <t>€ 2015 /t</t>
  </si>
  <si>
    <t>€ 2015 /ha</t>
  </si>
  <si>
    <t>Servizio ES di infiltrazione di acqua e di ricarica delle falde (riserve per eventuale approvvigionamento idrico)</t>
  </si>
  <si>
    <t>€ 2015/mc</t>
  </si>
  <si>
    <t>valore minimo</t>
  </si>
  <si>
    <t>valore max</t>
  </si>
  <si>
    <t>Valore dell'acqua prelevata</t>
  </si>
  <si>
    <t>valore centrale Italia</t>
  </si>
  <si>
    <t>Quantità di acqua consumata in Italia (e prodotta dal suolo italiano, siano essi terreni o laghi o fiumi): 34,2 miliardi di mc</t>
  </si>
  <si>
    <t>L’acqua che si infiltra nel suolo subisce un processo di “purificazione” attraverso processi bio-chimici svolti</t>
  </si>
  <si>
    <t>funzione non solo delle proprietà del suolo, quali la capacità di scambio cationica del suolo (cioè la sua</t>
  </si>
  <si>
    <t>“attività” fisico-chimica), il suo contenuto in sostanza organica, la reazione (pH) e la sua profondità, ma è</t>
  </si>
  <si>
    <t>legata anche al clima, alle pratiche di gestione, e agli input in termini di carico di nutrienti e inquinanti</t>
  </si>
  <si>
    <t>€ 2015 /ha-anno</t>
  </si>
  <si>
    <t>€/ha-anno</t>
  </si>
  <si>
    <t>mc/ ha-anno</t>
  </si>
  <si>
    <t>€ 2015 / ha-anno</t>
  </si>
  <si>
    <t>€2017 /ha-anno</t>
  </si>
  <si>
    <t>Servizio di sostegno alla biodiversità attraverso la qualità dell'habitat</t>
  </si>
  <si>
    <t>Valore economico della qualità dell'habitat ai fini del sostegno della biodiversità (si presuppone che lo stato dell'habitat sia di qualità elevata), per categoria di ecosistema</t>
  </si>
  <si>
    <t>aree interne con vegetazione scarsa o assente</t>
  </si>
  <si>
    <t>anni di accrescimento</t>
  </si>
  <si>
    <t>stock zona epigea</t>
  </si>
  <si>
    <t>assorb. Annuo</t>
  </si>
  <si>
    <t>Servizio fornito da tutti i tipi di suolo eccetto quelli impermeabilizzati</t>
  </si>
  <si>
    <t>Servizio fornito solo da aree agricole</t>
  </si>
  <si>
    <t>Il servizio è fornito da tutti gli ecosistemi , anche quelli urbanizzati (biodiversità nel sottosuolo), seppur in misura inferiore</t>
  </si>
  <si>
    <t>t CO2 / ha-y</t>
  </si>
  <si>
    <t>t C / ha-y</t>
  </si>
  <si>
    <t>ISPRA (2018, annesso metodologico SE):</t>
  </si>
  <si>
    <t>M euro nel 2012</t>
  </si>
  <si>
    <t xml:space="preserve">Valore del contributo del SE produttività agricola in Italia: </t>
  </si>
  <si>
    <t>M euro 2012</t>
  </si>
  <si>
    <t>3° rapporto sul capitale naturale:</t>
  </si>
  <si>
    <t xml:space="preserve">Valore del contributo del SE produzione di biomassa legnosa in Italia: </t>
  </si>
  <si>
    <t xml:space="preserve">aree coltivate e produzione in tonn per tipi di prodotto: ISTAT (http://dati.istat.it/Index.aspx?DataSetCode=DCSP_COLTIVAZIONI#), </t>
  </si>
  <si>
    <t>e il database RICA con valori di produzione e prezzi disponibili a scala sia nazionale che regionale al 2015 (http://arearica.crea.gov.it) in €/ha.</t>
  </si>
  <si>
    <t>indici dei prezzi agricoli: ISMEA (http://www.ismeamercati.it/datiagroalimentare/indice-prezzi</t>
  </si>
  <si>
    <t>Verificato che nell'originale di Costanza i valori di danno sono i SE forniti ogni anno e sono espressi per ha-anno</t>
  </si>
  <si>
    <t>€ 2015 /m3</t>
  </si>
  <si>
    <t>Tondo su strada</t>
  </si>
  <si>
    <t>Legna da ardere</t>
  </si>
  <si>
    <t>Cippato</t>
  </si>
  <si>
    <t>tonn/m3</t>
  </si>
  <si>
    <t>bancali di legna tagliata da ardere</t>
  </si>
  <si>
    <t>legna essiccata da tondo</t>
  </si>
  <si>
    <t>€ 2015/ha</t>
  </si>
  <si>
    <t>anni</t>
  </si>
  <si>
    <t>III Rapporto sul capitale naturale</t>
  </si>
  <si>
    <t>Stock di carbonio immagazzinato nelle 4 componenti del suolo, per classe di uso del suolo</t>
  </si>
  <si>
    <t>Per gli alberi da frutto, vite e olivo, ISPRA assume un accrescimento completo in 20 anni. L'accrescimento annuo viene calcolato come differenza fra il carbonio immagazzinato al 20° anno e quello al 5° diviso per 15 anni (accrescimento annuo corrente). Si esclude la fase di crescita iniziale (5 anni), quando la pianta assorbe molto di più del solito in fase adulta.</t>
  </si>
  <si>
    <t>Si può ragionevolmente assumere per la Basilicata una forchetta compresa fra il valore intermedio della seconda classe (407,5 t) e il valore minimo della classe più elevata (440 t CO2/km2). Valore medio 423,75</t>
  </si>
  <si>
    <t>Valore medio</t>
  </si>
  <si>
    <t>t CO2/ha</t>
  </si>
  <si>
    <t>t CO2/ha-y</t>
  </si>
  <si>
    <t>ulivo</t>
  </si>
  <si>
    <t>t C/ha</t>
  </si>
  <si>
    <t>aumento dell'assorbimento fra il 5° e il 20° anno</t>
  </si>
  <si>
    <t>vite</t>
  </si>
  <si>
    <t>alberi da frutto</t>
  </si>
  <si>
    <t>assorbimento annuo</t>
  </si>
  <si>
    <t>Calcolo dell'assorbimento annuo con metodo ISPRA (annesso met 2018, tabella 4)</t>
  </si>
  <si>
    <t>Arboricoltura da frutto (calcolo con metodo tabella 4 ISPRA)</t>
  </si>
  <si>
    <t>Arboricoltura da frutto (calcolo con tabella 3 ISPRA)</t>
  </si>
  <si>
    <t>ISPRA, tabella 3 annesso metodologico</t>
  </si>
  <si>
    <t>Il valore medio  del flusso di assorbimento di CO2 da parte del patrimonio di boschi e foreste in Basilicata (anno 2012) è quindi:</t>
  </si>
  <si>
    <t>Aree verdi urbane</t>
  </si>
  <si>
    <t>Praterie</t>
  </si>
  <si>
    <t>Cespuglieti</t>
  </si>
  <si>
    <t>Foreste e boschi</t>
  </si>
  <si>
    <t>Aree umide</t>
  </si>
  <si>
    <t>Fiumi e laghi</t>
  </si>
  <si>
    <t>Altro (include aree urbane non verdi, litorale costiero, aree montane rocciose e ghiacciai, deserto)</t>
  </si>
  <si>
    <t>ha</t>
  </si>
  <si>
    <t>Totale Italia</t>
  </si>
  <si>
    <t>km2</t>
  </si>
  <si>
    <t>Colture (aree agricole)</t>
  </si>
  <si>
    <t>Fonte: III rapporto sul capitale naturale, p 134</t>
  </si>
  <si>
    <t>verde urbano capoluoghi di provincia, fonte istat 2016 rapporto sul verde urbano per anno 2014 https://www.istat.it/it/files//2016/05/VERDE-URBANO.pdf</t>
  </si>
  <si>
    <t>Aree aperte urbane</t>
  </si>
  <si>
    <t>Edifici e altre aree artificiali</t>
  </si>
  <si>
    <t>Mia elaborazioen basata su info ISPRA e mie supposizioni su anni di crescita, chiaramente errata per l'agricoltura, ma in linea con JRC (MATTM 3 rapp) per foreste (JRC 3-4 t CO2/h-y)</t>
  </si>
  <si>
    <t>Il JRC fornisce una mappatura dell'assorbimento di CO2 per km2 delle foreste in Italia (tutte, non solo quelle gestite) nel 2012, con tre classi di valori (&lt;295 t CO2/km, 295-345, &gt; 345 t CO2/km). L'assorbimento varia soprattutto con l'altitudine, che seleziona il tipo di specie boschive. Il patrimonio di boschi e foreste della Basilicata si colloca prevalentemente nella  classe con i valori più elevati (&gt; 345 t CO2/km2), per cui si può ragionevolmente assumere una forchetta compresa fra il valore intermedio della seconda classe (320 t) e 345 t CO2/km2 (valore soglia della terza classe). Il valore centrale è 332,5 t Co2/km2.</t>
  </si>
  <si>
    <t>kg C/m2a</t>
  </si>
  <si>
    <t>kg C/m2</t>
  </si>
  <si>
    <t>Forest Land - Boschi e foreste</t>
  </si>
  <si>
    <t>Crop Land - Aree agricole coltivate</t>
  </si>
  <si>
    <t>Grass land - Pascoli e praterie</t>
  </si>
  <si>
    <t>Wetlands - Aree umide e corpi idrici</t>
  </si>
  <si>
    <t>Settlements - Insediamenti</t>
  </si>
  <si>
    <t>Altre aree</t>
  </si>
  <si>
    <t>Totale</t>
  </si>
  <si>
    <t>kha</t>
  </si>
  <si>
    <t>Fonte: ISPRA, NIR, year 2019 dati 2017</t>
  </si>
  <si>
    <t>molto più basso</t>
  </si>
  <si>
    <t>4 volte maggiore</t>
  </si>
  <si>
    <t>2 volte maggiore</t>
  </si>
  <si>
    <t>3 volte maggiore di Altro</t>
  </si>
  <si>
    <t>corrisponde al dato Italia</t>
  </si>
  <si>
    <t xml:space="preserve">M t CO2 </t>
  </si>
  <si>
    <t>M t CO2</t>
  </si>
  <si>
    <t>Harvested Wood products (HWP)</t>
  </si>
  <si>
    <t>na (foreste)</t>
  </si>
  <si>
    <t>n.c.</t>
  </si>
  <si>
    <t>kg CO2 /m2a</t>
  </si>
  <si>
    <t>kg CO2/m2a</t>
  </si>
  <si>
    <t>vedi sotto confronto con inventario ISPRA</t>
  </si>
  <si>
    <t>media Italia 2015-2017</t>
  </si>
  <si>
    <t xml:space="preserve"> I DATI DELLA MAPPA JRC CORRISPONDONO AI DATI INVENTARIO ITALIA</t>
  </si>
  <si>
    <t>assorbimenti foreste anno 2013 (emissioni negative)</t>
  </si>
  <si>
    <t>JRC: La mappatura biofisica è stata effettuata solo per i terreni forestali, che corrisponde a "boschi e foreste" secondo la classificazione MAES (Maes et al., 2013) degli ecosistemi. "Boschi e foreste" è l'unico tipo di ecosistema per il quale esiste una rimozione sostanziale effettiva di carbonio. Infatti per altri tipi di ecosistema, a fronte delle rimozioni si registrano anche delle emissioni, nella maggior parte superiori alle rimozioni stesse (vedi NIR sotto). Anche i pascoli hanno assorbimenti netti positivi, ma di minore entità. Nel caso delle foreste, le rimozioni sono talmente superiori alle emissioni che riescono a controbilanciare abbondantemente  la somma delle emissioni nette provenienti da tutti gli altri tipi di ecosistemi.</t>
  </si>
  <si>
    <t>From (riga) to (colonna)</t>
  </si>
  <si>
    <t>Matrice delle Emissioni (segno +) /Assorbimenti (segno -) annuali da cambiamenti di uso del suolo o da conferma dell'occupazione nell'uso del suolo (kg CO2/m2)</t>
  </si>
  <si>
    <t>Servizio annuo di assorbimento di CO2, per tipo di uso del suolo</t>
  </si>
  <si>
    <t>Calcolo basato sui dati dell'Inventario Nazionale delle Emissioni,  http://www.isprambiente.gov.it/files2019/pubblicazioni/rapporti/R_307_19_NIR2019.pdf</t>
  </si>
  <si>
    <t>Superfici per classi di uso del suolo, Italia. Fonte: ISPRA, NIR 2019, table 6.3a</t>
  </si>
  <si>
    <t>Emissioni di CO2 (segno +) o assorbimenti (segno -), per classe di uso del suolo. Fonte: ISPRA, NIR 2019, table 6</t>
  </si>
  <si>
    <t>Emissioni unitarie di CO2 (segno +) o assorbimenti (segno -), per classe di uso del suolo</t>
  </si>
  <si>
    <t>Emissioni/assorbimenti per classi di uso del suolo</t>
  </si>
  <si>
    <t>ISPRA - LULUCFS, classi di uso del suolo</t>
  </si>
  <si>
    <t>peso sup.</t>
  </si>
  <si>
    <t>Fonte: ISPRA, NIR, year 2019 dati 2017,</t>
  </si>
  <si>
    <t>Assorbimenti Forestali Basilicata</t>
  </si>
  <si>
    <t>Tentativi di calcolare il Servizio annuo di assorbimento di carbonio per crescita piante, partendo dai dati di stock</t>
  </si>
  <si>
    <t>Aree Verdi urbane</t>
  </si>
  <si>
    <t>n. di visite 2018</t>
  </si>
  <si>
    <t>Outdoor recreation</t>
  </si>
  <si>
    <t>Tipo di ecosistema</t>
  </si>
  <si>
    <t>costi per visita</t>
  </si>
  <si>
    <t>M €</t>
  </si>
  <si>
    <t>sett/anno</t>
  </si>
  <si>
    <t>M ab Italia</t>
  </si>
  <si>
    <t>ogni quante settimane 1 abitante effettua una visita con scopo ricreativo outdoor</t>
  </si>
  <si>
    <t>€/v</t>
  </si>
  <si>
    <t>v/p-sett</t>
  </si>
  <si>
    <t>n. visite/ab-sett</t>
  </si>
  <si>
    <t>sett.</t>
  </si>
  <si>
    <t>visite 2018/ha</t>
  </si>
  <si>
    <t>v/ha</t>
  </si>
  <si>
    <t>valore del servizio /ha-a</t>
  </si>
  <si>
    <t>Costi di viaggio (auto benzina) 2018</t>
  </si>
  <si>
    <t>Costi di viaggio (auto elettrica) 2018</t>
  </si>
  <si>
    <t>istat 2020 1 gen</t>
  </si>
  <si>
    <t>Il servizio è legato alla qualità e accessibilità dell'ecosistema per la popolazione residente in loco.</t>
  </si>
  <si>
    <r>
      <t xml:space="preserve">Lo spettro delle attività ricreative potenzialmente offerto dai diversi tipi di ecosistemi è basata sul modello ESTIMAP (Zulian et al., 2013) che che stima la </t>
    </r>
    <r>
      <rPr>
        <b/>
        <sz val="11"/>
        <color theme="1"/>
        <rFont val="Calibri"/>
        <family val="2"/>
        <scheme val="minor"/>
      </rPr>
      <t xml:space="preserve"> percentuale di territorio comunale (LAU) occupato da aree ricreative ad uso quotidiano.</t>
    </r>
  </si>
  <si>
    <t>Le ultime mappe prodotte da JRC si riferiscono all'anno 2012</t>
  </si>
  <si>
    <t>Una volta calcolato il numero di abitanti a distanze almeno prossime (entro i 4 Km) dall’area che offre il servizio ricreativo - e che sono quindi considerati come “domanda soddisfatta” - si deve valutare il numero medio di accessi da parte di tale popolazione che è stimata sulla base di una funzione di mobilità76. Persone che vivono oltre la soglia di prossimità di un’area a scopo potenzialmente ricreativo vengono considerate come “domanda non soddisfatta”</t>
  </si>
  <si>
    <t>Il modello stima le visite potenziali per cella di area che offre il servizio ricreativo. Un aumento del flusso  dipende sia da un aumento dell’area ricreativa  (% aree ricreative del Comune), sia della domanda (popolazione in prossimità dell’area).</t>
  </si>
  <si>
    <t>€/ha-a</t>
  </si>
  <si>
    <t xml:space="preserve">JRC valore unitario del servizio /ha-a </t>
  </si>
  <si>
    <t>ISPRA III RKN 2019 Costi di viaggio (tutta la popolazione) 2018</t>
  </si>
  <si>
    <t>JRC II RKN 2018 Costi di viaggio 2012 (popolazione residente entro 4 km)</t>
  </si>
  <si>
    <t xml:space="preserve">ISPRA valore unitario del servizio /ha-a  </t>
  </si>
  <si>
    <t>Servizio di mitigazione dell'inquinamento atmosferico</t>
  </si>
  <si>
    <t>fonte: Elaborazione ISPRA (2018, allegato metodologico SE)</t>
  </si>
  <si>
    <t>Agricoltura</t>
  </si>
  <si>
    <t>Allevamento</t>
  </si>
  <si>
    <t>Industria</t>
  </si>
  <si>
    <t xml:space="preserve">Energia </t>
  </si>
  <si>
    <t>Famiglie</t>
  </si>
  <si>
    <t>M € 2018</t>
  </si>
  <si>
    <t>Prelievi idrici 2018 (M m3)</t>
  </si>
  <si>
    <t>Servizio ricreativo outdoor: due stime A) ISPRA B) JRC</t>
  </si>
  <si>
    <t>M m3/anno</t>
  </si>
  <si>
    <t>scomparse le coste nella tabella 13</t>
  </si>
  <si>
    <t>m3/ha</t>
  </si>
  <si>
    <t>Valore del servizio ecosistemico  di approvvigionamento idrico (domanda ripartita in base ai pesi offerta)</t>
  </si>
  <si>
    <t>gravi errori in ISPRA</t>
  </si>
  <si>
    <t xml:space="preserve">La stima di ISPRA presenta forti incongruenze per </t>
  </si>
  <si>
    <t>aree verdi urbane, fiumi e laghi e spiagge</t>
  </si>
  <si>
    <t>Criterio di valutazione monetaria: prezzi di mercato colture</t>
  </si>
  <si>
    <t>M euro 2015</t>
  </si>
  <si>
    <t>contributo impollinatori alla produzione</t>
  </si>
  <si>
    <t>Needs 2008, come riportato da Handbook 2019</t>
  </si>
  <si>
    <t xml:space="preserve">Built-up land </t>
  </si>
  <si>
    <t xml:space="preserve"> Intensive arable </t>
  </si>
  <si>
    <t xml:space="preserve">Integrated arable </t>
  </si>
  <si>
    <t xml:space="preserve">Organic arable </t>
  </si>
  <si>
    <t xml:space="preserve"> Organic orchards </t>
  </si>
  <si>
    <t xml:space="preserve">Intensive pasture </t>
  </si>
  <si>
    <t xml:space="preserve"> Less intensive pasture </t>
  </si>
  <si>
    <t xml:space="preserve"> Organic pasture </t>
  </si>
  <si>
    <t xml:space="preserve"> Forests </t>
  </si>
  <si>
    <t xml:space="preserve"> Forest edge </t>
  </si>
  <si>
    <t>euro 2015/m2</t>
  </si>
  <si>
    <t>euro 2015/ha</t>
  </si>
  <si>
    <t>Attenzione: i seguenti costi non sono annuali, si riferiscono al costo totale (costo rimessa in pristino): non sono confrontabili con quanto sppra</t>
  </si>
  <si>
    <t>Danno (totale) per la perdita di habitat per tipo di habitat (costo totale della rimessa in pristino del habitat)</t>
  </si>
  <si>
    <t>Costo della perdita di habitat di un ecosistema- non è il valore del servizio ecosistemico annuo fornito dall'ecosistema</t>
  </si>
  <si>
    <t>TABLE 4.G  SECTORAL BACKGROUND DATA FOR LAND USE, LAND-USE CHANGE AND FORESTRY</t>
  </si>
  <si>
    <t>Inventory 2017</t>
  </si>
  <si>
    <r>
      <t>Harvested wood products (HWP)</t>
    </r>
    <r>
      <rPr>
        <b/>
        <vertAlign val="superscript"/>
        <sz val="12"/>
        <rFont val="Times New Roman"/>
        <family val="1"/>
      </rPr>
      <t>(1)</t>
    </r>
  </si>
  <si>
    <t>Submission 2019 v1</t>
  </si>
  <si>
    <t>(Sheet 2 of 2)</t>
  </si>
  <si>
    <t>ITALY</t>
  </si>
  <si>
    <r>
      <t>HWP activity data</t>
    </r>
    <r>
      <rPr>
        <b/>
        <vertAlign val="superscript"/>
        <sz val="9"/>
        <rFont val="Times New Roman"/>
        <family val="1"/>
      </rPr>
      <t>(2)</t>
    </r>
  </si>
  <si>
    <t xml:space="preserve">Sawnwood </t>
  </si>
  <si>
    <t>Wood panels</t>
  </si>
  <si>
    <t>Paper and paperboard</t>
  </si>
  <si>
    <t>Production</t>
  </si>
  <si>
    <t>Imports</t>
  </si>
  <si>
    <t>Exports</t>
  </si>
  <si>
    <r>
      <t>m</t>
    </r>
    <r>
      <rPr>
        <b/>
        <vertAlign val="superscript"/>
        <sz val="9"/>
        <rFont val="Times New Roman"/>
        <family val="1"/>
      </rPr>
      <t>3</t>
    </r>
  </si>
  <si>
    <t>metric t</t>
  </si>
  <si>
    <r>
      <t>….</t>
    </r>
    <r>
      <rPr>
        <vertAlign val="superscript"/>
        <sz val="9"/>
        <rFont val="Times New Roman"/>
        <family val="1"/>
      </rPr>
      <t>(3)</t>
    </r>
  </si>
  <si>
    <t>1960</t>
  </si>
  <si>
    <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</si>
  <si>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</si>
  <si>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</si>
  <si>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</si>
  <si>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</si>
  <si>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</si>
  <si>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</si>
  <si>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</si>
  <si>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</si>
  <si>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</si>
  <si>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</si>
  <si>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</si>
  <si>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</si>
  <si>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</si>
  <si>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</si>
  <si>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</si>
  <si>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</si>
  <si>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</si>
  <si>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</si>
  <si>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</si>
  <si>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</si>
  <si>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</si>
  <si>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</si>
  <si>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</si>
  <si>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</si>
  <si>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</si>
  <si>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</si>
  <si>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</si>
  <si>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</si>
  <si>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</si>
  <si>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</si>
  <si>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</si>
  <si>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</si>
  <si>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</si>
  <si>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</si>
  <si>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</si>
  <si>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</si>
  <si>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</si>
  <si>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</si>
  <si>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</si>
  <si>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</si>
  <si>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</si>
  <si>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</si>
  <si>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</si>
  <si>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</si>
  <si>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</si>
  <si>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</si>
  <si>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</si>
  <si>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</si>
  <si>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</si>
  <si>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</si>
  <si>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</si>
  <si>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</si>
  <si>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</si>
  <si>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</si>
  <si>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</si>
  <si>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</si>
  <si>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</si>
  <si>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 xml:space="preserve">.            </t>
  </si>
  <si>
    <r>
      <t xml:space="preserve">  (1)</t>
    </r>
    <r>
      <rPr>
        <sz val="9"/>
        <rFont val="Times New Roman"/>
        <family val="1"/>
      </rPr>
      <t xml:space="preserve"> This table is only included for the latest reported inventory year in the CRF.</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</si>
  <si>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</si>
  <si>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</si>
  <si>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</si>
  <si>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Additional information</t>
  </si>
  <si>
    <t>Factors used to convert from product units to carbon</t>
  </si>
  <si>
    <r>
      <t>1. Solid wood</t>
    </r>
    <r>
      <rPr>
        <vertAlign val="superscript"/>
        <sz val="9"/>
        <rFont val="Times New Roman"/>
        <family val="1"/>
      </rPr>
      <t>(a)</t>
    </r>
  </si>
  <si>
    <t>Sawnwood</t>
  </si>
  <si>
    <r>
      <t>2. Paper and paperboard</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</si>
  <si>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</si>
  <si>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 methods are available. </t>
    </r>
  </si>
  <si>
    <t>Documentation box:</t>
  </si>
  <si>
    <t>Documentation box</t>
  </si>
  <si>
    <t>Cartella 4(KP-I, B.1) Forest Management, che contiene dati regionali</t>
  </si>
  <si>
    <t>basilicata</t>
  </si>
  <si>
    <t>NO</t>
  </si>
  <si>
    <t>NE</t>
  </si>
  <si>
    <t>ACTIVITY DATA</t>
  </si>
  <si>
    <t>IMPLIED CARBON STOCK CHANGE FACTORS</t>
  </si>
  <si>
    <t>CHANGE IN CARBON STOCK</t>
  </si>
  <si>
    <t xml:space="preserve">Identification code </t>
  </si>
  <si>
    <t>Subdivision</t>
  </si>
  <si>
    <t>Area subject to the activity</t>
  </si>
  <si>
    <t>Area of mineral soils</t>
  </si>
  <si>
    <t>Area of organic soils</t>
  </si>
  <si>
    <t>Gains</t>
  </si>
  <si>
    <t>Losses</t>
  </si>
  <si>
    <t xml:space="preserve"> Net change</t>
  </si>
  <si>
    <t>Mineral soils</t>
  </si>
  <si>
    <t>(kha)</t>
  </si>
  <si>
    <t>(t C/ha)</t>
  </si>
  <si>
    <t>(kt C)</t>
  </si>
  <si>
    <t>NO,NA</t>
  </si>
  <si>
    <t>NO,NE,NA</t>
  </si>
  <si>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</si>
  <si>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</si>
  <si>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</si>
  <si>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</si>
  <si>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</si>
  <si>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Net carbon stock change in litter per area</t>
    </r>
    <r>
      <rPr>
        <b/>
        <vertAlign val="superscript"/>
        <sz val="9"/>
        <rFont val="Times New Roman"/>
        <family val="1"/>
      </rPr>
      <t>(4)</t>
    </r>
  </si>
  <si>
    <r>
      <t>Net carbon stock change in dead wood per area</t>
    </r>
    <r>
      <rPr>
        <b/>
        <vertAlign val="superscript"/>
        <sz val="9"/>
        <rFont val="Times New Roman"/>
        <family val="1"/>
      </rPr>
      <t>(4)</t>
    </r>
  </si>
  <si>
    <r>
      <t>Net carbon stock change in soils per area</t>
    </r>
    <r>
      <rPr>
        <b/>
        <vertAlign val="superscript"/>
        <sz val="9"/>
        <rFont val="Times New Roman"/>
        <family val="1"/>
      </rPr>
      <t>(4)</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</si>
  <si>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</si>
  <si>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</si>
  <si>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litter</t>
    </r>
    <r>
      <rPr>
        <b/>
        <vertAlign val="superscript"/>
        <sz val="9"/>
        <rFont val="Times New Roman"/>
        <family val="1"/>
      </rPr>
      <t>(4)</t>
    </r>
  </si>
  <si>
    <r>
      <t>Net carbon stock change in dead wood</t>
    </r>
    <r>
      <rPr>
        <b/>
        <vertAlign val="superscript"/>
        <sz val="9"/>
        <rFont val="Times New Roman"/>
        <family val="1"/>
      </rPr>
      <t>(4)</t>
    </r>
  </si>
  <si>
    <r>
      <t>Net carbon stock change in soils</t>
    </r>
    <r>
      <rPr>
        <b/>
        <vertAlign val="superscript"/>
        <sz val="9"/>
        <rFont val="Times New Roman"/>
        <family val="1"/>
      </rPr>
      <t>(4)</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</si>
  <si>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</si>
  <si>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</si>
  <si>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</si>
  <si>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(kt CO</t>
    </r>
    <r>
      <rPr>
        <b/>
        <vertAlign val="subscript"/>
        <sz val="9"/>
        <rFont val="Times New Roman"/>
        <family val="1"/>
      </rPr>
      <t>2</t>
    </r>
    <r>
      <rPr>
        <b/>
        <sz val="9"/>
        <rFont val="Times New Roman"/>
        <family val="1"/>
      </rPr>
      <t>)</t>
    </r>
  </si>
  <si>
    <r>
      <t>Total Italy for activity B.1</t>
    </r>
    <r>
      <rPr>
        <b/>
        <vertAlign val="superscript"/>
        <sz val="9"/>
        <rFont val="Times New Roman"/>
        <family val="1"/>
      </rPr>
      <t>(10)</t>
    </r>
  </si>
  <si>
    <t>kt C</t>
  </si>
  <si>
    <t>t C /ha</t>
  </si>
  <si>
    <t>Totale (con HWP)</t>
  </si>
  <si>
    <t>Totale verifica (senza HWP)</t>
  </si>
  <si>
    <t>CO2/C</t>
  </si>
  <si>
    <r>
      <t>Net CO</t>
    </r>
    <r>
      <rPr>
        <b/>
        <vertAlign val="subscript"/>
        <sz val="9"/>
        <rFont val="Times New Roman"/>
        <family val="1"/>
      </rPr>
      <t>2</t>
    </r>
    <r>
      <rPr>
        <b/>
        <sz val="9"/>
        <rFont val="Times New Roman"/>
        <family val="1"/>
      </rPr>
      <t xml:space="preserve">  /ha</t>
    </r>
  </si>
  <si>
    <t>vrf OK</t>
  </si>
  <si>
    <t>Servizio di assorbimento di CO2 dall'ecosistema Foreste - Basilicata</t>
  </si>
  <si>
    <t>esercizio Regionale  fattibile solo per le foreste, non per altri ecosistemi</t>
  </si>
  <si>
    <t>Servizio ecosistemico annuo di emissione/assorbimento di CO2, per tipo di uso del suolo</t>
  </si>
  <si>
    <t>Calcolo basato sui dati dell'Inventario Nazionale delle Emissioni, tavole del Common Reporting Format (CRF) comunicate dall'Italia all'UNFCCC</t>
  </si>
  <si>
    <t>https://unfccc.int/process-and-meetings/transparency-and-reporting/reporting-and-review-under-the-convention/greenhouse-gas-inventories-annex-i-parties/national-inventory-submissions-2019</t>
  </si>
  <si>
    <t>Superfici per classi di uso del suolo, Italia. Fonte: ISPRA, NIR 2019, CRF 2019 tables 4.A,B,C,D,E,F</t>
  </si>
  <si>
    <t>Emissioni nette di CO2 (segno +) o assorbimenti netti (segno -), per classe di uso del suolo. Fonte: ISPRA, NIR 2019, CRF 2019 tables 4.A,B,C,D,E,F</t>
  </si>
  <si>
    <t>1. Forest land remaining forest land</t>
  </si>
  <si>
    <t>2. Cropland remaining cropland</t>
  </si>
  <si>
    <t>3. Grassland remaining grassland</t>
  </si>
  <si>
    <t>4. Wetlands remaining wetlands</t>
  </si>
  <si>
    <t>NO, NE</t>
  </si>
  <si>
    <t>5. Settlements remaining settlements</t>
  </si>
  <si>
    <t>6. Other land remaining other land</t>
  </si>
  <si>
    <t>n.q.</t>
  </si>
  <si>
    <t>Totale land remaining same land</t>
  </si>
  <si>
    <t>Totale land transformation into other land use</t>
  </si>
  <si>
    <t>Totale superficie Italia</t>
  </si>
  <si>
    <t>Matrice delle Emissioni nette (segno +) /Assorbimenti netti (segno -) annuali da cambiamenti di uso del suolo o da conferma dell'occupazione nell'uso del suolo (kg CO2/m2)</t>
  </si>
  <si>
    <t>Per Basilicata: da un mix di grassland e settlements a un mix di forest e crop: da grass land/settlements a crop ci perdo un pochino, ci guadagno solo se faccio un po' di piantumazione (potrebbe essere una raccomandazione)</t>
  </si>
  <si>
    <r>
      <t xml:space="preserve">Calcolo basato sui dati dell'Inventario Nazionale delle Emissioni, </t>
    </r>
    <r>
      <rPr>
        <b/>
        <sz val="14"/>
        <color rgb="FFFF0000"/>
        <rFont val="Calibri"/>
        <family val="2"/>
        <scheme val="minor"/>
      </rPr>
      <t>(approccio errato perché include nel dato di un uso del suolo le variazioni di Co2 dovute alla trasformazione da un altro uso del suolo a quel tipo )</t>
    </r>
  </si>
  <si>
    <t>kgCO2/mq-a</t>
  </si>
  <si>
    <t>t CO2/ha-a</t>
  </si>
  <si>
    <t>Servizio di approvvigionamento di biomassa legnosa (servizio fornito solo da foreste e silvicoltura )</t>
  </si>
  <si>
    <t>Servizio di approvvigionamento di prodotti agricoli (produttività agricola)</t>
  </si>
  <si>
    <t>Fonte: ISPRA (2018, annesso metodologico SE) + III Rapporto sul capitale naturale</t>
  </si>
  <si>
    <t xml:space="preserve">L'annesso metodologico di ISPRA fornisce due metodologie diverse: una per il flusso annuo di servizio ecosistemico, l'altra per il valore dello stock agricolo. Per ciascuna fornisce fonti informative diverse. </t>
  </si>
  <si>
    <t>Il valore economico dei prodotti agricoli dipende da un complesso di fattori produttivi, basati non solo sulla produttività naturale della terra, ma anche e soprattutto sulle conoscenze agricole, sul lavoro, sulle tecnologie/attrezzature e sull'eventuale impiego di fertilizzanti e biocidi.</t>
  </si>
  <si>
    <t xml:space="preserve">Per il flusso del servizio di approvvigionamento, il metodo si basa sulla moltiplicazione della produzione per il suo valore di mercato. </t>
  </si>
  <si>
    <t>L'annesso metodologico suggerisce le seguenti fonti:</t>
  </si>
  <si>
    <t>Il III rapporto sul capitale naturale, tuttavia, critica questo approccio alla valutazione monetaria del servizio di produttività agricola, che considera l'intero valore della produzione agricola.</t>
  </si>
  <si>
    <t>Il contributo del 3° rapporto sul capitale naturale è stato realizzato da JRC e stima il valore del contributo alla produzione agricola italiana del SE produttività agricola: il 18% della produzione agricola totale</t>
  </si>
  <si>
    <t>Dalla stima JRC si desume il valore della produzione agricola italiana</t>
  </si>
  <si>
    <t>Il contributo del JRC non è corredato di particolari commenti</t>
  </si>
  <si>
    <t>L'annesso metodologico di ISPRA fornisce una metodologia anche per il calcolo del valore dello Stock (terreni):</t>
  </si>
  <si>
    <t>ISPRA - Valutazione dello stock</t>
  </si>
  <si>
    <t>m3</t>
  </si>
  <si>
    <t>t</t>
  </si>
  <si>
    <t>Superficie foreste</t>
  </si>
  <si>
    <t>Estensione degli ecosistemi per tipo di uso del suolo, anno 2018</t>
  </si>
  <si>
    <t>LULUCFS superfici per classi di uso del suolo, anno 2017</t>
  </si>
  <si>
    <t>Produttività legnosa</t>
  </si>
  <si>
    <t>Italia</t>
  </si>
  <si>
    <t>t/ha</t>
  </si>
  <si>
    <t>t/km2</t>
  </si>
  <si>
    <t>Valore produzione</t>
  </si>
  <si>
    <t>Valore unitario</t>
  </si>
  <si>
    <t>€15/ha</t>
  </si>
  <si>
    <t>€15 Milioni</t>
  </si>
  <si>
    <t>Fonte: NIR table 6.3a</t>
  </si>
  <si>
    <t>Fonte: CRF 2019, table 4.Gs2</t>
  </si>
  <si>
    <t>densità media</t>
  </si>
  <si>
    <t>Prezzo medio ponderato (euro/m3) del legname su tutte le tipologie di legname sottoelencate (stima ISPRA 2018 annesso metodologico)</t>
  </si>
  <si>
    <t xml:space="preserve">Prezzo medio ponderato (euro/tonn) del legname </t>
  </si>
  <si>
    <t>afforestation e reforestation</t>
  </si>
  <si>
    <t>forest management</t>
  </si>
  <si>
    <t>deforestation</t>
  </si>
  <si>
    <t>Totale 2017</t>
  </si>
  <si>
    <t>ISPRA: Poiché allo stato attuale, anche in conseguenza della interruzione da parte dell’ISTAT della pubblicazione dei dati relativi, non esiste un modo per valutare in modo specifico la produzione, il metodo adottato utilizza i valori delle utilizzazioni su base nazionale considerati per il calcolo del “carbon stock change” relativo alla biomassa epigea con il modello For-est (ISPRA, 2018; Federici et al, 2008). Il valore medio annuale (calcolato come media sui valori degli anni 2014-2015-2016) delle
utilizzazioni per il periodo di riferimento in termini di volume, viene utilizzato per rappresentare il valore biofisico del flusso di servizio ecosistemico</t>
  </si>
  <si>
    <t>L'annesso metodologico raccomanda di valutare la produzione (utilizzazioni del bosco) in termini monetari  utilizzando il seguente prezzo medio ponderato dei prezzi di mercato delle principali tipologie di legname:</t>
  </si>
  <si>
    <t>Di seguito, viene effettuata la stima autonomamente per l'Italia usando i dati ISPRA del CRF (produzione di legname), NIR (superficie forestale) e di valore del legno (allegato metodologico):</t>
  </si>
  <si>
    <t>Per il flusso del servizio di approvvigionamento, ISPRA considera la produzione annuale di legname, ovvero il taglio annuale di biomassa. (Non considera l'intera produzione di biomassa legnosa in quando assume che solo la parte  oggetto di taglio costituisca un servizio ecosistemico per l'uomo. (secondo la letteratura più recente, per servizio ecosistemico s'intende il contributo che la natura apporta all'uomo, e non il contributo della natura in generale)</t>
  </si>
  <si>
    <t>Nel terzo rapporto sul capitale naturale il JRC fornisce una mappatura della generazione annuale di biomassa forestale per kmq di foresta in Italia nell'anno 2012 (indipendentemente dalla possibilità di taglio in quella foresta o bosco) basata su tre classi di valori (&lt;375 t/km2, 375-440 t/km2; &gt; 440 t/km2)</t>
  </si>
  <si>
    <t>Si può notare che tali valori siano circa tre volte quelli di taglio annuale del bosco in Italia ( circa 130 t/ha)</t>
  </si>
  <si>
    <t>Successivamente, JRC calcola il valore del servizio per l'Italia sulla base della quantità di legname effettivamente tagliato (domanda del servizio), pervenendo ad una stima di 648 milioni di euro nel 2012, ovvero esattamente lo stesso valore da noi stimato per il 2017</t>
  </si>
  <si>
    <t>Stima del servizio per la Basilicata e l'Emilia Romagna</t>
  </si>
  <si>
    <t>Tuttavia, l'annesso metodologico non effettua una stima per l'Italia</t>
  </si>
  <si>
    <t>emilia romagna</t>
  </si>
  <si>
    <t>Fonte: CRF Table (KP-I).B.1 per forest management, Table (KP-I)A.1 per afforestation e reforestation</t>
  </si>
  <si>
    <t>Afforestation and reforestation</t>
  </si>
  <si>
    <t>Superficie degli ecosistemi forestali, anno 2017, fonte CRF</t>
  </si>
  <si>
    <t>Forest management</t>
  </si>
  <si>
    <t>Produzione di legname in Italia (legno segato, pannelli, biomassa da carta)</t>
  </si>
  <si>
    <t>pannelli (wood panels)</t>
  </si>
  <si>
    <t>biomassa da carta (paper and paperboard)</t>
  </si>
  <si>
    <t>legno segato (sawnwood)</t>
  </si>
  <si>
    <t>Produzione di legna</t>
  </si>
  <si>
    <t>presa la produttività Italia</t>
  </si>
  <si>
    <t>Dato Regione stimato</t>
  </si>
  <si>
    <t xml:space="preserve"> www.reterurale.it › pages › ServeAttachment.php › pdf
</t>
  </si>
  <si>
    <t>Rapporto RAF Italia :leggi pag 176 e tabella a fianco pag 177:</t>
  </si>
  <si>
    <t>Questo dato non può essere usato per stimare il valore del SEE, perché non riflette la domanda effettiva in Basilicata, ma solo l'offerta del SEE</t>
  </si>
  <si>
    <t>III Rapporto sul KN, pag 122: dalla mappatura del JRC per l'Italia si può desumere per la Basilicata una forte prevalenza di superfici forestali con produttività elevata di biomassa (&gt;440 tonn/km2 )</t>
  </si>
  <si>
    <t>IN base ai dati del rapporto RAF la legna da ardere nel 2015 è 3,2 M m3, mentre la legna da industria 2,0 Milioni. Siccome la somma dei due deve dare la somma di legno segato e di pannelli (5,1 milioni m3 nel 2015), la legna da ardere sembra inclusa nei dati ISPRA sul legname in italia (circa il 70% del legno segato e  il 60% dei pannelli), mentre è escluso dai dati ISPRA  il cippato e il pellet, che secondo RAF contano per ulteriore circa 1 milione di m3</t>
  </si>
  <si>
    <t>RAF riporta i prezzi 2017 per legna industriale e legna da ardere, per cui la stima è perfettibile</t>
  </si>
  <si>
    <t xml:space="preserve"> stesso valore da noi stimato per il 2017</t>
  </si>
  <si>
    <t>Manca dato di produzione legname Basilicata (segato, pannelli e carta), che è la domanda di SEE</t>
  </si>
  <si>
    <t>Valore economico totale del servizio di impollinazione</t>
  </si>
  <si>
    <t>criterio di quantificazione fisica del servizio: si considera solo la quota incrementale della produzione attribuibile al servizio di impollinazione naturale (la % è desumibile come rapporto fra il totale tab. 47 e tab. 46)</t>
  </si>
  <si>
    <t>la letteratura consultata riferisce questo SEE solo alle aree per uso agricolo</t>
  </si>
  <si>
    <t>Due fonti: ISPRA Allegato metodologico e ISPRA III Rapporto sul capitale naturale</t>
  </si>
  <si>
    <t>a) ISPRA Allegato Metodologico 2018</t>
  </si>
  <si>
    <t>B) III rapporto sul capitale naturale: contributo di ISPRA sul servizio ES di approvvigionamento idrico</t>
  </si>
  <si>
    <t>Il servizio di purificazione dell'acqua</t>
  </si>
  <si>
    <t>dalla parte minerale del suolo, e ancor più dalla sua componenti biologica. La capacità depurativa delle acque è</t>
  </si>
  <si>
    <t>presenti nell’acqua, quali, ad esempio, i fertilizzanti (Xu at al., 2016).</t>
  </si>
  <si>
    <t>infiltrazione dell’acqua nel suolo, con la conseguenza che il carico di inquinanti già</t>
  </si>
  <si>
    <t>presente nelle acque non viene ridotto e finisce nei corsi d’acqua superficiali.</t>
  </si>
  <si>
    <t>Other land</t>
  </si>
  <si>
    <t>classi di uso del suolo</t>
  </si>
  <si>
    <t>ID_pozzo</t>
  </si>
  <si>
    <t>nome_pozzo</t>
  </si>
  <si>
    <t>nome_centrale_nei_pozzi</t>
  </si>
  <si>
    <t>Concessione</t>
  </si>
  <si>
    <t>Regione</t>
  </si>
  <si>
    <t>classe_corine</t>
  </si>
  <si>
    <t>corine_livello3</t>
  </si>
  <si>
    <t>MAES_ecosystem</t>
  </si>
  <si>
    <t>MASSERIA SANTORO 001</t>
  </si>
  <si>
    <t>MASSERIA SANTORO</t>
  </si>
  <si>
    <t>MASSERIA MONACO</t>
  </si>
  <si>
    <t>Basilicata</t>
  </si>
  <si>
    <t>324</t>
  </si>
  <si>
    <t>Aree a vegetazione boschiva ed arbustiva in evoluzione</t>
  </si>
  <si>
    <t>MONTE CANTIERE 015</t>
  </si>
  <si>
    <t>BARIGAZZO</t>
  </si>
  <si>
    <t>MONTE CANTIERE</t>
  </si>
  <si>
    <t>Emilia Romagna</t>
  </si>
  <si>
    <t>3115</t>
  </si>
  <si>
    <t>Boschi di latifoglie</t>
  </si>
  <si>
    <t>MASSERIA GALTIERI 001</t>
  </si>
  <si>
    <t>PISTICCI GAS</t>
  </si>
  <si>
    <t>MONTE MORRONE</t>
  </si>
  <si>
    <t>2111</t>
  </si>
  <si>
    <t>Seminativi in aree non irrigue</t>
  </si>
  <si>
    <t>MONTE ALPI 001 OR B</t>
  </si>
  <si>
    <t>CENTRO OLIO VAL D'AGRI</t>
  </si>
  <si>
    <t>VAL D'AGRI</t>
  </si>
  <si>
    <t>3112</t>
  </si>
  <si>
    <t>MONTE ALPI 007 OR</t>
  </si>
  <si>
    <t>MONTE CANTIERE 013</t>
  </si>
  <si>
    <t>MONTE ALPI W 001</t>
  </si>
  <si>
    <t>MONTE ALPI 008 OR</t>
  </si>
  <si>
    <t>METAPONTO 001 DIR A</t>
  </si>
  <si>
    <t>METAPONTO</t>
  </si>
  <si>
    <t>IL SALICE</t>
  </si>
  <si>
    <t>241</t>
  </si>
  <si>
    <t>Colture temporanee associate a colture permanenti</t>
  </si>
  <si>
    <t>MONTE ALPI 006 OR</t>
  </si>
  <si>
    <t>MONTE ALPI 005 0R</t>
  </si>
  <si>
    <t>242</t>
  </si>
  <si>
    <t>Sistemi colturali e particellari complessi</t>
  </si>
  <si>
    <t>MONTE ALPI 004 X</t>
  </si>
  <si>
    <t>MONTE ALPI 003 DIR</t>
  </si>
  <si>
    <t>MONTE ALPI 002 OR A</t>
  </si>
  <si>
    <t>MONTE ALPI E 001</t>
  </si>
  <si>
    <t>LOCANTORE 001</t>
  </si>
  <si>
    <t>TEMPA ROSSA</t>
  </si>
  <si>
    <t>MUZZA 004 DIR A</t>
  </si>
  <si>
    <t>MUZZA</t>
  </si>
  <si>
    <t>RECOVATO</t>
  </si>
  <si>
    <t>MONTE CANTIERE 014</t>
  </si>
  <si>
    <t>MUZZA 003 X DIR A</t>
  </si>
  <si>
    <t>MUZZA 001 DIR A</t>
  </si>
  <si>
    <t>PALINO 021</t>
  </si>
  <si>
    <t>CANDELA</t>
  </si>
  <si>
    <t>PALINO 020</t>
  </si>
  <si>
    <t>PALINO 016</t>
  </si>
  <si>
    <t>PALINO 014</t>
  </si>
  <si>
    <t>PALINO 012</t>
  </si>
  <si>
    <t>PALINO 009</t>
  </si>
  <si>
    <t>PALINO 006</t>
  </si>
  <si>
    <t>PALINO 004</t>
  </si>
  <si>
    <t>PALINO 003</t>
  </si>
  <si>
    <t>PALINO 011</t>
  </si>
  <si>
    <t>MONTE ENOC 003 OR A</t>
  </si>
  <si>
    <t>2112</t>
  </si>
  <si>
    <t>MONTE ENOC W 001 OR A</t>
  </si>
  <si>
    <t>MONTE ENOC NW 001 DIR A</t>
  </si>
  <si>
    <t>3211</t>
  </si>
  <si>
    <t>Aree a pascolo naturale e praterie</t>
  </si>
  <si>
    <t>MONTE ENOC 009 OR</t>
  </si>
  <si>
    <t>MONTE ENOC 004 DIR</t>
  </si>
  <si>
    <t>MONTE ENOC 002 OR</t>
  </si>
  <si>
    <t>MONTE ENOC 001 OR A</t>
  </si>
  <si>
    <t>31313</t>
  </si>
  <si>
    <t>Boschi misti di conifere e latifoglie</t>
  </si>
  <si>
    <t>MONTE DELLE VIGNE 002 DIR</t>
  </si>
  <si>
    <t>FORNOVO</t>
  </si>
  <si>
    <t>FORNOVO DI TARO</t>
  </si>
  <si>
    <t>243</t>
  </si>
  <si>
    <t>Aree prevalentemente occupate da colture agrarie con presenza di spazi naturali importanti</t>
  </si>
  <si>
    <t>MONTE DELLE VIGNE 001 DIR</t>
  </si>
  <si>
    <t>MONTE ENOC 005 OR A</t>
  </si>
  <si>
    <t>GIOIA SUD EST 001 DIR A</t>
  </si>
  <si>
    <t>SINNI</t>
  </si>
  <si>
    <t>POLICORO</t>
  </si>
  <si>
    <t>222</t>
  </si>
  <si>
    <t>Frutteti e frutti minori</t>
  </si>
  <si>
    <t>GIOIA 001</t>
  </si>
  <si>
    <t>RECOLETA</t>
  </si>
  <si>
    <t>PALINO 026 DIR</t>
  </si>
  <si>
    <t>PALINO 024 DIR A</t>
  </si>
  <si>
    <t>ACCETTURA 002 DIR ST</t>
  </si>
  <si>
    <t>GARAGUSO</t>
  </si>
  <si>
    <t>QUARTO 001</t>
  </si>
  <si>
    <t>QUARTO</t>
  </si>
  <si>
    <t>QUADRELLI 002</t>
  </si>
  <si>
    <t>QUADRELLI</t>
  </si>
  <si>
    <t>PIGAZZANO</t>
  </si>
  <si>
    <t>RAVENNA 052 DIR</t>
  </si>
  <si>
    <t>RAVENNA TERRA</t>
  </si>
  <si>
    <t>RAVENNA 051 DIR</t>
  </si>
  <si>
    <t>RAVENNA 050</t>
  </si>
  <si>
    <t>PISTICCI 034 DIR</t>
  </si>
  <si>
    <t>SERRA PIZZUTA</t>
  </si>
  <si>
    <t>PISTICCI 039</t>
  </si>
  <si>
    <t>31321</t>
  </si>
  <si>
    <t>PISTICCI 038 DIR</t>
  </si>
  <si>
    <t>PISTICCI 037</t>
  </si>
  <si>
    <t>333</t>
  </si>
  <si>
    <t>Aree con vegetazione rada</t>
  </si>
  <si>
    <t>PISTICCI 035</t>
  </si>
  <si>
    <t>POMPOSA 002 DIR</t>
  </si>
  <si>
    <t>POMPOSA</t>
  </si>
  <si>
    <t>PISTICCI 033 DIR</t>
  </si>
  <si>
    <t>PISTICCI 032 DIR</t>
  </si>
  <si>
    <t>PISTICCI 030 DIR A</t>
  </si>
  <si>
    <t>PISTICCI OLIO</t>
  </si>
  <si>
    <t>PISTICCI 029 DIR</t>
  </si>
  <si>
    <t>PISTICCI 028 DIR</t>
  </si>
  <si>
    <t>PISTICCI 024</t>
  </si>
  <si>
    <t>PISTICCI 036</t>
  </si>
  <si>
    <t>PORTO CORSINI 012 DIR B</t>
  </si>
  <si>
    <t>CASALBORSETTI</t>
  </si>
  <si>
    <t>PORTO CORSINI TERRA</t>
  </si>
  <si>
    <t>PONTETIDONE 001 BIS</t>
  </si>
  <si>
    <t>PONTETIDONE</t>
  </si>
  <si>
    <t>POLICORO 001 BIS DIR</t>
  </si>
  <si>
    <t>POMPOSA 001</t>
  </si>
  <si>
    <t>POMPOSA 004 DIR</t>
  </si>
  <si>
    <t>POMPOSA 003 DIR</t>
  </si>
  <si>
    <t>PISTICCI 019 DA</t>
  </si>
  <si>
    <t>PISTICCI 023</t>
  </si>
  <si>
    <t>PALINO 038 DIR</t>
  </si>
  <si>
    <t>PALINO 037 DIR</t>
  </si>
  <si>
    <t>PALINO 036 DIR A</t>
  </si>
  <si>
    <t>PALINO 035</t>
  </si>
  <si>
    <t>PALINO 027</t>
  </si>
  <si>
    <t>PISTICCI 013</t>
  </si>
  <si>
    <t>PISTICCI 007</t>
  </si>
  <si>
    <t>PISTICCI 006</t>
  </si>
  <si>
    <t>PISTICCI 005</t>
  </si>
  <si>
    <t>PIETRALUNGA 002</t>
  </si>
  <si>
    <t>PISTICCI 020</t>
  </si>
  <si>
    <t>TAURO 001</t>
  </si>
  <si>
    <t>NON ALLACCIATO</t>
  </si>
  <si>
    <t>PISTICCI 002</t>
  </si>
  <si>
    <t>PALINO 025 DIR</t>
  </si>
  <si>
    <t>APPIA 001 DIR</t>
  </si>
  <si>
    <t>SALSOMAGGIORE 093</t>
  </si>
  <si>
    <t>SALSOMAGGIORE I</t>
  </si>
  <si>
    <t>SALSOMAGGIORE 029</t>
  </si>
  <si>
    <t>112</t>
  </si>
  <si>
    <t>Zone residenziali a tessuto discontinuo e rado</t>
  </si>
  <si>
    <t>AGRI 001 OR A - 001 OR B</t>
  </si>
  <si>
    <t>ALLI 004 OR</t>
  </si>
  <si>
    <t>ALLI 003 OR</t>
  </si>
  <si>
    <t>ALLI 001 OR A</t>
  </si>
  <si>
    <t>ACCETTURA 001 BIS</t>
  </si>
  <si>
    <t>ACCETTURA 005 DIR ST</t>
  </si>
  <si>
    <t>ACCETTURA 004</t>
  </si>
  <si>
    <t>ACCETTURA 003</t>
  </si>
  <si>
    <t>CARAPELLE 004</t>
  </si>
  <si>
    <t>CASTELLUCCIO SAURI 001</t>
  </si>
  <si>
    <t>CAVONE DI CARPI 007  DIR</t>
  </si>
  <si>
    <t>CAVONE CENTRO OLIO</t>
  </si>
  <si>
    <t>MIRANDOLA</t>
  </si>
  <si>
    <t>CERRO FALCONE 009 OR</t>
  </si>
  <si>
    <t>CERRO FALCONE 006 OR</t>
  </si>
  <si>
    <t>CAVONE DI CARPI 008 DIR</t>
  </si>
  <si>
    <t>CAVONE DI CARPI 004</t>
  </si>
  <si>
    <t>CAVONE DI CARPI 002  DIR</t>
  </si>
  <si>
    <t>CAVONE 017</t>
  </si>
  <si>
    <t>CAVONE 013</t>
  </si>
  <si>
    <t>CAVONE DI CARPI 009</t>
  </si>
  <si>
    <t>FOSSO DEL BRIGANTE 001 DIR</t>
  </si>
  <si>
    <t>COSTA MOLINA W 001 DIR</t>
  </si>
  <si>
    <t>3212</t>
  </si>
  <si>
    <t>COLACELLO 001</t>
  </si>
  <si>
    <t>CARAPELLE 003</t>
  </si>
  <si>
    <t>DEMMA 002 X</t>
  </si>
  <si>
    <t>231</t>
  </si>
  <si>
    <t>Prati stabili (foraggere permanenti)</t>
  </si>
  <si>
    <t>DEMMA 001</t>
  </si>
  <si>
    <t>BARIGAZZO 001</t>
  </si>
  <si>
    <t>BARIGAZZO 007</t>
  </si>
  <si>
    <t>BARIGAZZO 006</t>
  </si>
  <si>
    <t>BARIGAZZO 002</t>
  </si>
  <si>
    <t>BARIGAZZO 003</t>
  </si>
  <si>
    <t>SALACARO 001</t>
  </si>
  <si>
    <t>CANDELA 019</t>
  </si>
  <si>
    <t>223</t>
  </si>
  <si>
    <t>Oliveti</t>
  </si>
  <si>
    <t>CANDELA 005</t>
  </si>
  <si>
    <t>CANDELA 033</t>
  </si>
  <si>
    <t>CANDELA 031</t>
  </si>
  <si>
    <t>CANDELA 027</t>
  </si>
  <si>
    <t>CANDELA 026</t>
  </si>
  <si>
    <t>CANDELA 025</t>
  </si>
  <si>
    <t>CANDELA 035</t>
  </si>
  <si>
    <t>CANDELA 021</t>
  </si>
  <si>
    <t>CANDELA 038 DIR</t>
  </si>
  <si>
    <t>CANDELA 018</t>
  </si>
  <si>
    <t>CANDELA 016</t>
  </si>
  <si>
    <t>CANDELA 015</t>
  </si>
  <si>
    <t>CANDELA 014</t>
  </si>
  <si>
    <t>CANDELA 010</t>
  </si>
  <si>
    <t>CANDELA 023</t>
  </si>
  <si>
    <t>CANDELA 046 DIR</t>
  </si>
  <si>
    <t>CARAPELLE 002</t>
  </si>
  <si>
    <t>CANDELA 056 DIR</t>
  </si>
  <si>
    <t>CANDELA 055 DIR</t>
  </si>
  <si>
    <t>CANDELA 054 DIR</t>
  </si>
  <si>
    <t>CANDELA 053 DIR</t>
  </si>
  <si>
    <t>CANDELA 049 DIR</t>
  </si>
  <si>
    <t>CANDELA 034</t>
  </si>
  <si>
    <t>CANDELA 047 DIR</t>
  </si>
  <si>
    <t>CANDELA 003</t>
  </si>
  <si>
    <t>CANDELA 044 DIR</t>
  </si>
  <si>
    <t>CANDELA 043 DIR</t>
  </si>
  <si>
    <t>CANDELA 042 DIR</t>
  </si>
  <si>
    <t>CANDELA 041 DIR</t>
  </si>
  <si>
    <t>CANDELA 040 DIR</t>
  </si>
  <si>
    <t>CANDELA 039 DIR</t>
  </si>
  <si>
    <t>CANDELA 048 DIR</t>
  </si>
  <si>
    <t>CANDELA 009</t>
  </si>
  <si>
    <t>CANDELA 001</t>
  </si>
  <si>
    <t>CANALDENTE 001</t>
  </si>
  <si>
    <t>CALCIANO</t>
  </si>
  <si>
    <t>3111</t>
  </si>
  <si>
    <t>CALDAROSA 001 DIR A  ST</t>
  </si>
  <si>
    <t>SALGASTRI 007</t>
  </si>
  <si>
    <t>PORRETTA TERME</t>
  </si>
  <si>
    <t>SALGASTRI</t>
  </si>
  <si>
    <t>GAGGIOLA 196</t>
  </si>
  <si>
    <t>GAGGIOLA</t>
  </si>
  <si>
    <t>GAGGIOLA 197</t>
  </si>
  <si>
    <t>GAGGIOLA 198</t>
  </si>
  <si>
    <t>GAGGIOLA 203</t>
  </si>
  <si>
    <t>MOLINAZZO 144</t>
  </si>
  <si>
    <t>MOLINAZZO</t>
  </si>
  <si>
    <t>MOLINAZZO 149</t>
  </si>
  <si>
    <t>CH4 005</t>
  </si>
  <si>
    <t>GRECCHIA</t>
  </si>
  <si>
    <t>POZZA</t>
  </si>
  <si>
    <t>SALGASTRI 005</t>
  </si>
  <si>
    <t>121</t>
  </si>
  <si>
    <t>Aree industriali, commerciali e dei servizi pubblici e privati</t>
  </si>
  <si>
    <t>GAGGIOLA 185</t>
  </si>
  <si>
    <t>SALGASTRI 021</t>
  </si>
  <si>
    <t>SALGASTRI 072</t>
  </si>
  <si>
    <t>SALGASTRI 089</t>
  </si>
  <si>
    <t>SALGASTRI 122</t>
  </si>
  <si>
    <t>SALGASTRI 179</t>
  </si>
  <si>
    <t>SALGASTRI 180</t>
  </si>
  <si>
    <t>SALGASTRI 190</t>
  </si>
  <si>
    <t>MOLINAZZO 152</t>
  </si>
  <si>
    <t>GAGGIOLA 174</t>
  </si>
  <si>
    <t>GAGGIOLA 163</t>
  </si>
  <si>
    <t>GAGGIOLA 165</t>
  </si>
  <si>
    <t>GAGGIOLA 167</t>
  </si>
  <si>
    <t>GAGGIOLA 168</t>
  </si>
  <si>
    <t>GAGGIOLA 169</t>
  </si>
  <si>
    <t>GAGGIOLA 170</t>
  </si>
  <si>
    <t>GAGGIOLA 171</t>
  </si>
  <si>
    <t>GAGGIOLA 191</t>
  </si>
  <si>
    <t>GAGGIOLA 173</t>
  </si>
  <si>
    <t>GAGGIOLA 186</t>
  </si>
  <si>
    <t>GAGGIOLA 176</t>
  </si>
  <si>
    <t>GAGGIOLA 177</t>
  </si>
  <si>
    <t>GAGGIOLA 178</t>
  </si>
  <si>
    <t>GAGGIOLA 182</t>
  </si>
  <si>
    <t>GAGGIOLA 183</t>
  </si>
  <si>
    <t>GAGGIOLA 184</t>
  </si>
  <si>
    <t>SALGASTRI 195</t>
  </si>
  <si>
    <t>GAGGIOLA 172</t>
  </si>
  <si>
    <t>SALGASTRI 193</t>
  </si>
  <si>
    <t>POGGIO CASTIONE 006</t>
  </si>
  <si>
    <t>PONTEPARMA</t>
  </si>
  <si>
    <t>POGGIO CASTIONE</t>
  </si>
  <si>
    <t>POGGIO CASTIONE 007</t>
  </si>
  <si>
    <t>POGGIO CASTIONE 008</t>
  </si>
  <si>
    <t>POGGIO CASTIONE 009</t>
  </si>
  <si>
    <t>POGGIO CASTIONE 010</t>
  </si>
  <si>
    <t>POGGIO CASTIONE 004</t>
  </si>
  <si>
    <t>POGGIO CASTIONE 003</t>
  </si>
  <si>
    <t>S.TEODORO 001 DIR ST</t>
  </si>
  <si>
    <t>S. TEODORO</t>
  </si>
  <si>
    <t>GAGGIOLA 160</t>
  </si>
  <si>
    <t>MISANO 001</t>
  </si>
  <si>
    <t>NESSUNA CENTRALE</t>
  </si>
  <si>
    <t>MISANO ADRIATICO</t>
  </si>
  <si>
    <t>POGGIO CASTIONE 005</t>
  </si>
  <si>
    <t>SALGASTRI 194</t>
  </si>
  <si>
    <t>CUPOLONI 003 DIR</t>
  </si>
  <si>
    <t>SCANZANO</t>
  </si>
  <si>
    <t>CUPOLONI 004 DIR</t>
  </si>
  <si>
    <t>POGGIO CASTIONE 001</t>
  </si>
  <si>
    <t>POGGIO CASTIONE 002</t>
  </si>
  <si>
    <t>BOMBIANA 006</t>
  </si>
  <si>
    <t>BOMBIANA</t>
  </si>
  <si>
    <t>BOMBIANA 016</t>
  </si>
  <si>
    <t>VETA 004</t>
  </si>
  <si>
    <t>VETA 005</t>
  </si>
  <si>
    <t>VETA 006</t>
  </si>
  <si>
    <t>BOMBIANA 001</t>
  </si>
  <si>
    <t>BOMBIANA 002</t>
  </si>
  <si>
    <t>BOMBIANA 003</t>
  </si>
  <si>
    <t>VETA 002</t>
  </si>
  <si>
    <t>BOMBIANA 005</t>
  </si>
  <si>
    <t>VETA 001</t>
  </si>
  <si>
    <t>BOMBIANA 007</t>
  </si>
  <si>
    <t>BOMBIANA 008</t>
  </si>
  <si>
    <t>BOMBIANA 009</t>
  </si>
  <si>
    <t>BOMBIANA 010</t>
  </si>
  <si>
    <t>BOMBIANA 013</t>
  </si>
  <si>
    <t>BOMBIANA 014</t>
  </si>
  <si>
    <t>GAGGIOLA 162</t>
  </si>
  <si>
    <t>BOMBIANA 004</t>
  </si>
  <si>
    <t>CH4 017</t>
  </si>
  <si>
    <t>CH4 006</t>
  </si>
  <si>
    <t>CH4 007</t>
  </si>
  <si>
    <t>CH4 008</t>
  </si>
  <si>
    <t>CH4 009</t>
  </si>
  <si>
    <t>CH4 010</t>
  </si>
  <si>
    <t>CH4 011</t>
  </si>
  <si>
    <t>CH4 012</t>
  </si>
  <si>
    <t>VETA 003</t>
  </si>
  <si>
    <t>CH4 016</t>
  </si>
  <si>
    <t>BOMBIANA 017</t>
  </si>
  <si>
    <t>CH4 018</t>
  </si>
  <si>
    <t>CH4 019</t>
  </si>
  <si>
    <t>CH4 020</t>
  </si>
  <si>
    <t>CH4 021</t>
  </si>
  <si>
    <t>CH4 022</t>
  </si>
  <si>
    <t>CH4 023</t>
  </si>
  <si>
    <t>CH4 024</t>
  </si>
  <si>
    <t>CH4 015</t>
  </si>
  <si>
    <t>GAGGIOLA 118</t>
  </si>
  <si>
    <t>BOMBIANA 015</t>
  </si>
  <si>
    <t>CA?BELLAVISTA 139</t>
  </si>
  <si>
    <t>CA' BELLAVISTA</t>
  </si>
  <si>
    <t>CA?BELLAVISTA 142</t>
  </si>
  <si>
    <t>CA?BELLAVISTA 143</t>
  </si>
  <si>
    <t>CA?BELLAVISTA 148</t>
  </si>
  <si>
    <t>CA?BELLAVISTA 175</t>
  </si>
  <si>
    <t>CA?BELLAVISTA 187</t>
  </si>
  <si>
    <t>CA?BELLAVISTA 136</t>
  </si>
  <si>
    <t>CA?BELLAVISTA 192</t>
  </si>
  <si>
    <t>CA?BELLAVISTA 135</t>
  </si>
  <si>
    <t>GAGGIOLA 150</t>
  </si>
  <si>
    <t>GAGGIOLA 155</t>
  </si>
  <si>
    <t>GAGGIOLA 156</t>
  </si>
  <si>
    <t>GAGGIOLA 157</t>
  </si>
  <si>
    <t>GAGGIOLA 158</t>
  </si>
  <si>
    <t>GAGGIOLA 159</t>
  </si>
  <si>
    <t>CA?BELLAVISTA 188</t>
  </si>
  <si>
    <t>CA?BELLAVISTA 126</t>
  </si>
  <si>
    <t>BOMBIANA 018</t>
  </si>
  <si>
    <t>BOMBIANA 019</t>
  </si>
  <si>
    <t>BOMBIANA 020</t>
  </si>
  <si>
    <t>BOMBIANA 021</t>
  </si>
  <si>
    <t>BOMBIANA 022</t>
  </si>
  <si>
    <t>CA?BELLAVISTA 106</t>
  </si>
  <si>
    <t>CA?BELLAVISTA 106 BIS</t>
  </si>
  <si>
    <t>CA?BELLAVISTA 138</t>
  </si>
  <si>
    <t>CA?BELLAVISTA 110</t>
  </si>
  <si>
    <t>GAGGIOLA 161</t>
  </si>
  <si>
    <t>CA?BELLAVISTA 127</t>
  </si>
  <si>
    <t>CA?BELLAVISTA 129</t>
  </si>
  <si>
    <t>CA?BELLAVISTA 130</t>
  </si>
  <si>
    <t>CA?BELLAVISTA 131</t>
  </si>
  <si>
    <t>CA?BELLAVISTA 132</t>
  </si>
  <si>
    <t>CA?BELLAVISTA 133</t>
  </si>
  <si>
    <t>CA?BELLAVISTA 134</t>
  </si>
  <si>
    <t>CA?BELLAVISTA 109</t>
  </si>
  <si>
    <t>DOSSO DEGLI ANGELI 010 DIR</t>
  </si>
  <si>
    <t>DOSSO DEGLI ANGELI</t>
  </si>
  <si>
    <t>3121</t>
  </si>
  <si>
    <t>Boschi di conifere</t>
  </si>
  <si>
    <t>DOSSO DEGLI ANGELI 009 DIR</t>
  </si>
  <si>
    <t>DOSSO DEGLI ANGELI 008 DIR</t>
  </si>
  <si>
    <t>DOSSO DEGLI ANGELI 007 DIR</t>
  </si>
  <si>
    <t>DOSSO DEGLI ANGELI 006 DIR</t>
  </si>
  <si>
    <t>DOSSO DEGLI ANGELI 005 DIR</t>
  </si>
  <si>
    <t>DOSSO DEGLI ANGELI 013 DIR</t>
  </si>
  <si>
    <t>DOSSO DEGLI ANGELI 014 DIR</t>
  </si>
  <si>
    <t>MUZZA 005 DIR</t>
  </si>
  <si>
    <t>ASCOLI SATRIANO 007</t>
  </si>
  <si>
    <t>DOSSO DEGLI ANGELI 004 DIR</t>
  </si>
  <si>
    <t>DOSSO DEGLI ANGELI 025 DIR</t>
  </si>
  <si>
    <t>ASCOLI SATRIANO 001</t>
  </si>
  <si>
    <t>DOSSO DEGLI ANGELI 032 DIR</t>
  </si>
  <si>
    <t>DOSSO DEGLI ANGELI 031 DIR</t>
  </si>
  <si>
    <t>DOSSO DEGLI ANGELI 030 DIR</t>
  </si>
  <si>
    <t>DOSSO DEGLI ANGELI 029 DIR</t>
  </si>
  <si>
    <t>DOSSO DEGLI ANGELI 028 DIR A</t>
  </si>
  <si>
    <t>DOSSO DEGLI ANGELI 012 DIR</t>
  </si>
  <si>
    <t>DOSSO DEGLI ANGELI 026 DIR</t>
  </si>
  <si>
    <t>DOSSO DEGLI ANGELI 024 DIR</t>
  </si>
  <si>
    <t>DOSSO DEGLI ANGELI 023 DIR</t>
  </si>
  <si>
    <t>DOSSO DEGLI ANGELI 022 DIR</t>
  </si>
  <si>
    <t>DOSSO DEGLI ANGELI 021 DIR</t>
  </si>
  <si>
    <t>DOSSO DEGLI ANGELI 017 DIR</t>
  </si>
  <si>
    <t>DOSSO DEGLI ANGELI 016 DIR</t>
  </si>
  <si>
    <t>DOSSO DEGLI ANGELI 015 DIR</t>
  </si>
  <si>
    <t>MEZZOCOLLE 001 DIR</t>
  </si>
  <si>
    <t>MEZZOCOLLE</t>
  </si>
  <si>
    <t>RAVENNA TERRA 049 DIR</t>
  </si>
  <si>
    <t>RAVENNA TERRA 048</t>
  </si>
  <si>
    <t>RAVENNA TERRA 044 DEV</t>
  </si>
  <si>
    <t>RAVENNA TERRA 043 DIR</t>
  </si>
  <si>
    <t>RAVENNA TERRA 042</t>
  </si>
  <si>
    <t>RAVENNA TERRA 039</t>
  </si>
  <si>
    <t>CERRO FALCONE 003 X OR A</t>
  </si>
  <si>
    <t>31312</t>
  </si>
  <si>
    <t>RAVENNA TERRA 011</t>
  </si>
  <si>
    <t>CERRO FALCONE 004 OR - 004 OR A</t>
  </si>
  <si>
    <t>LONGANESI 001</t>
  </si>
  <si>
    <t>SAN POTITO</t>
  </si>
  <si>
    <t>CAVONE 005</t>
  </si>
  <si>
    <t>CAVONE 003 DIR</t>
  </si>
  <si>
    <t>TRIGNANO 004</t>
  </si>
  <si>
    <t>FANANO</t>
  </si>
  <si>
    <t>TRIGNANO</t>
  </si>
  <si>
    <t>TRIGNANO 003</t>
  </si>
  <si>
    <t>TRIGNANO 002</t>
  </si>
  <si>
    <t>TRIGNANO 001</t>
  </si>
  <si>
    <t>RAVENNA TERRA 016</t>
  </si>
  <si>
    <t>SPILAMBERTO 031</t>
  </si>
  <si>
    <t>SPILAMBERTO</t>
  </si>
  <si>
    <t>CASTELLUCCIO 001</t>
  </si>
  <si>
    <t>MONTE ENOC 010 OR C</t>
  </si>
  <si>
    <t>MONTE ALPI N 001 OR B</t>
  </si>
  <si>
    <t>CERRO FALCONE 008 OR A</t>
  </si>
  <si>
    <t>CERRO FALCONE 005 OR</t>
  </si>
  <si>
    <t>ASCOLI SATRIANO 006</t>
  </si>
  <si>
    <t>CA?BELLAVISTA 189</t>
  </si>
  <si>
    <t>LOCANTORE 003X DIR</t>
  </si>
  <si>
    <t>MONTE ALPI 009 OR</t>
  </si>
  <si>
    <t>CERRO FALCONE 002X OR C</t>
  </si>
  <si>
    <t>CERRO FALCONE 001 DIR B</t>
  </si>
  <si>
    <t>PISTICCI 027 DIR APPR A</t>
  </si>
  <si>
    <t>PISTICCI 026 DIR APPR A</t>
  </si>
  <si>
    <t>PISTICCI 025 DIR APPR A</t>
  </si>
  <si>
    <t>PISTICCI 021</t>
  </si>
  <si>
    <t>PISTICCI 017</t>
  </si>
  <si>
    <t>PISTICCI 012</t>
  </si>
  <si>
    <t>PISTICCI 003</t>
  </si>
  <si>
    <t>MASSERIA VIORANO 001</t>
  </si>
  <si>
    <t>MASSERIA VIORANO</t>
  </si>
  <si>
    <t>VETTA 015 M</t>
  </si>
  <si>
    <t>VETTA</t>
  </si>
  <si>
    <t>DOSSO DEGLI ANGELI 003 DIR</t>
  </si>
  <si>
    <t>SANTERNO 003</t>
  </si>
  <si>
    <t>SANTERNO</t>
  </si>
  <si>
    <t>131</t>
  </si>
  <si>
    <t>Aree estrattive</t>
  </si>
  <si>
    <t>GAGGIOLA 069</t>
  </si>
  <si>
    <t>CH4 004</t>
  </si>
  <si>
    <t>ALLI 002 OR</t>
  </si>
  <si>
    <t>DOSSO DEGLI ANGELI 002 DIR</t>
  </si>
  <si>
    <t>SAN MARTINO 001</t>
  </si>
  <si>
    <t>TRE MOTTE 003 X</t>
  </si>
  <si>
    <t>521</t>
  </si>
  <si>
    <t>Lagune</t>
  </si>
  <si>
    <t>SAN MARTINO 003</t>
  </si>
  <si>
    <t>SAN MARTINO 002</t>
  </si>
  <si>
    <t>SALSOMAGGIORE 028</t>
  </si>
  <si>
    <t>MAGNAGHI</t>
  </si>
  <si>
    <t>DOSSO DEGLI ANGELI 001 DIR</t>
  </si>
  <si>
    <t>S.MADDALENA 001 DIR</t>
  </si>
  <si>
    <t>S. ALBERTO</t>
  </si>
  <si>
    <t>MONTE CANTIERE 012</t>
  </si>
  <si>
    <t>VETTA 007 M</t>
  </si>
  <si>
    <t>SALSOMAGGIORE 208</t>
  </si>
  <si>
    <t>SALSOMINORE</t>
  </si>
  <si>
    <t>SALSOMAGGIORE II</t>
  </si>
  <si>
    <t>SALSOMAGGIORE 210</t>
  </si>
  <si>
    <t>MARZANO</t>
  </si>
  <si>
    <t>SALSOMAGGIORE 216</t>
  </si>
  <si>
    <t>MONTE CANTIERE 005</t>
  </si>
  <si>
    <t>S.CATALDO 002</t>
  </si>
  <si>
    <t>MONTE CANTIERE 003</t>
  </si>
  <si>
    <t>MONTE CANTIERE 010</t>
  </si>
  <si>
    <t>SALSOMAGGIORE 007</t>
  </si>
  <si>
    <t>GASOMETRI</t>
  </si>
  <si>
    <t>ROTTOFRENO 001 DIR</t>
  </si>
  <si>
    <t>MONTE CANTIERE 001</t>
  </si>
  <si>
    <t>S.GIACOMO 001</t>
  </si>
  <si>
    <t>SALSOMAGGIORE 011</t>
  </si>
  <si>
    <t>SALSOMAGGIORE 008</t>
  </si>
  <si>
    <t>TEMPA LA MANARA 001</t>
  </si>
  <si>
    <t>PERGOLA 001</t>
  </si>
  <si>
    <t>3232</t>
  </si>
  <si>
    <t>Aree a vegetazione sclerofilla</t>
  </si>
  <si>
    <t>GORGOGLIONE 002</t>
  </si>
  <si>
    <t>GORGOGLIONE</t>
  </si>
  <si>
    <t>SALSOMAGGIORE 024</t>
  </si>
  <si>
    <t>SALSOMAGGIORE 016</t>
  </si>
  <si>
    <t>SALSOMAGGIORE 017</t>
  </si>
  <si>
    <t>SALSOMAGGIORE 018</t>
  </si>
  <si>
    <t>SALSOMAGGIORE 019</t>
  </si>
  <si>
    <t>SALSOMAGGIORE 020</t>
  </si>
  <si>
    <t>SALSOMAGGIORE 023</t>
  </si>
  <si>
    <t>SALSOMAGGIORE 010</t>
  </si>
  <si>
    <t>SALSOMAGGIORE 025</t>
  </si>
  <si>
    <t>SALSOMAGGIORE 027</t>
  </si>
  <si>
    <t>SALSOMAGGIORE 021</t>
  </si>
  <si>
    <t>TREDICICCHIO 001</t>
  </si>
  <si>
    <t>TEMPA D?EMMA 001 ST TER</t>
  </si>
  <si>
    <t>VARISANA 002</t>
  </si>
  <si>
    <t>TORRENTE VELLA 001</t>
  </si>
  <si>
    <t>VETTA 005 M</t>
  </si>
  <si>
    <t>VETTA 006</t>
  </si>
  <si>
    <t>VETTA 006 M</t>
  </si>
  <si>
    <t>TEMPA ROSSA 001 DIR ST QUATER</t>
  </si>
  <si>
    <t>VETTA 008</t>
  </si>
  <si>
    <t>VETTA 011</t>
  </si>
  <si>
    <t>TEMPA ROSSA 002 DIR ST</t>
  </si>
  <si>
    <t>VETTA 002 M</t>
  </si>
  <si>
    <t>VOLTURINO 001 OR C</t>
  </si>
  <si>
    <t>3125</t>
  </si>
  <si>
    <t>CH4 002</t>
  </si>
  <si>
    <t>CH4 003</t>
  </si>
  <si>
    <t>VETTA 012</t>
  </si>
  <si>
    <t>VETTA 005</t>
  </si>
  <si>
    <t>VETTA 004</t>
  </si>
  <si>
    <t>SANTERNO 009</t>
  </si>
  <si>
    <t>SPILAMBERTO 010</t>
  </si>
  <si>
    <t>SILLARO 001 D</t>
  </si>
  <si>
    <t>SILLARO</t>
  </si>
  <si>
    <t>SPILAMBERTO 007</t>
  </si>
  <si>
    <t>SPILAMBERTO 016</t>
  </si>
  <si>
    <t>SPILAMBERTO 017</t>
  </si>
  <si>
    <t>SPILAMBERTO 019</t>
  </si>
  <si>
    <t>SPILAMBERTO 020</t>
  </si>
  <si>
    <t>SPILAMBERTO 021</t>
  </si>
  <si>
    <t>SPILAMBERTO 023</t>
  </si>
  <si>
    <t>SPILAMBERTO 026</t>
  </si>
  <si>
    <t>SPILAMBERTO 029</t>
  </si>
  <si>
    <t>SPILAMBERTO 008</t>
  </si>
  <si>
    <t>SERRA DEL RIPOSO 004</t>
  </si>
  <si>
    <t>VETTA 003 M</t>
  </si>
  <si>
    <t>TORRENTE BAGANZA 005 DIR</t>
  </si>
  <si>
    <t>MONTEARDONE</t>
  </si>
  <si>
    <t>SERRA S. MERCURIO 001</t>
  </si>
  <si>
    <t>SERRA DEL RIPOSO 003</t>
  </si>
  <si>
    <t>SERRA LA CROCE 001</t>
  </si>
  <si>
    <t>SERRA DEL RIPOSO 005</t>
  </si>
  <si>
    <t>SERRA DEL RIPOSO 006</t>
  </si>
  <si>
    <t>SERRA DEL RIPOSO 007</t>
  </si>
  <si>
    <t>SERRA DEL RIPOSO 008 DIR</t>
  </si>
  <si>
    <t>SERRA DEL RIPOSO 009 DIR</t>
  </si>
  <si>
    <t>SERRA DEL RIPOSO 010 DIR</t>
  </si>
  <si>
    <t>SERRA DEL RIPOSO 011 DIR</t>
  </si>
  <si>
    <t>SERRA DEL RIPOSO 002</t>
  </si>
  <si>
    <t>SILLARO 002 D</t>
  </si>
  <si>
    <t>TORRENTE BAGANZA 001</t>
  </si>
  <si>
    <t>PERTICARA 001</t>
  </si>
  <si>
    <t>GORGOGLIONE 001</t>
  </si>
  <si>
    <t>TORRENTE BAGANZA 002</t>
  </si>
  <si>
    <t>TORRENTE BAGANZA 003 DIR</t>
  </si>
  <si>
    <t>VETTA 013</t>
  </si>
  <si>
    <t>MAES_Ecosystem</t>
  </si>
  <si>
    <t>Woodland and forest</t>
  </si>
  <si>
    <t>Cropland</t>
  </si>
  <si>
    <t>Grassland</t>
  </si>
  <si>
    <t>Sparsely vegetated land</t>
  </si>
  <si>
    <t>Urban</t>
  </si>
  <si>
    <t>Marine inlets and transitional waters and coastal waters</t>
  </si>
  <si>
    <t>Heathland and shrub</t>
  </si>
  <si>
    <t>Boschi e foreste</t>
  </si>
  <si>
    <t>ok</t>
  </si>
  <si>
    <t>other land</t>
  </si>
  <si>
    <t>Ipotesi: Wetlands, Settlements e Other Land hanno emissioni nette zero</t>
  </si>
  <si>
    <t>&lt;?xml version="1.0" encoding="utf-16"?&gt;&lt;WebTableParameter xmlns:xsd="http://www.w3.org/2001/XMLSchema" xmlns:xsi="http://www.w3.org/2001/XMLSchema-instance" xmlns="http://stats.oecd.org/OECDStatWS/2004/03/01/"&gt;&lt;DataTable Code="DCCN_ANA_B14" HasMetadata="true"&gt;&lt;Name LocaleIsoCode="en"&gt;National accounts annual main aggregates - editions from October 2014 to April 2019&lt;/Name&gt;&lt;Name LocaleIsoCode="it"&gt;Principali aggregati annnuali di contabilità nazionale - edizioni ottobre 2014 - aprile 2019&lt;/Name&gt;&lt;Dimension Code="ITTER107" HasMetadata="false" CommonCode="ITTER107" Display="labels"&gt;&lt;Name LocaleIsoCode="en"&gt;Territory&lt;/Name&gt;&lt;Name LocaleIsoCode="it"&gt;Territorio&lt;/Name&gt;&lt;Member Code="IT" HasMetadata="false" HasOnlyUnitMetadata="false" HasChild="0"&gt;&lt;Name LocaleIsoCode="en"&gt;Italy&lt;/Name&gt;&lt;Name LocaleIsoCode="it"&gt;Italia&lt;/Name&gt;&lt;/Member&gt;&lt;/Dimension&gt;&lt;Dimension Code="TIPO_DATO_CN1" HasMetadata="false" CommonCode="TIPO_DATO_CN1" Display="labels"&gt;&lt;Name LocaleIsoCode="en"&gt;Aggregate (euro)&lt;/Name&gt;&lt;Name LocaleIsoCode="it"&gt;Tipo aggregato (euro)&lt;/Name&gt;&lt;Member Code="B1GQ_B_W2_S1_R_POP" HasMetadata="false" HasOnlyUnitMetadata="false" HasChild="0"&gt;&lt;Name LocaleIsoCode="en"&gt;gross domestic product at market prices per inhabitant&lt;/Name&gt;&lt;Name LocaleIsoCode="it"&gt;prodotto interno lordo ai prezzi di mercato per abitante&lt;/Name&gt;&lt;/Member&gt;&lt;/Dimension&gt;&lt;Dimension Code="BRANCA_ATTIVITAREV2" HasMetadata="false" CommonCode="BRANCA_ATTIVITAREV2" Display="labels"&gt;&lt;Name LocaleIsoCode="en"&gt;Breakdown by industry (NACE Rev2)&lt;/Name&gt;&lt;Name LocaleIsoCode="it"&gt;Branca di attività (NACE Rev2)&lt;/Name&gt;&lt;Member Code="Z" HasMetadata="false" HasChild="0"&gt;&lt;Name LocaleIsoCode="en"&gt;not applicable&lt;/Name&gt;&lt;Name LocaleIsoCode="it"&gt;non applicabile&lt;/Name&gt;&lt;/Member&gt;&lt;/Dimension&gt;&lt;Dimension Code="PRODOTTI1" HasMetadata="false" CommonCode="PRODOTTI1" Display="labels"&gt;&lt;Name LocaleIsoCode="en"&gt;Non financial assets&lt;/Name&gt;&lt;Name LocaleIsoCode="it"&gt;Attività non finanziarie&lt;/Name&gt;&lt;Member Code="Z" HasMetadata="false" HasOnlyUnitMetadata="false" HasChild="0"&gt;&lt;Name LocaleIsoCode="en"&gt;not applicable&lt;/Name&gt;&lt;Name LocaleIsoCode="it"&gt;non applicabile &lt;/Name&gt;&lt;/Member&gt;&lt;/Dimension&gt;&lt;Dimension Code="DCCN_COICOP_COFOG" HasMetadata="false" CommonCode="DCCN_COICOP_COFOG" Display="labels"&gt;&lt;Name LocaleIsoCode="en"&gt;Expenditure by purpose (coicop/cofog)&lt;/Name&gt;&lt;Name LocaleIsoCode="it"&gt;Funzione di spesa (coicop/cofog)&lt;/Name&gt;&lt;Member Code="Z" HasMetadata="false" HasOnlyUnitMetadata="false" HasChild="0"&gt;&lt;Name LocaleIsoCode="en"&gt;not applicable&lt;/Name&gt;&lt;Name LocaleIsoCode="it"&gt;non applicabile&lt;/Name&gt;&lt;/Member&gt;&lt;/Dimension&gt;&lt;Dimension Code="VAL" HasMetadata="false" CommonCode="VAL" Display="labels"&gt;&lt;Name LocaleIsoCode="en"&gt;Valuation&lt;/Name&gt;&lt;Name LocaleIsoCode="it"&gt;Valutazione&lt;/Name&gt;&lt;Member Code="L_2010" HasMetadata="true" HasOnlyUnitMetadata="false" HasChild="0"&gt;&lt;Name LocaleIsoCode="en"&gt;chain linked - reference year 2010&lt;/Name&gt;&lt;Name LocaleIsoCode="it"&gt;valori concatenati con anno di riferimento 2010&lt;/Name&gt;&lt;/Member&gt;&lt;Member Code="V" HasMetadata="true" HasOnlyUnitMetadata="false" HasChild="0" IsDisplayed="true"&gt;&lt;Name LocaleIsoCode="en"&gt;current prices&lt;/Name&gt;&lt;Name LocaleIsoCode="it"&gt;prezzi correnti&lt;/Name&gt;&lt;/Member&gt;&lt;Member Code="Y" HasMetadata="true" HasOnlyUnitMetadata="false" HasChild="0"&gt;&lt;Name LocaleIsoCode="en"&gt;in previous year prices&lt;/Name&gt;&lt;Name LocaleIsoCode="it"&gt;prezzi dell'anno precedente&lt;/Name&gt;&lt;/Member&gt;&lt;/Dimension&gt;&lt;Dimension Code="CORREZ" HasMetadata="false" CommonCode="CORREZ" Display="labels"&gt;&lt;Name LocaleIsoCode="en"&gt;Adjustment&lt;/Name&gt;&lt;Name LocaleIsoCode="it"&gt;Correzione&lt;/Name&gt;&lt;Member Code="N" HasMetadata="true" HasOnlyUnitMetadata="false" HasChild="0"&gt;&lt;Name LocaleIsoCode="en"&gt;raw data&lt;/Name&gt;&lt;Name LocaleIsoCode="it"&gt;dati grezzi&lt;/Name&gt;&lt;/Member&gt;&lt;/Dimension&gt;&lt;Dimension Code="TIPOLOG_PREZZO" HasMetadata="false" CommonCode="TIPOLOG_PREZZO" Display="labels"&gt;&lt;Name LocaleIsoCode="en"&gt;Price&lt;/Name&gt;&lt;Name LocaleIsoCode="it"&gt;Tipologia di prezzo&lt;/Name&gt;&lt;Member Code="Z" HasMetadata="false" HasChild="0"&gt;&lt;Name LocaleIsoCode="en"&gt;not applicable&lt;/Name&gt;&lt;Name LocaleIsoCode="it"&gt;non applicabile&lt;/Name&gt;&lt;/Member&gt;&lt;/Dimension&gt;&lt;Dimension Code="T_BIS" HasMetadata="false" CommonCode="T_BIS" Display="labels"&gt;&lt;Name LocaleIsoCode="en"&gt;Edition&lt;/Name&gt;&lt;Name LocaleIsoCode="it"&gt;Edizione&lt;/Name&gt;&lt;Member Code="2014M10" HasMetadata="false" HasOnlyUnitMetadata="false" HasChild="0"&gt;&lt;Name LocaleIsoCode="en"&gt;Oct-2014&lt;/Name&gt;&lt;Name LocaleIsoCode="it"&gt;Ott-2014&lt;/Name&gt;&lt;/Member&gt;&lt;Member Code="2015M3" HasMetadata="false" HasOnlyUnitMetadata="false" HasChild="0"&gt;&lt;Name LocaleIsoCode="en"&gt;Mar-2015&lt;/Name&gt;&lt;Name LocaleIsoCode="it"&gt;Mar-2015&lt;/Name&gt;&lt;/Member&gt;&lt;Member Code="2015M9" HasMetadata="false" HasOnlyUnitMetadata="false" HasChild="0"&gt;&lt;Name LocaleIsoCode="en"&gt;Sep-2015&lt;/Name&gt;&lt;Name LocaleIsoCode="it"&gt;Set-2015&lt;/Name&gt;&lt;/Member&gt;&lt;Member Code="2016M3" HasMetadata="false" HasOnlyUnitMetadata="false" HasChild="0"&gt;&lt;Name LocaleIsoCode="en"&gt;Mar-2016&lt;/Name&gt;&lt;Name LocaleIsoCode="it"&gt;Mar-2016&lt;/Name&gt;&lt;/Member&gt;&lt;Member Code="2016M9" HasMetadata="false" HasOnlyUnitMetadata="false" HasChild="0"&gt;&lt;Name LocaleIsoCode="en"&gt;Sep-2016&lt;/Name&gt;&lt;Name LocaleIsoCode="it"&gt;Set-2016&lt;/Name&gt;&lt;/Member&gt;&lt;Member Code="2017M3" HasMetadata="false" HasOnlyUnitMetadata="false" HasChild="0"&gt;&lt;Name LocaleIsoCode="en"&gt;Mar-2017&lt;/Name&gt;&lt;Name LocaleIsoCode="it"&gt;Mar-2017&lt;/Name&gt;&lt;/Member&gt;&lt;Member Code="2017M9" HasMetadata="false" HasOnlyUnitMetadata="false" HasChild="0"&gt;&lt;Name LocaleIsoCode="en"&gt;Sep-2017&lt;/Name&gt;&lt;Name LocaleIsoCode="it"&gt;Set-2017&lt;/Name&gt;&lt;/Member&gt;&lt;Member Code="2018M3" HasMetadata="false" HasOnlyUnitMetadata="false" HasChild="0"&gt;&lt;Name LocaleIsoCode="en"&gt;Mar-2018&lt;/Name&gt;&lt;Name LocaleIsoCode="it"&gt;Mar-2018&lt;/Name&gt;&lt;/Member&gt;&lt;Member Code="2018M4" HasMetadata="false" HasOnlyUnitMetadata="false" HasChild="0"&gt;&lt;Name LocaleIsoCode="en"&gt;Apr-2018&lt;/Name&gt;&lt;Name LocaleIsoCode="it"&gt;Apr-2018&lt;/Name&gt;&lt;/Member&gt;&lt;Member Code="2018M9" HasMetadata="false" HasOnlyUnitMetadata="false" HasChild="0"&gt;&lt;Name LocaleIsoCode="en"&gt;Sep-2018&lt;/Name&gt;&lt;Name LocaleIsoCode="it"&gt;Set-2018&lt;/Name&gt;&lt;/Member&gt;&lt;Member Code="2019M3" HasMetadata="false" HasOnlyUnitMetadata="false" HasChild="0"&gt;&lt;Name LocaleIsoCode="en"&gt;Mar-2019&lt;/Name&gt;&lt;Name LocaleIsoCode="it"&gt;Mar-2019&lt;/Name&gt;&lt;/Member&gt;&lt;Member Code="2019M4" HasMetadata="false" HasOnlyUnitMetadata="false" HasChild="0" IsDisplayed="true"&gt;&lt;Name LocaleIsoCode="en"&gt;Apr-2019&lt;/Name&gt;&lt;Name LocaleIsoCode="it"&gt;Apr-2019&lt;/Name&gt;&lt;/Member&gt;&lt;/Dimension&gt;&lt;Dimension Code="TIME" HasMetadata="false" CommonCode="TIME" Display="labels"&gt;&lt;Name LocaleIsoCode="en"&gt;Select time&lt;/Name&gt;&lt;Name LocaleIsoCode="it"&gt;Seleziona periodo&lt;/Name&gt;&lt;Member Code="2000" HasMetadata="false"&gt;&lt;Name LocaleIsoCode="en"&gt;2000&lt;/Name&gt;&lt;Name LocaleIsoCode="it"&gt;2000&lt;/Name&gt;&lt;/Member&gt;&lt;Member Code="2001" HasMetadata="false"&gt;&lt;Name LocaleIsoCode="en"&gt;2001&lt;/Name&gt;&lt;Name LocaleIsoCode="it"&gt;2001&lt;/Name&gt;&lt;/Member&gt;&lt;Member Code="2002" HasMetadata="false"&gt;&lt;Name LocaleIsoCode="en"&gt;2002&lt;/Name&gt;&lt;Name LocaleIsoCode="it"&gt;2002&lt;/Name&gt;&lt;/Member&gt;&lt;Member Code="2003" HasMetadata="false"&gt;&lt;Name LocaleIsoCode="en"&gt;2003&lt;/Name&gt;&lt;Name LocaleIsoCode="it"&gt;2003&lt;/Name&gt;&lt;/Member&gt;&lt;Member Code="2004" HasMetadata="false"&gt;&lt;Name LocaleIsoCode="en"&gt;2004&lt;/Name&gt;&lt;Name LocaleIsoCode="it"&gt;2004&lt;/Name&gt;&lt;/Member&gt;&lt;Member Code="2005" HasMetadata="false"&gt;&lt;Name LocaleIsoCode="en"&gt;2005&lt;/Name&gt;&lt;Name LocaleIsoCode="it"&gt;2005&lt;/Name&gt;&lt;/Member&gt;&lt;Member Code="2006" HasMetadata="false"&gt;&lt;Name LocaleIsoCode="en"&gt;2006&lt;/Name&gt;&lt;Name LocaleIsoCode="it"&gt;2006&lt;/Name&gt;&lt;/Member&gt;&lt;Member Code="2007" HasMetadata="false"&gt;&lt;Name LocaleIsoCode="en"&gt;2007&lt;/Name&gt;&lt;Name LocaleIsoCode="it"&gt;2007&lt;/Name&gt;&lt;/Member&gt;&lt;Member Code="2008" HasMetadata="false"&gt;&lt;Name LocaleIsoCode="en"&gt;2008&lt;/Name&gt;&lt;Name LocaleIsoCode="it"&gt;2008&lt;/Name&gt;&lt;/Member&gt;&lt;Member Code="2009" HasMetadata="false"&gt;&lt;Name LocaleIsoCode="en"&gt;2009&lt;/Name&gt;&lt;Name LocaleIsoCode="it"&gt;2009&lt;/Name&gt;&lt;/Member&gt;&lt;Member Code="2010" HasMetadata="false"&gt;&lt;Name LocaleIsoCode="en"&gt;2010&lt;/Name&gt;&lt;Name LocaleIsoCode="it"&gt;2010&lt;/Name&gt;&lt;/Member&gt;&lt;Member Code="2011" HasMetadata="false"&gt;&lt;Name LocaleIsoCode="en"&gt;2011&lt;/Name&gt;&lt;Name LocaleIsoCode="it"&gt;2011&lt;/Name&gt;&lt;/Member&gt;&lt;Member Code="2012" HasMetadata="false"&gt;&lt;Name LocaleIsoCode="en"&gt;2012&lt;/Name&gt;&lt;Name LocaleIsoCode="it"&gt;2012&lt;/Name&gt;&lt;/Member&gt;&lt;Member Code="2013" HasMetadata="false"&gt;&lt;Name LocaleIsoCode="en"&gt;2013&lt;/Name&gt;&lt;Name LocaleIsoCode="it"&gt;2013&lt;/Name&gt;&lt;/Member&gt;&lt;Member Code="2014" HasMetadata="false"&gt;&lt;Name LocaleIsoCode="en"&gt;2014&lt;/Name&gt;&lt;Name LocaleIsoCode="it"&gt;2014&lt;/Name&gt;&lt;/Member&gt;&lt;Member Code="2015" HasMetadata="false"&gt;&lt;Name LocaleIsoCode="en"&gt;2015&lt;/Name&gt;&lt;Name LocaleIsoCode="it"&gt;2015&lt;/Name&gt;&lt;/Member&gt;&lt;Member Code="2016" HasMetadata="false"&gt;&lt;Name LocaleIsoCode="en"&gt;2016&lt;/Name&gt;&lt;Name LocaleIsoCode="it"&gt;2016&lt;/Name&gt;&lt;/Member&gt;&lt;Member Code="2017" HasMetadata="false"&gt;&lt;Name LocaleIsoCode="en"&gt;2017&lt;/Name&gt;&lt;Name LocaleIsoCode="it"&gt;2017&lt;/Name&gt;&lt;/Member&gt;&lt;Member Code="2018" HasMetadata="false"&gt;&lt;Name LocaleIsoCode="en"&gt;2018&lt;/Name&gt;&lt;Name LocaleIsoCode="it"&gt;2018&lt;/Name&gt;&lt;/Member&gt;&lt;/Dimension&gt;&lt;WBOSInformations&gt;&lt;TimeDimension WebTreeWasUsed="false"&gt;&lt;StartCodes Annual="2000" /&gt;&lt;EndCodes Annual="2018" /&gt;&lt;/TimeDimension&gt;&lt;/WBOSInformations&gt;&lt;Tabulation Axis="horizontal"&gt;&lt;Dimension Code="TIME" CommonCode="TIME" /&gt;&lt;/Tabulation&gt;&lt;Tabulation Axis="vertical"&gt;&lt;Dimension Code="TIPO_DATO_CN1" CommonCode="TIPO_DATO_CN1" /&gt;&lt;/Tabulation&gt;&lt;Tabulation Axis="page"&gt;&lt;Dimension Code="ITTER107" CommonCode="ITTER107" /&gt;&lt;Dimension Code="DCCN_COICOP_COFOG" CommonCode="DCCN_COICOP_COFOG" /&gt;&lt;Dimension Code="BRANCA_ATTIVITAREV2" CommonCode="BRANCA_ATTIVITAREV2" /&gt;&lt;Dimension Code="PRODOTTI1" CommonCode="PRODOTTI1" /&gt;&lt;Dimension Code="VAL" CommonCode="VAL" /&gt;&lt;Dimension Code="CORREZ" CommonCode="CORREZ" /&gt;&lt;Dimension Code="TIPOLOG_PREZZO" CommonCode="TIPOLOG_PREZZO" /&gt;&lt;Dimension Code="T_BIS" CommonCode="T_BIS" /&gt;&lt;/Tabulation&gt;&lt;Formatting&gt;&lt;Labels LocaleIsoCode="it" /&gt;&lt;Power&gt;0&lt;/Power&gt;&lt;Decimals&gt;1&lt;/Decimals&gt;&lt;SkipEmptyLines&gt;true&lt;/SkipEmptyLines&gt;&lt;SkipEmptyCols&gt;true&lt;/SkipEmptyCols&gt;&lt;SkipLineHierarchy&gt;false&lt;/SkipLineHierarchy&gt;&lt;SkipColHierarchy&gt;false&lt;/SkipColHierarchy&gt;&lt;Page&gt;1&lt;/Page&gt;&lt;/Formatting&gt;&lt;/DataTable&gt;&lt;Format&gt;&lt;ShowEmptyAxes&gt;true&lt;/ShowEmptyAxes&gt;&lt;Page&gt;1&lt;/Page&gt;&lt;EnableSort&gt;true&lt;/EnableSort&gt;&lt;IncludeFlagColumn&gt;false&lt;/IncludeFlagColumn&gt;&lt;IncludeTimeSeriesId&gt;false&lt;/IncludeTimeSeriesId&gt;&lt;DoBarChart&gt;false&lt;/DoBarChart&gt;&lt;FreezePanes&gt;true&lt;/FreezePanes&gt;&lt;MaxBarChartLen&gt;65&lt;/MaxBarChartLen&gt;&lt;/Format&gt;&lt;Query&gt;&lt;Name LocaleIsoCode="it"&gt;Valori pro capite - edizioni ottobre 2014 - aprile 2019&lt;/Name&gt;&lt;AbsoluteUri&gt;http://dati.istat.it//View.aspx?QueryId=37159&amp;amp;QueryType=Public&amp;amp;Lang=it&lt;/AbsoluteUri&gt;&lt;/Query&gt;&lt;/WebTableParameter&gt;</t>
  </si>
  <si>
    <t>Dataset:Principali aggregati annnuali di contabilità nazionale - edizioni ottobre 2014 - aprile 2019</t>
  </si>
  <si>
    <t>Territorio</t>
  </si>
  <si>
    <t>Valutazione</t>
  </si>
  <si>
    <t>prezzi correnti</t>
  </si>
  <si>
    <t>Correzione</t>
  </si>
  <si>
    <t>dati grezzi</t>
  </si>
  <si>
    <t>Edizione</t>
  </si>
  <si>
    <t>Apr-2019</t>
  </si>
  <si>
    <t>Seleziona periodo</t>
  </si>
  <si>
    <t>2018</t>
  </si>
  <si>
    <t>Tipo aggregato (euro)</t>
  </si>
  <si>
    <t>prodotto interno lordo ai prezzi di mercato per abitante</t>
  </si>
  <si>
    <t>Dati estratti il 18 mag 2020 10:37 UTC (GMT) da I.Stat</t>
  </si>
  <si>
    <t>Media pesata per le superfici degli ecosistemi in Italia</t>
  </si>
  <si>
    <t>BASILICATA</t>
  </si>
  <si>
    <t>ERO</t>
  </si>
  <si>
    <t>La superficie nazionale del forest management è inferiore (74492 km2 contro 80824 km2) a quella delle "foreste remaing forest" tab. 4A NIR</t>
  </si>
  <si>
    <t>Fonte ISPRA-CRF del NIR 2020 per anno 2018</t>
  </si>
  <si>
    <t>Assorbimento netto CO2 foreste Basilicata molto più elevato della media nazionale!</t>
  </si>
  <si>
    <t>Assorbimento netto CO2 foreste Emilia Romagna molto più basso della media nazionale!</t>
  </si>
  <si>
    <t>I valori dello studio JRC si riferiscono all'anno 2012 e non possono essere confrontati con quelli di un altro anno (es. 2018) perché</t>
  </si>
  <si>
    <t>i valori di assorbimento hanno forti oscillazioni da un anno all'altro, a seconda della piovosità/siccità</t>
  </si>
  <si>
    <t>I valori nazionali di assorbimento nel 2017 sono più bassi del 2018 (vedi cartelle)</t>
  </si>
  <si>
    <t>Tuttavia, si può presumere che questo servizio sia fornito, oltre che dalle aree agricole, anche dai pascoli e praterie, dai cespuglieti e dalle aree umide. L'annesso metodologico ISPRA: "dall’impollinazione dipende la fecondazione e la produttività di moltissime colture, nonché di piante spontanee (Klein et al., 2007), ed è fornito da molti organismi animali tra cui api e bombi, il suo valore è, insieme ad altri, un indicatore non solo di utilità per il settore agricolo ma anche di benessere dell’intero ecosistema"</t>
  </si>
  <si>
    <t>valore totale produzione agricola considerata</t>
  </si>
  <si>
    <t>sette volte maggiore</t>
  </si>
  <si>
    <t>335,88, 634,06, 769,07, 70,45, 0,97, 6,45, 155,41, 53,48, 0,11, 634,126</t>
  </si>
  <si>
    <t>335,88, 634,06, 769,07, 70,45, 0,97, 6,45, 155,41, 53,48, 0,11, 634,127</t>
  </si>
  <si>
    <t>335,88, 634,06, 769,07, 70,45, 0,97, 6,45, 155,41, 53,48, 0,11, 634,128</t>
  </si>
  <si>
    <t>335,88, 634,06, 769,07, 70,45, 0,97, 6,45, 155,41, 53,48, 0,11, 634,129</t>
  </si>
  <si>
    <t>335,88, 634,06, 769,07, 70,45, 0,97, 6,45, 155,41, 53,48, 0,11, 634,130</t>
  </si>
  <si>
    <t>335,88, 634,06, 769,07, 70,45, 0,97, 6,45, 155,41, 53,48, 0,11, 634,131</t>
  </si>
  <si>
    <t>% SE sul valore totale produzione nei settori dipendenti</t>
  </si>
  <si>
    <t>% SE sul valore della domanda soddisfatta dal servizio nei settori dipendenti</t>
  </si>
  <si>
    <t>Servizio di impollinazione: tre fonti (JRC 2018, ISPRA 2018, ISPRA 2019)</t>
  </si>
  <si>
    <t>Tutte le fonti riferiscono il servizio solo alle aree agricole, per cui un cambiamento nell'uso di suolo da qualsiasi tipo di uso ad un uso agricolo suscettibile di impollinazionale per mezzo di insetti, comporta il beneficio ambientale qui stimato.</t>
  </si>
  <si>
    <t>Fonte A)</t>
  </si>
  <si>
    <t>Contributo del JRC su impollinazione al Secondo rapporto sullo stato del Capitale naturale: supportato dallo studio  JRC (2018) studio europeo</t>
  </si>
  <si>
    <t>Domanda soddisfatta</t>
  </si>
  <si>
    <t>Domanda non soddisfatta</t>
  </si>
  <si>
    <t xml:space="preserve">Totale del valore produzione teoricamente dipendente dall'impollinazione </t>
  </si>
  <si>
    <t>Stima JRC SE impollinazione</t>
  </si>
  <si>
    <t>mili9oni 2012</t>
  </si>
  <si>
    <t>Tipologie colturali</t>
  </si>
  <si>
    <t>Valore minimo</t>
  </si>
  <si>
    <t>ISPRA (2018) annesso metodologico</t>
  </si>
  <si>
    <t>Fonte C) ISPRA - III RKN</t>
  </si>
  <si>
    <t>Stima del Valore SE impollinazione in valore assoluto</t>
  </si>
  <si>
    <t>M Euro 2009</t>
  </si>
  <si>
    <t>euro 2009/ha</t>
  </si>
  <si>
    <t>€ 2009 / ha-anno</t>
  </si>
  <si>
    <t>si otterrebbe:</t>
  </si>
  <si>
    <t>coeff di rivalutazione</t>
  </si>
  <si>
    <t xml:space="preserve">Fonte B) </t>
  </si>
  <si>
    <t>ISPRA non riporta l'estensione del servizio di impollinazione preso come riferimento per la stima (ma si può usare C)</t>
  </si>
  <si>
    <t xml:space="preserve">B) Servizi ricreativi outdoor, contributo di JRC al Secondo rapporto sullo stato del K naturale (pag 78 e segg.): </t>
  </si>
  <si>
    <r>
      <t xml:space="preserve">I servizi ricreativi includono, in questo caso, tutte le interazioni fisiche e intellettuali - che comportino svago (camminare, correre, nuotare, osservare, …) - con gli ecosistemi. Si considerano tutte le caratteristiche biofisiche e la qualità degli ecosistemi che sono viste, osservate, vissute o godute, quotidianamente, in modo passivo o attivo </t>
    </r>
    <r>
      <rPr>
        <b/>
        <sz val="11"/>
        <color theme="1"/>
        <rFont val="Calibri"/>
        <family val="2"/>
        <scheme val="minor"/>
      </rPr>
      <t>dalle persone residenti o prossime all’asset ecosistemico. Si escludono quindi i servizi ricreativi outdoor fruiti da turisti (da persone che effettuano uno spostamento di media-lunga distanza per beneficiarne).</t>
    </r>
  </si>
  <si>
    <t>Scarsa popolazione di prossimità per una data area ricreativa offerta determina un basso beneficio per il servizio ricreativo.</t>
  </si>
  <si>
    <t>"La metodologia di valutazione economica usata è quella del travel cost zonale (Vallecillo et al., 2018)si veda altresì CCN (2017) ed alcune valutazioni monetarie specifiche per l’Italia nel Cap. 6.4"</t>
  </si>
  <si>
    <t>Somma</t>
  </si>
  <si>
    <t xml:space="preserve">Non eplicitata bene la domanda: per mail con Capriolo (ISPRA) è stato chiarito che per viaggi giornalieri s'intendono viaggi in giornata "outdoor" (realizzati verso destinazioni che sono al di fuori dei centroidi di domanda (città con oltre 50mila abitanti) </t>
  </si>
  <si>
    <t>Offerta del servizio: non esplicitato l'altro estremo della distanza: ad un'attenta lettura della formula sembrerebbe che non si tratti di distanza rispetto alla popolazione, bensì si tratti della distanza fra ogni cella di ecosistema e i tipi di ecosistemi caratterizzati da maggior attrattività. E' un modo per caratterizzare l'attrattività naturalistica di ogni cella: quanto minore la distanza da aree protette, coste, montagne, laghi, tanto maggiore l'attrattività della cella.</t>
  </si>
  <si>
    <t xml:space="preserve">A) III rapporto K naturale pag 131 (a cura di ISPRA): </t>
  </si>
  <si>
    <t>Il modello sviluppato per il servizio ricreativo outdoor è ispirato al modello ESTIMAP sviluppato da Paracchini (Paracchini et al., 2014) per l’Europa e concepisce il servizio come "il risultato di un’interazione fra l'offerta e la domanda ad esso associate. Il modello calcola l’offerta ricreativa come funzione moltiplicativa della naturalità e dell'accessibilità, quest’ultima basata sulla distanza dai fattori di attrattività naturale, calcolata come distanza euclidea delle aree protette26, picchi montuosi, coste e corpi idrici27 (inclusi ruscelli, laghi e mari)."</t>
  </si>
  <si>
    <t>Si presume che siano stati considerati solo i viaggi a scopo di  ricreazione naturalistica, escludendo i viaggi a scopo culturale (borghi medievali e città d'arte) o commerciale (centri commerciali situati fuori città o in campagna). Dallo scambio di chiarimenti con Capriolo è escluso il turismo internazionale e quello nazionale, così come i viaggi con pernottamenti di almeno un giorno. Sono esclusi anche  i cittadini non residenti provenienti da zone con popolazione inferiore a 50000 abitanti.</t>
  </si>
  <si>
    <t>M ab in aree urbane con oltre 50000 ab (sistemi locali delle realtà urbane e delle città medie)</t>
  </si>
  <si>
    <t>Suolo consumato sul teritorio nazionale al 2018 (Rapporto ISPRA sul consumo di suolo 2019)</t>
  </si>
  <si>
    <t>suolo consumato/artificiale</t>
  </si>
  <si>
    <t>dato ufficiale superficie Italia</t>
  </si>
  <si>
    <t>Aree agricole - suolo consumato</t>
  </si>
  <si>
    <t>di cui Suolo consumato</t>
  </si>
  <si>
    <t>Ispra consumo suolo più alto di ISPRA RKN</t>
  </si>
  <si>
    <t>ISPRA CS</t>
  </si>
  <si>
    <t>ISPRA RKN+CS</t>
  </si>
  <si>
    <t>ha aree vegetate non consumate</t>
  </si>
  <si>
    <t>Praterie (suolo non consumato)</t>
  </si>
  <si>
    <t>Cespuglieti (suolo non consumato)</t>
  </si>
  <si>
    <t>Foreste e boschi (suolo non consumato)</t>
  </si>
  <si>
    <t>ok (CS: consumato in aree urbane)</t>
  </si>
  <si>
    <t>CS p.81</t>
  </si>
  <si>
    <t>CS p. 81</t>
  </si>
  <si>
    <t>Aree agricole - Colture</t>
  </si>
  <si>
    <t>RKN</t>
  </si>
  <si>
    <t>CS fig.p.77</t>
  </si>
  <si>
    <t>Aree urbane - suolo consumato</t>
  </si>
  <si>
    <t>Altro (superfici naturali non vegetate e aree urbane con suolo non consumato prive di vegetazione arborea)</t>
  </si>
  <si>
    <t>Suolo consumato/artificiale</t>
  </si>
  <si>
    <t>Fonte: Elabotrazione RSE in base a ISPRA 2019a (RKN) e ISPRA 2019b (RCS)</t>
  </si>
  <si>
    <t>Tabella: Uso del suolo e sua copertura (suolo consumato/non consumato), ettari</t>
  </si>
  <si>
    <t>in ambito urbano, agricolo e in aree naturali</t>
  </si>
  <si>
    <t>Aree naturali - Suolo consumato</t>
  </si>
  <si>
    <t>Aree agricole -  colture (suolo non consumato)</t>
  </si>
  <si>
    <t>di cui altro</t>
  </si>
  <si>
    <t>Quadratura dei dati ISPRA di uso del suolo in coerenza con i dati di consumo suolo del rapporto ISPRA</t>
  </si>
  <si>
    <t>ISPRA RKN</t>
  </si>
  <si>
    <t>RKN meno CS</t>
  </si>
  <si>
    <t>Riparametrazione alla superficie italiana tenendo costante le aree verdi, i corpi idrici, le aree umide e la stima di consumo di suolo di ISPRA CS</t>
  </si>
  <si>
    <t>di cui aree urbane verdi, aree umide e corpi idrici</t>
  </si>
  <si>
    <t xml:space="preserve">Aree urbane verdi </t>
  </si>
  <si>
    <t>Altri ecosistemi con suolo non consumato (superfici naturali non vegetate e aree urbane con suolo non consumato prive di vegetazione arborea)</t>
  </si>
  <si>
    <t>Altri ecosistemi naturali (es. spiagge)</t>
  </si>
  <si>
    <t>Suolo consumato / artificiale</t>
  </si>
  <si>
    <t xml:space="preserve">Aree verdi urbane </t>
  </si>
  <si>
    <t>Aree agricole coltivate (suolo non consumato)</t>
  </si>
  <si>
    <t>aree urb con copertura arborea</t>
  </si>
  <si>
    <t>aree urb con copertura erbacea</t>
  </si>
  <si>
    <t>Supera la superficie Italia</t>
  </si>
  <si>
    <t xml:space="preserve">sballa perché RKN non considera le aree urbane edificate ma solo le aree verdi urbane </t>
  </si>
  <si>
    <t>Totale (tutti i tipi)</t>
  </si>
  <si>
    <t>Totale Italia (tutti i tipi di ecosistemi)</t>
  </si>
  <si>
    <r>
      <t xml:space="preserve">Fonte: Elaborazione RSE in base a JRC [2] ISPRA [5] e </t>
    </r>
    <r>
      <rPr>
        <sz val="11"/>
        <color theme="1"/>
        <rFont val="Times New Roman"/>
        <family val="1"/>
      </rPr>
      <t>SNPA [8]</t>
    </r>
  </si>
  <si>
    <t>€/ha</t>
  </si>
  <si>
    <t>valore medio della produzione colture dipendenti dagli impollinatori per ettaro in Italia</t>
  </si>
  <si>
    <t>minimo (VYOLL)</t>
  </si>
  <si>
    <t>massimo (VSL)</t>
  </si>
  <si>
    <t>€ 2005 / ha bosco-anno</t>
  </si>
  <si>
    <t>Totale servizio di mitigazione inquinamento atmosferico (solo PM10)</t>
  </si>
  <si>
    <t>Ad una verifica dei rapporti fra stima low e high fornita da ISPRA che riprende i valori di Manes, risulta che è stato applicato il danno unitario NOx</t>
  </si>
  <si>
    <t>Inoltre, è stato verificato che in EEA non esiste alcun valore di danno unitario per l'ozono</t>
  </si>
  <si>
    <t>ISPRA (annesso met 2018) raccomanda una forchetta in cui il valore minimo è VYOLL e il valore massimo è VSL (se ne deduce che il valore fornito è una media valida per tutti gli ecosistemi boschivi citati da ISPRA nel territorio nazionale.</t>
  </si>
  <si>
    <t>I valori di beneficio/ha dovrebbero differire a seconda del tipo di bosco, e di caso studio (Genova etc)</t>
  </si>
  <si>
    <t>Fra approccio VYOLL e VSL, Handbook 2019 consiglia il primo</t>
  </si>
  <si>
    <t>Pertantio si considera solo il valore minimo di ISPRA</t>
  </si>
  <si>
    <t>Non si ritiene idoneo sostituire la valutazione della rimozione ozono con il danno di NOx: si esclude dalla metodologia</t>
  </si>
  <si>
    <t>PM10</t>
  </si>
  <si>
    <t>valore SE, rendita della risorsa (M € 2018)</t>
  </si>
  <si>
    <t>Valore unitario del servizio ecosistemico - rendita della risorsa = 10% tariffa (€/m3)</t>
  </si>
  <si>
    <t>&lt;?xml version="1.0" encoding="utf-16"?&gt;&lt;WebTableParameter xmlns:xsd="http://www.w3.org/2001/XMLSchema" xmlns:xsi="http://www.w3.org/2001/XMLSchema-instance" xmlns="http://stats.oecd.org/OECDStatWS/2004/03/01/"&gt;&lt;DataTable Code="DCSP_SBSNAZ" HasMetadata="true"&gt;&lt;Name LocaleIsoCode="en"&gt;Enterprises economic indicators&lt;/Name&gt;&lt;Name LocaleIsoCode="it"&gt;Risultati economici delle imprese&lt;/Name&gt;&lt;Dimension Code="ITTER107" HasMetadata="false" CommonCode="ITTER107" Display="labels"&gt;&lt;Name LocaleIsoCode="en"&gt;Territory&lt;/Name&gt;&lt;Name LocaleIsoCode="it"&gt;Territorio&lt;/Name&gt;&lt;Member Code="IT" HasMetadata="false" HasOnlyUnitMetadata="false" HasChild="0"&gt;&lt;Name LocaleIsoCode="en"&gt;Italy&lt;/Name&gt;&lt;Name LocaleIsoCode="it"&gt;Italia&lt;/Name&gt;&lt;/Member&gt;&lt;/Dimension&gt;&lt;Dimension Code="TIPO_DATO29" HasMetadata="false" CommonCode="TIPO_DATO29" Display="labels"&gt;&lt;Name LocaleIsoCode="en"&gt;Variable&lt;/Name&gt;&lt;Name LocaleIsoCode="it"&gt;Variabile&lt;/Name&gt;&lt;Member Code="11110" HasMetadata="true" HasChild="0"&gt;&lt;Name LocaleIsoCode="en"&gt;enterprises&lt;/Name&gt;&lt;Name LocaleIsoCode="it"&gt;imprese&lt;/Name&gt;&lt;/Member&gt;&lt;Member Code="12110" HasMetadata="true" HasChild="0"&gt;&lt;Name LocaleIsoCode="en"&gt;turnover (thousands of euros)&lt;/Name&gt;&lt;Name LocaleIsoCode="it"&gt;fatturato (migliaia di euro)&lt;/Name&gt;&lt;/Member&gt;&lt;Member Code="12120" HasMetadata="false" HasChild="0"&gt;&lt;Name LocaleIsoCode="en"&gt;production value  (thousands of euros)&lt;/Name&gt;&lt;Name LocaleIsoCode="it"&gt;valore della produzione (migliaia di euro)&lt;/Name&gt;&lt;/Member&gt;&lt;Member Code="12150" HasMetadata="true" HasChild="0"&gt;&lt;Name LocaleIsoCode="en"&gt;value added at factor cost (thousands of euros)&lt;/Name&gt;&lt;Name LocaleIsoCode="it"&gt;valore aggiunto al costo dei fattori (migliaia di euro)&lt;/Name&gt;&lt;/Member&gt;&lt;Member Code="12170" HasMetadata="true" HasChild="0"&gt;&lt;Name LocaleIsoCode="en"&gt;gross operating surplus  (housands of euros)&lt;/Name&gt;&lt;Name LocaleIsoCode="it"&gt;margine operativo lordo (migliaia di euro)&lt;/Name&gt;&lt;/Member&gt;&lt;Member Code="13110" HasMetadata="true" HasChild="0"&gt;&lt;Name LocaleIsoCode="en"&gt;total purchases of goods and services ( thousands of euros)&lt;/Name&gt;&lt;Name LocaleIsoCode="it"&gt;acquisto di beni e servizi (migliaia di euro)&lt;/Name&gt;&lt;/Member&gt;&lt;Member Code="13310" HasMetadata="true" HasChild="0"&gt;&lt;Name LocaleIsoCode="en"&gt;personnel costs (thousands of euros)&lt;/Name&gt;&lt;Name LocaleIsoCode="it"&gt;costi del personale (migliaia di euro)&lt;/Name&gt;&lt;/Member&gt;&lt;Member Code="13320" HasMetadata="true" HasChild="0"&gt;&lt;Name LocaleIsoCode="en"&gt;wages and salaries (thousands of euros)&lt;/Name&gt;&lt;Name LocaleIsoCode="it"&gt;salari e stipendi (migliaia di euro)&lt;/Name&gt;&lt;/Member&gt;&lt;Member Code="15110" HasMetadata="false" HasChild="0"&gt;&lt;Name LocaleIsoCode="en"&gt;gross investment in tangible goods (thousands of euros)&lt;/Name&gt;&lt;Name LocaleIsoCode="it"&gt;investimenti lordi in beni materiali (migliaia di euro)&lt;/Name&gt;&lt;/Member&gt;&lt;Member Code="18110" HasMetadata="false" HasChild="0"&gt;&lt;Name LocaleIsoCode="en"&gt;turnover from the principal activity (thousands of euros)&lt;/Name&gt;&lt;Name LocaleIsoCode="it"&gt;fatturato dell'attività  principale (migliaia di euro)&lt;/Name&gt;&lt;/Member&gt;&lt;Member Code="18121" HasMetadata="false" HasChild="0"&gt;&lt;Name LocaleIsoCode="en"&gt;turnover from industrial activities excluding construction (thousands of euros)&lt;/Name&gt;&lt;Name LocaleIsoCode="it"&gt;fatturato dell'attività  industriale con l'esclusione delle costruzioni (migliaia di euro)&lt;/Name&gt;&lt;/Member&gt;&lt;Member Code="18122" HasMetadata="false" HasChild="0"&gt;&lt;Name LocaleIsoCode="en"&gt;turnover from construction (thousands of euros)&lt;/Name&gt;&lt;Name LocaleIsoCode="it"&gt;fatturato dell'attività  delle costruzioni (migliaia di euro)&lt;/Name&gt;&lt;/Member&gt;&lt;Member Code="18150" HasMetadata="false" HasChild="0"&gt;&lt;Name LocaleIsoCode="en"&gt;turnover from service activities (thousands of euros)&lt;/Name&gt;&lt;Name LocaleIsoCode="it"&gt;fatturato delle attività dei servizi (migliaia di euro)&lt;/Name&gt;&lt;/Member&gt;&lt;Member Code="18160" HasMetadata="false" HasChild="0"&gt;&lt;Name LocaleIsoCode="en"&gt;turnover from trading activities and from intermediary activities (thousands of euros)&lt;/Name&gt;&lt;Name LocaleIsoCode="it"&gt;fatturato delle attività  commerciali e degli intermediari (agenti) (migliaia di euro)&lt;/Name&gt;&lt;/Member&gt;&lt;Member Code="18310" HasMetadata="false" HasChild="0"&gt;&lt;Name LocaleIsoCode="en"&gt;turnover from building (thousands of euros)&lt;/Name&gt;&lt;Name LocaleIsoCode="it"&gt;fatturato dell'attività  di costruzione edilizia (migliaia di euro)&lt;/Name&gt;&lt;/Member&gt;&lt;Member Code="18320" HasMetadata="false" HasChild="0"&gt;&lt;Name LocaleIsoCode="en"&gt;turnover from civil engineering (thousands of euros)&lt;/Name&gt;&lt;Name LocaleIsoCode="it"&gt;fatturato dell'attività  di costruzione di opere di ingegneria civile (migliaia di euro)&lt;/Name&gt;&lt;/Member&gt;&lt;Member Code="51500" HasMetadata="false" HasChild="0"&gt;&lt;Name LocaleIsoCode="en"&gt;gross investment in course and payments on account (migliaia di euro)&lt;/Name&gt;&lt;Name LocaleIsoCode="it"&gt;investimenti in corso e acconti (migliaia di euro)&lt;/Name&gt;&lt;/Member&gt;&lt;Member Code="80001" HasMetadata="false" HasChild="0"&gt;&lt;Name LocaleIsoCode="en"&gt;gross investment in construction, buildings and structures (migliaia di euro)&lt;/Name&gt;&lt;Name LocaleIsoCode="it"&gt;investimenti in costruzioni, fabbricati ed altre opere (nuovi ed usati) (migliaia di euro)&lt;/Name&gt;&lt;/Member&gt;&lt;Member Code="80002" HasMetadata="false" HasChild="0"&gt;&lt;Name LocaleIsoCode="en"&gt;gross investment in machinery and equipment (thousands of euros)&lt;/Name&gt;&lt;Name LocaleIsoCode="it"&gt;investimenti in impianti e macchinari (nuovi ed usati) (migliaia di euro)&lt;/Name&gt;&lt;/Member&gt;&lt;Member Code="80003" HasMetadata="false" HasChild="0"&gt;&lt;Name LocaleIsoCode="en"&gt;gross investment in fornitures and others equipments (thousands of euros)&lt;/Name&gt;&lt;Name LocaleIsoCode="it"&gt;investimenti in mobili e attrezzature (nuovi ed usati) (migliaia di euro)&lt;/Name&gt;&lt;/Member&gt;&lt;Member Code="80004" HasMetadata="false" HasChild="0"&gt;&lt;Name LocaleIsoCode="en"&gt;gross investment in vehicle for transport (thousands of euros)&lt;/Name&gt;&lt;Name LocaleIsoCode="it"&gt;investimenti in mezzi di trasporto (nuovi ed usati) (migliaia di euro)&lt;/Name&gt;&lt;/Member&gt;&lt;Member Code="80005" HasMetadata="false" HasChild="0"&gt;&lt;Name LocaleIsoCode="en"&gt;gross investment in other tangible goods (thousands of euros)&lt;/Name&gt;&lt;Name LocaleIsoCode="it"&gt;investimenti in altri beni (nuovi ed usati) (migliaia di euro)&lt;/Name&gt;&lt;/Member&gt;&lt;/Dimension&gt;&lt;Dimension Code="ATECO_2007" HasMetadata="false" CommonCode="ATECO_2007" Display="codesandlabels"&gt;&lt;Name LocaleIsoCode="en"&gt;NACE 2007&lt;/Name&gt;&lt;Name LocaleIsoCode="it"&gt;Ateco 2007&lt;/Name&gt;&lt;Member Code="36" HasMetadata="false" HasChild="0"&gt;&lt;Name LocaleIsoCode="en"&gt;water collection, treatment and supply&lt;/Name&gt;&lt;Name LocaleIsoCode="it"&gt;raccolta, trattamento e fornitura di acqua&lt;/Name&gt;&lt;/Member&gt;&lt;/Dimension&gt;&lt;Dimension Code="CLLVT" HasMetadata="false" CommonCode="CLLVT" Display="labels"&gt;&lt;Name LocaleIsoCode="en"&gt;Size class of persons employed&lt;/Name&gt;&lt;Name LocaleIsoCode="it"&gt;Classe di addetti&lt;/Name&gt;&lt;Member Code="TOTAL" HasMetadata="false" HasOnlyUnitMetadata="false" HasChild="0"&gt;&lt;Name LocaleIsoCode="en"&gt;total&lt;/Name&gt;&lt;Name LocaleIsoCode="it"&gt;totale&lt;/Name&gt;&lt;/Member&gt;&lt;/Dimension&gt;&lt;Dimension Code="CL_IMPORTO1" HasMetadata="false" CommonCode="CL_IMPORTO1" Display="labels"&gt;&lt;Name LocaleIsoCode="en"&gt;Size class of turnover&lt;/Name&gt;&lt;Name LocaleIsoCode="it"&gt;Classe di fatturato&lt;/Name&gt;&lt;Member Code="9" HasMetadata="false" HasOnlyUnitMetadata="false" HasChild="0"&gt;&lt;Name LocaleIsoCode="en"&gt;totale&lt;/Name&gt;&lt;Name LocaleIsoCode="it"&gt;totale&lt;/Name&gt;&lt;/Member&gt;&lt;/Dimension&gt;&lt;Dimension Code="AREEAMB" HasMetadata="false" CommonCode="AREEAMB" Display="labels"&gt;&lt;Name LocaleIsoCode="en"&gt;Environmental domains&lt;/Name&gt;&lt;Name LocaleIsoCode="it"&gt;Dominio di protezione ambientale&lt;/Name&gt;&lt;Member Code="9" HasMetadata="false" HasChild="0"&gt;&lt;Name LocaleIsoCode="en"&gt;total&lt;/Name&gt;&lt;Name LocaleIsoCode="it"&gt;totale&lt;/Name&gt;&lt;/Member&gt;&lt;/Dimension&gt;&lt;Dimension Code="TIME" HasMetadata="false" CommonCode="TIME" Display="labels"&gt;&lt;Name LocaleIsoCode="en"&gt;Select time&lt;/Name&gt;&lt;Name LocaleIsoCode="it"&gt;Seleziona periodo&lt;/Name&gt;&lt;Member Code="2016" HasMetadata="false"&gt;&lt;Name LocaleIsoCode="en"&gt;2016&lt;/Name&gt;&lt;Name LocaleIsoCode="it"&gt;2016&lt;/Name&gt;&lt;/Member&gt;&lt;Member Code="2017" HasMetadata="true"&gt;&lt;Name LocaleIsoCode="en"&gt;2017&lt;/Name&gt;&lt;Name LocaleIsoCode="it"&gt;2017&lt;/Name&gt;&lt;/Member&gt;&lt;/Dimension&gt;&lt;WBOSInformations&gt;&lt;TimeDimension WebTreeWasUsed="false"&gt;&lt;StartCodes Annual="2016" /&gt;&lt;/TimeDimension&gt;&lt;/WBOSInformations&gt;&lt;Tabulation Axis="horizontal"&gt;&lt;Dimension Code="TIME" CommonCode="TIME" /&gt;&lt;Dimension Code="CLLVT" CommonCode="CLLVT" /&gt;&lt;/Tabulation&gt;&lt;Tabulation Axis="vertical"&gt;&lt;Dimension Code="TIPO_DATO29" CommonCode="TIPO_DATO29" /&gt;&lt;/Tabulation&gt;&lt;Tabulation Axis="page"&gt;&lt;Dimension Code="ITTER107" CommonCode="ITTER107" /&gt;&lt;Dimension Code="ATECO_2007" CommonCode="ATECO_2007" /&gt;&lt;Dimension Code="CL_IMPORTO1" CommonCode="CL_IMPORTO1" /&gt;&lt;Dimension Code="AREEAMB" CommonCode="AREEAMB" /&gt;&lt;/Tabulation&gt;&lt;Formatting&gt;&lt;Labels LocaleIsoCode="it" /&gt;&lt;Power&gt;0&lt;/Power&gt;&lt;Decimals&gt;-1&lt;/Decimals&gt;&lt;SkipEmptyLines&gt;true&lt;/SkipEmptyLines&gt;&lt;SkipEmptyCols&gt;false&lt;/SkipEmptyCols&gt;&lt;SkipLineHierarchy&gt;true&lt;/SkipLineHierarchy&gt;&lt;SkipColHierarchy&gt;true&lt;/SkipColHierarchy&gt;&lt;Page&gt;1&lt;/Page&gt;&lt;/Formatting&gt;&lt;/DataTable&gt;&lt;Format&gt;&lt;ShowEmptyAxes&gt;true&lt;/ShowEmptyAxes&gt;&lt;Page&gt;1&lt;/Page&gt;&lt;EnableSort&gt;true&lt;/EnableSort&gt;&lt;IncludeFlagColumn&gt;false&lt;/IncludeFlagColumn&gt;&lt;IncludeTimeSeriesId&gt;false&lt;/IncludeTimeSeriesId&gt;&lt;DoBarChart&gt;false&lt;/DoBarChart&gt;&lt;FreezePanes&gt;true&lt;/FreezePanes&gt;&lt;MaxBarChartLen&gt;65&lt;/MaxBarChartLen&gt;&lt;/Format&gt;&lt;Query&gt;&lt;AbsoluteUri&gt;http://dati.istat.it//View.aspx?QueryId=&amp;amp;QueryType=Public&amp;amp;Lang=it&lt;/AbsoluteUri&gt;&lt;/Query&gt;&lt;/WebTableParameter&gt;</t>
  </si>
  <si>
    <t>Dataset:Risultati economici delle imprese</t>
  </si>
  <si>
    <t>Ateco 2007</t>
  </si>
  <si>
    <t>36: raccolta, trattamento e fornitura di acqua</t>
  </si>
  <si>
    <t>Classe di fatturato</t>
  </si>
  <si>
    <t>totale</t>
  </si>
  <si>
    <t>Dominio di protezione ambientale</t>
  </si>
  <si>
    <t>Classe di addetti</t>
  </si>
  <si>
    <t>Variabile</t>
  </si>
  <si>
    <t>imprese</t>
  </si>
  <si>
    <t>fatturato (migliaia di euro)</t>
  </si>
  <si>
    <t>valore della produzione (migliaia di euro)</t>
  </si>
  <si>
    <t>valore aggiunto al costo dei fattori (migliaia di euro)</t>
  </si>
  <si>
    <t>margine operativo lordo (migliaia di euro)</t>
  </si>
  <si>
    <t>acquisto di beni e servizi (migliaia di euro)</t>
  </si>
  <si>
    <t>costi del personale (migliaia di euro)</t>
  </si>
  <si>
    <t>salari e stipendi (migliaia di euro)</t>
  </si>
  <si>
    <t>investimenti lordi in beni materiali (migliaia di euro)</t>
  </si>
  <si>
    <t>fatturato dell'attività  principale (migliaia di euro)</t>
  </si>
  <si>
    <t>fatturato dell'attività  industriale con l'esclusione delle costruzioni (migliaia di euro)</t>
  </si>
  <si>
    <t>fatturato dell'attività  delle costruzioni (migliaia di euro)</t>
  </si>
  <si>
    <t>fatturato delle attività dei servizi (migliaia di euro)</t>
  </si>
  <si>
    <t>fatturato delle attività  commerciali e degli intermediari (agenti) (migliaia di euro)</t>
  </si>
  <si>
    <t>fatturato dell'attività  di costruzione edilizia (migliaia di euro)</t>
  </si>
  <si>
    <t>fatturato dell'attività  di costruzione di opere di ingegneria civile (migliaia di euro)</t>
  </si>
  <si>
    <t>investimenti in corso e acconti (migliaia di euro)</t>
  </si>
  <si>
    <t>investimenti in costruzioni, fabbricati ed altre opere (nuovi ed usati) (migliaia di euro)</t>
  </si>
  <si>
    <t>investimenti in impianti e macchinari (nuovi ed usati) (migliaia di euro)</t>
  </si>
  <si>
    <t>investimenti in mobili e attrezzature (nuovi ed usati) (migliaia di euro)</t>
  </si>
  <si>
    <t>investimenti in mezzi di trasporto (nuovi ed usati) (migliaia di euro)</t>
  </si>
  <si>
    <t>investimenti in altri beni (nuovi ed usati) (migliaia di euro)</t>
  </si>
  <si>
    <t>Dati estratti il 06 lug 2020 14:31 UTC (GMT) da I.Stat</t>
  </si>
  <si>
    <t>Acqua consumata per usi finali in tutti i settori, anno 2012</t>
  </si>
  <si>
    <t>Acqua prelevata dall'ambiente per soddisfare i consumi finali, anno 2012</t>
  </si>
  <si>
    <t>Valore della produzione branca dei servizi idrici, 2012 ai prezzi del 2010 (fonte Istat)</t>
  </si>
  <si>
    <t>miliardi di euro2010</t>
  </si>
  <si>
    <t>Nota: non è disponibile il dato di offerta di acqua in Italia al netto della ritenzione e evaporazione, ma solo la domanda complessiva per usi agricoli, industriali e civili</t>
  </si>
  <si>
    <t>stima fonte Istat (branca servizi idrici)</t>
  </si>
  <si>
    <t>miliardi di metri cubi</t>
  </si>
  <si>
    <t>Coste</t>
  </si>
  <si>
    <t>questo totale viene spalmato fra gli ecosistemi con la colonna E della tabella precedente</t>
  </si>
  <si>
    <t>più o meno il totale</t>
  </si>
  <si>
    <t xml:space="preserve"> Praterie (suolo non consumato)</t>
  </si>
  <si>
    <t>Nel suo ultimo rapporto sul consumo di suolo, ISPRA-SNPA [8] stima 266.846 ha di suolo nella fascia costiera entro i 300 metri in Italia, di cui circa 200.000 di suolo non consumato (63.442 ha il suolo con copertura artificiale, pari al 23,4%).</t>
  </si>
  <si>
    <t>Coste (suolo senza vegetazione non consumato)</t>
  </si>
  <si>
    <t>ha di costa priva di copertura artificiale Fascia entro 300 metri)</t>
  </si>
  <si>
    <t>ha di costa priva di copertura artificiale (Fascia 300-1000 metri)</t>
  </si>
  <si>
    <t>ha di costa entro 300 metri</t>
  </si>
  <si>
    <t>ha di costa italiana fra 300-1000 metri</t>
  </si>
  <si>
    <t>Fonte a): ISPRA Allegato Metodologico 2018</t>
  </si>
  <si>
    <t>Fonte b) JRC nel secondo rapporto sul capitale naturale</t>
  </si>
  <si>
    <t>ettari di superficie complessiva in Italia dei corpi idrici che producono il servizio (il servizio è prodotto in funzione del volume di acqua dei corpi idrici)</t>
  </si>
  <si>
    <t>somma ettari dei fiumi, laghi e aree umide</t>
  </si>
  <si>
    <t>Il servizio di purificazione fornito dal suolo non impermeabilizzato è fornito da tutti gli ecosistemi privi di coperatura artificiale, con l'eccezione delle aree agricole</t>
  </si>
  <si>
    <t>La valutazione monetaria non differenzia per categorie di uso del suolo a copertura "naturale"</t>
  </si>
  <si>
    <t>Includendo il servizio di regolazione del ciclo dei nutrienti</t>
  </si>
  <si>
    <t>Considerando esclusivamente il servizio di filtrazione e depurazione dell'acqua</t>
  </si>
  <si>
    <t>Fonte: Meta-analisi di Jonnsson et al 2016, citata in ISPRA Allegato Metodologico 2018</t>
  </si>
  <si>
    <t>Io: L’impermeabilizzazione del suolo,  anche mediante massicciate impermeabili compattate (fondo stradale), comporta una perdita  della capacità di</t>
  </si>
  <si>
    <t>"L’impermeabilizzazione del suolo, pertanto,provoca  il danno più estremo per il servizio ecosistemico  di purificazione dell'acqua. "</t>
  </si>
  <si>
    <t xml:space="preserve">Questa affermazioen di ISPRA è in realtà opinabile, perché il deflusso superficiale di acqua viene spostato sui suoli limitrofi e sui corpi idrici, che comunque forniscono questo servizio ecosistemico (nel primo caso pare senza incontrare limiti, nel secondo caso incontrano un limite di carico). </t>
  </si>
  <si>
    <t>La copertura artificiale del suolo ( a meno che non sia molto estesa) non impedisce alle falde di ricaricarsi, ma potrebbe provocare un'aggiunta di nutrienti e inquinanti nei corpi idrici, tale da superare la capcità di carico. Per questo i laghi con litorale molto antropizzato sono maggiormente a rischio di eutrofizzazione.</t>
  </si>
  <si>
    <t>Servizio ecosistemico "Purificazione acque" (si applica solo ai corpi idrici)</t>
  </si>
  <si>
    <t>matrice dei benefici (segno +) / costi  (segno -) annuali da cambiamenti di uso del suolo  (euro/ha-a)</t>
  </si>
  <si>
    <t>rapporto fra il valore corretto 2005 in EEA e il valore citato da Manes</t>
  </si>
  <si>
    <t>TOTALE</t>
  </si>
  <si>
    <t>Aree agricole coltivate (*)</t>
  </si>
  <si>
    <t>Praterie (*)</t>
  </si>
  <si>
    <t>Cespuglieti (*)</t>
  </si>
  <si>
    <t>Foreste e boschi (*)</t>
  </si>
  <si>
    <t>Altri ecosistemi naturali (es. spiagge) (*)</t>
  </si>
  <si>
    <t xml:space="preserve">Aree agricole coltivate </t>
  </si>
  <si>
    <t xml:space="preserve">Praterie </t>
  </si>
  <si>
    <t xml:space="preserve">Cespuglieti </t>
  </si>
  <si>
    <t xml:space="preserve">Foreste e boschi </t>
  </si>
  <si>
    <t>ISPRA CS fig p.77</t>
  </si>
  <si>
    <t>foreste e boschi</t>
  </si>
  <si>
    <t>colture agricole</t>
  </si>
  <si>
    <t>fiumi e laghi</t>
  </si>
  <si>
    <t>aree umide</t>
  </si>
  <si>
    <t>prati/pascoli</t>
  </si>
  <si>
    <t>RCS fig p.77: le aree verdi urbane con copertura arborea hanno una superficie 10 volte maggiore rispetto alle aree verdi del RKN (90401 ha contro 7875 ha e contro 56600 del rapporto istat sul verde urbano)</t>
  </si>
  <si>
    <t>spiagge (suolo non consumato)</t>
  </si>
  <si>
    <t>Altri ecosistemi naturali (spiagge, suoli naturali non vegetati, suolo non consumato e non boscato di aree urbane )</t>
  </si>
  <si>
    <t>spiagge</t>
  </si>
  <si>
    <t>suoli interni naturali non vegetati</t>
  </si>
  <si>
    <t>suolo non consumato né boscato di aree urbane</t>
  </si>
  <si>
    <t>Totale Altri ecosistemi naturali</t>
  </si>
  <si>
    <t>media ponderata</t>
  </si>
  <si>
    <t>media aritmetica</t>
  </si>
  <si>
    <t>Aree urbanizzate/suoli artificiali</t>
  </si>
  <si>
    <t>aree verdi urbane</t>
  </si>
  <si>
    <t>SAU ITA 2013 fonte istat vedi cartella superfici ecosistemi</t>
  </si>
  <si>
    <t>€ 2018/ha-a</t>
  </si>
  <si>
    <t>Valore del servizio di impollinazione per l'Italia per ettaro di colture dipendenti dagli impollinatori, secondo ISPRA III RKN</t>
  </si>
  <si>
    <t>Valore del servizio di impollinazione per l'Italia per ettaro di SAU</t>
  </si>
  <si>
    <t>Tab. 45 Estensione del servizio di impollinazione, Italia (habitat per impollinatori presenti in aree dedicate a colture dipendenti da specie impollinatrici, come meli, peri, pesche, mandorli, albicocche, ciliegi, fichi, agrumi, limoni, pruni, fragole, fagiolo, melanzana, leguminose, soia, girasole, e altre). L'elenco delle coltura è molto più ampio di quello del JRC</t>
  </si>
  <si>
    <t>verifica valore medio con SAU</t>
  </si>
  <si>
    <t>IN un confronto con la terza fonte (contributo ISPRA al Terzo RKN), se questo valore medio si riferisse alle aree agricole dipendenti dagli impollinatori sarebbe sottostimato, perché porterebbe a una stima di 286 milioni di euro e non di 2 miliardi. Se si riferisse alla SAU, sarebbe in linea Infatti, se si assumesse</t>
  </si>
  <si>
    <t>SAU</t>
  </si>
  <si>
    <t>€ 2018/ha-a SAU</t>
  </si>
  <si>
    <t>RGB</t>
  </si>
  <si>
    <t>GRID_CODE</t>
  </si>
  <si>
    <t>LEVEL1</t>
  </si>
  <si>
    <t>LEVEL2</t>
  </si>
  <si>
    <t>LEVEL3</t>
  </si>
  <si>
    <t>CLC_CODE</t>
  </si>
  <si>
    <t>LABEL1</t>
  </si>
  <si>
    <t>LABEL2</t>
  </si>
  <si>
    <t>LABEL3</t>
  </si>
  <si>
    <t>Italia (ha)</t>
  </si>
  <si>
    <t>230-000-077</t>
  </si>
  <si>
    <t>Artificial surfaces</t>
  </si>
  <si>
    <t>Urban fabric</t>
  </si>
  <si>
    <t>Continuous urban fabric</t>
  </si>
  <si>
    <t>255-000-000</t>
  </si>
  <si>
    <t>Discontinuous urban fabric</t>
  </si>
  <si>
    <t>204-077-242</t>
  </si>
  <si>
    <t>Industrial, commercial and transport units</t>
  </si>
  <si>
    <t>Industrial or commercial units</t>
  </si>
  <si>
    <t>204-000-000</t>
  </si>
  <si>
    <t>Road and rail networks and associated land</t>
  </si>
  <si>
    <t>230-204-204</t>
  </si>
  <si>
    <t>Port areas</t>
  </si>
  <si>
    <t>230-204-230</t>
  </si>
  <si>
    <t>Airports</t>
  </si>
  <si>
    <t>166-000-204</t>
  </si>
  <si>
    <t>Mine, dump and construction sites</t>
  </si>
  <si>
    <t>Mineral extraction sites</t>
  </si>
  <si>
    <t>166-077-000</t>
  </si>
  <si>
    <t>Dump sites</t>
  </si>
  <si>
    <t>255-077-255</t>
  </si>
  <si>
    <t>Construction sites</t>
  </si>
  <si>
    <t>255-166-255</t>
  </si>
  <si>
    <t>Artificial, non-agricultural vegetated areas</t>
  </si>
  <si>
    <t>Green urban areas</t>
  </si>
  <si>
    <t>255-230-255</t>
  </si>
  <si>
    <t>Sport and leisure facilities</t>
  </si>
  <si>
    <t>255-255-168</t>
  </si>
  <si>
    <t>Agricultural areas</t>
  </si>
  <si>
    <t>Arable land</t>
  </si>
  <si>
    <t>Non-irrigated arable land</t>
  </si>
  <si>
    <t>255-255-000</t>
  </si>
  <si>
    <t>Permanently irrigated land</t>
  </si>
  <si>
    <t>230-230-000</t>
  </si>
  <si>
    <t>Rice fields</t>
  </si>
  <si>
    <t>230-128-000</t>
  </si>
  <si>
    <t>Permanent crops</t>
  </si>
  <si>
    <t>Vineyards</t>
  </si>
  <si>
    <t>242-166-077</t>
  </si>
  <si>
    <t>Fruit trees and berry plantations</t>
  </si>
  <si>
    <t>230-166-000</t>
  </si>
  <si>
    <t>Olive groves</t>
  </si>
  <si>
    <t>230-230-077</t>
  </si>
  <si>
    <t>Pastures</t>
  </si>
  <si>
    <t>255-230-166</t>
  </si>
  <si>
    <t>Heterogeneous agricultural areas</t>
  </si>
  <si>
    <t>Annual crops associated with permanent crops</t>
  </si>
  <si>
    <t>255-230-077</t>
  </si>
  <si>
    <t>Complex cultivation patterns</t>
  </si>
  <si>
    <t>230-204-077</t>
  </si>
  <si>
    <t>Land principally occupied by agriculture, with significant areas of natural vegetation</t>
  </si>
  <si>
    <t>242-204-166</t>
  </si>
  <si>
    <t>Agro-forestry areas</t>
  </si>
  <si>
    <t>128-255-000</t>
  </si>
  <si>
    <t>Forest and semi natural areas</t>
  </si>
  <si>
    <t>Forests</t>
  </si>
  <si>
    <t>Broad-leaved forest</t>
  </si>
  <si>
    <t>000-166-000</t>
  </si>
  <si>
    <t>Coniferous forest</t>
  </si>
  <si>
    <t>077-255-000</t>
  </si>
  <si>
    <t>Mixed forest</t>
  </si>
  <si>
    <t>204-242-077</t>
  </si>
  <si>
    <t>Scrub and/or herbaceous vegetation associations</t>
  </si>
  <si>
    <t>Natural grasslands</t>
  </si>
  <si>
    <t>Prati naturali</t>
  </si>
  <si>
    <t>166-255-128</t>
  </si>
  <si>
    <t>Moors and heathland</t>
  </si>
  <si>
    <t>cespuglieti/arbusteti</t>
  </si>
  <si>
    <t>166-230-077</t>
  </si>
  <si>
    <t>Sclerophyllous vegetation</t>
  </si>
  <si>
    <t>166-242-000</t>
  </si>
  <si>
    <t>Transitional woodland-shrub</t>
  </si>
  <si>
    <t>230-230-230</t>
  </si>
  <si>
    <t>Open spaces with little or no vegetation</t>
  </si>
  <si>
    <t>Beaches, dunes, sands</t>
  </si>
  <si>
    <t>204-204-204</t>
  </si>
  <si>
    <t>Bare rocks</t>
  </si>
  <si>
    <t>Aree naturali con vegetazione scarsa o assente</t>
  </si>
  <si>
    <t>204-255-204</t>
  </si>
  <si>
    <t>Sparsely vegetated areas</t>
  </si>
  <si>
    <t>000-000-000</t>
  </si>
  <si>
    <t>Burnt areas</t>
  </si>
  <si>
    <t>166-230-204</t>
  </si>
  <si>
    <t>Glaciers and perpetual snow</t>
  </si>
  <si>
    <t>166-166-255</t>
  </si>
  <si>
    <t>Wetlands</t>
  </si>
  <si>
    <t>Inland wetlands</t>
  </si>
  <si>
    <t>Inland marshes</t>
  </si>
  <si>
    <t>077-077-255</t>
  </si>
  <si>
    <t>Peat bogs</t>
  </si>
  <si>
    <t>204-204-255</t>
  </si>
  <si>
    <t>Maritime wetlands</t>
  </si>
  <si>
    <t>Salt marshes</t>
  </si>
  <si>
    <t>230-230-255</t>
  </si>
  <si>
    <t>Salines</t>
  </si>
  <si>
    <t>166-166-230</t>
  </si>
  <si>
    <t>Intertidal flats</t>
  </si>
  <si>
    <t>000-204-242</t>
  </si>
  <si>
    <t>Water bodies</t>
  </si>
  <si>
    <t>Inland waters</t>
  </si>
  <si>
    <t>Water courses</t>
  </si>
  <si>
    <t xml:space="preserve">Corpi idrici </t>
  </si>
  <si>
    <t>include lagune costiere</t>
  </si>
  <si>
    <t>128-242-230</t>
  </si>
  <si>
    <t>000-255-166</t>
  </si>
  <si>
    <t>Marine waters</t>
  </si>
  <si>
    <t>Coastal lagoons</t>
  </si>
  <si>
    <t>lagune costiere</t>
  </si>
  <si>
    <t>166-255-230</t>
  </si>
  <si>
    <t>Estuaries</t>
  </si>
  <si>
    <t>esclusi (110 ha)</t>
  </si>
  <si>
    <t>230-242-255</t>
  </si>
  <si>
    <t>Sea and ocean</t>
  </si>
  <si>
    <t>esclusi (1,5 M ha)</t>
  </si>
  <si>
    <t>NODATA</t>
  </si>
  <si>
    <t>UNCLASSIFIED</t>
  </si>
  <si>
    <t>UNCLASSIFIED LAND SURFACE</t>
  </si>
  <si>
    <t>UNCLASSIFIED WATER BODIES</t>
  </si>
  <si>
    <t>suoli con cop. artificiale</t>
  </si>
  <si>
    <t>M euro 2018</t>
  </si>
  <si>
    <t>euro18/ha</t>
  </si>
  <si>
    <t>Fonte: Rielaborazione RSE dei dati ISPRA per tener conto del refuso tariffa</t>
  </si>
  <si>
    <t>nd</t>
  </si>
  <si>
    <t>Altri ecosistemi naturali</t>
  </si>
  <si>
    <t>Altri ecosistemi naturali (suolo non consumato)</t>
  </si>
  <si>
    <t>non corrisponde esattamente con suoperficie Italia</t>
  </si>
  <si>
    <t xml:space="preserve">Cespuglieti (suolo non consumato) </t>
  </si>
  <si>
    <t>Altro (superfici naturali "non vegetate") inckude veg rada</t>
  </si>
  <si>
    <t>contiene i prati urbani del RCS ISPRA?</t>
  </si>
  <si>
    <t>fa parte dei prati urbani?</t>
  </si>
  <si>
    <t>aree urbane vegetate ma non a bosco</t>
  </si>
  <si>
    <t>Aree urbane vegetate - suolo non cons. né boscato</t>
  </si>
  <si>
    <t>non riprop</t>
  </si>
  <si>
    <t>proporzionato</t>
  </si>
  <si>
    <t>aree naturali con vegetazione scarsa o assente</t>
  </si>
  <si>
    <t>Tabella finale</t>
  </si>
  <si>
    <t>Altro (superfici naturali "non vegetate") include spiagge rocce ghiacciai e aree bruciate</t>
  </si>
  <si>
    <t>aree urbane vegetate non boscate?</t>
  </si>
  <si>
    <t>Alle aree naturali con vegetazione scarsa o assente è stato attribuito valore zero</t>
  </si>
  <si>
    <t>euro/ha-a</t>
  </si>
  <si>
    <t>Totale altri ecosistemi naturali</t>
  </si>
  <si>
    <t>per le altre si possono fare assunzioni ragionevoli in base agli ecosistemi valutati</t>
  </si>
  <si>
    <t>MATRICE UFFICIALE nazionale</t>
  </si>
  <si>
    <t xml:space="preserve">Servizio ecosistemico "approvvigionamento biomassa legnosa": </t>
  </si>
  <si>
    <t xml:space="preserve">Servizio ecosistemico "approvvigionamento materia prima agricola": </t>
  </si>
  <si>
    <t>EURO2018/ha-a</t>
  </si>
  <si>
    <t>PER ORA è STATO IMMESSO UN VALORE STANDARD nazionale</t>
  </si>
  <si>
    <t>Matrice dei benefici (segno +) / costi  (segno -) annuali da cambiamenti di uso del suolo  (euro/ha)</t>
  </si>
  <si>
    <t>Totale - Tutti i servizi ecosistemici</t>
  </si>
  <si>
    <t xml:space="preserve">(*) Si esclude il suolo consumato </t>
  </si>
  <si>
    <t>€/ha: beneficio impollinazione agricola  per ettaro di qualsiasi coltura</t>
  </si>
  <si>
    <t xml:space="preserve">Emilia Romagna </t>
  </si>
  <si>
    <t>Media nazionale</t>
  </si>
  <si>
    <t xml:space="preserve">osservando la mappa ISPRA, i tre valori (basso, medio, alto) sono stati allocati alle restanti Regioni </t>
  </si>
  <si>
    <t>basso</t>
  </si>
  <si>
    <t>alto (media nazionale)</t>
  </si>
  <si>
    <t>Emilia-Romagna</t>
  </si>
  <si>
    <t>Lombardia</t>
  </si>
  <si>
    <t>Veneto</t>
  </si>
  <si>
    <t>nullo</t>
  </si>
  <si>
    <t>Molise</t>
  </si>
  <si>
    <t>Abruzzo</t>
  </si>
  <si>
    <t>Lazio</t>
  </si>
  <si>
    <t>Toscana</t>
  </si>
  <si>
    <t>Marche</t>
  </si>
  <si>
    <t>Calabria</t>
  </si>
  <si>
    <t>Puglia</t>
  </si>
  <si>
    <t>intermedio</t>
  </si>
  <si>
    <t>In Molise non risultano estensioni significative di colture suscettibili di impollinazione</t>
  </si>
  <si>
    <t>Differenziazione regionale</t>
  </si>
  <si>
    <t>euro19/ha</t>
  </si>
  <si>
    <t>Differenziazione regionale del valore di beneficio per le Aree agricole coltivate</t>
  </si>
  <si>
    <t>Fonte: La classifica delle regioni italiane ordinata per popolazione residente. I dati sono aggiornati al 01/01/2021 (Istat).</t>
  </si>
  <si>
    <t>https://www.tuttitalia.it/regioni/popolazione/</t>
  </si>
  <si>
    <t>ab./km2</t>
  </si>
  <si>
    <t>cropland</t>
  </si>
  <si>
    <t>grassland</t>
  </si>
  <si>
    <t>urban</t>
  </si>
  <si>
    <t xml:space="preserve">other </t>
  </si>
  <si>
    <t>marine inlets/ transitional waters</t>
  </si>
  <si>
    <t>Infine, è stato verificato che il valore di danno usato da MANES (e ripreso da ISPRA) non è quello originale di EEA (31356 euro/t). Si ritiene opportuno continuare a usare il valore di EEA.</t>
  </si>
  <si>
    <t xml:space="preserve">Nella cella B11 viene pertanto effettuata una correzione del valore stimato da ISPRA sulla base del rapporto fra il valore corretto (31.356 €2005/t) e il valore utilizzato da Manes di 22.990 €/t </t>
  </si>
  <si>
    <t>La tab. 13 è errata: non sono ettari, non sono nemmeno km2 come dichiarato nella tabella: sono gli stessi valori di m3 offerti di acqua  della tabella 14 moltiplicati per mille</t>
  </si>
  <si>
    <t>Totale ha di costa entro 1 km</t>
  </si>
  <si>
    <t>Coste (ha di copertura artificiale):</t>
  </si>
  <si>
    <t xml:space="preserve"> </t>
  </si>
  <si>
    <t>PIEMONTE</t>
  </si>
  <si>
    <t>VAL D AOSTA</t>
  </si>
  <si>
    <t>LOMBARDIA</t>
  </si>
  <si>
    <t>TRENTINO ALTO ADIGE</t>
  </si>
  <si>
    <t>VENETO</t>
  </si>
  <si>
    <t>FRIULI</t>
  </si>
  <si>
    <t>LIGURIA</t>
  </si>
  <si>
    <t>EMILIA ROMAGNA</t>
  </si>
  <si>
    <t>TOSCANA</t>
  </si>
  <si>
    <t>UMBRIA</t>
  </si>
  <si>
    <t>MARCHE</t>
  </si>
  <si>
    <t>LAZIO</t>
  </si>
  <si>
    <t>ABRUZZO</t>
  </si>
  <si>
    <t>MOLISE</t>
  </si>
  <si>
    <t>CAMPANIA</t>
  </si>
  <si>
    <t>PUGLIA</t>
  </si>
  <si>
    <t>CALABRIA</t>
  </si>
  <si>
    <t>SICILIA</t>
  </si>
  <si>
    <t>SARDEGNA</t>
  </si>
  <si>
    <t>ITALIA</t>
  </si>
  <si>
    <t>Regioni: Valori Meteo di Precipitazione 2009-2017 (mm)</t>
  </si>
  <si>
    <t>Fonte: Allegato D4 (pag. 39) degli Allegati tecnici del III rapporto KN oppure pag 144 del III rapporto KN.</t>
  </si>
  <si>
    <t>tabella 13 Allegati al III RKN (ISPRA): estensione del servizio di appr. Idrico (la tabella di ISPRA è ERRATA vedi riga 32)</t>
  </si>
  <si>
    <t>Tabella 52: Tavola dell'offerta del servizio di approvvigionamento idrico (deflusso superficiale più la ricarica netta delle acque sotterranee, che viene prodotto annualmente e naturalmente), M m3/anno</t>
  </si>
  <si>
    <t>Offerta del servizio anno 2018  (tab 14 allegati III RKN) (in qs caso la tabella di ISPRA è  CORRETTA)</t>
  </si>
  <si>
    <t>https://www.politicheagricole.it/flex/FixedPages/Common/miepfy700_riferimentiAgro.php/L/IT?parm1=0326&amp;%20parm2=1722&amp;%20parm3=spra&amp;%20name=R&amp;%20period=10a&amp;%20nomeParam=Precipitazione</t>
  </si>
  <si>
    <t>Figura 25 Allegato III RKN – Flusso idrico potenziale</t>
  </si>
  <si>
    <t>media 2009-2017</t>
  </si>
  <si>
    <t>in rapp. A media nazionale</t>
  </si>
  <si>
    <t xml:space="preserve">Urban </t>
  </si>
  <si>
    <t>Marine inlets and transitional waters</t>
  </si>
  <si>
    <t>Other</t>
  </si>
  <si>
    <t>Servizio ecosistemico "approvvigionamento idrico": matrice dei benefici (segno +) / costi  (segno -) annuali da cambiamenti di uso del suolo  (euro2018/ha)</t>
  </si>
  <si>
    <t>Ecosistema MAES</t>
  </si>
  <si>
    <t>Servizio ecosistemico</t>
  </si>
  <si>
    <t>Ciclo del carbonio</t>
  </si>
  <si>
    <t>Sostegno alla biodiversità</t>
  </si>
  <si>
    <t>Impollinazione</t>
  </si>
  <si>
    <t>Valori in euro2019/ha  differenziati per Regione Basilicata ed Emilia Romagna come valori medi delle colture per impollinazione e superfici nel periodo 2015-2019. Disponibile inoltre il valore medio nazionale 2018 Nazionale</t>
  </si>
  <si>
    <t>Valori disponibili solo per cropland. I valori delle Regioni di studio sono stati differenziati in quattro classi (valore nullo, basso, centrale e alto) utilizzando la mappa dei risultati dell'analisi di ISPRA riguardante il beneficio dell'impollinazione agricola sul territorio nazionale. Il valore nullo riguarda Regioni in cui non si riscontrano estensioni significative di colture a impollinazione (il Molise). Il valore medio nazionale, che è il più elevato fra quelli disponibili (valore basso  Basilicata, valore intermedio Emilia Romagna), corrisponde al valore alto.</t>
  </si>
  <si>
    <t>infatti è disponibile il valore di beneficio medio nazionale per ettaro di coltura soggetta a impollinazione naturale (Ispra RKN3)</t>
  </si>
  <si>
    <t>Ricreazione</t>
  </si>
  <si>
    <t>Il valore medio nazionale riflette la densità di popolazione residente sul territorio (attratta dal servizio di ricreazione naturalistica)</t>
  </si>
  <si>
    <t>Come indicatore di differenziazione regionale è stata considerata la densità di popolazione a scala regionale. Infatti i due principali fattori influenti sui valori nazionali di beneficio sono la popolazione residente nell'intorno di 4 km dall'ecosistema che fornisce il servizio di ricreazione naturalistica  e la popolazione che si sposta in giornata per gite di ricreazione naturalistica.</t>
  </si>
  <si>
    <t>Qualità dell'aria</t>
  </si>
  <si>
    <t>Approvvigionamento idrico</t>
  </si>
  <si>
    <t>I valori medi nazionali (diversi a seconda del tipo di ecosistema) sono stati differenziati fra le Regioni utilizzando una statistica delle precipitazioni annuali a scala regionale (media del periodo 2009-2017) di fonte MiPAF</t>
  </si>
  <si>
    <t>Purificazione delle acque</t>
  </si>
  <si>
    <t>https://www.ideegreen.it/agricoltura-intensiva-significato-danni-118170.html</t>
  </si>
  <si>
    <t>Mitigazione erosione</t>
  </si>
  <si>
    <t>La figura si riferisce al 2016 (i risultati non combaciano con la media 2009-2017, es. Molise che nella mappa ha poche precipitazioni)</t>
  </si>
  <si>
    <t>Anche se ISPRA afferma che "Ecosistemi come le foreste e le zone umide contribuiscono considerevolmente a migliorare la qualità delle risorse idriche" in realtà non fornisce una stima differenziata del beneficio in funzione del tipo di ecosistema.</t>
  </si>
  <si>
    <t>Fonte non selezionata</t>
  </si>
  <si>
    <t>fonte selezionata</t>
  </si>
  <si>
    <t>Beneficio economico del servizio ecosistemico  di depurazione fornito dai corpi idrici (il servizio ecosistemico è fornito per i primi livelli di inquinamento, oltre un certo limite di inquinamento l'ecosistema cessa di fornire questo SE e si genera l'esternalità negativa della fonte inquinante)</t>
  </si>
  <si>
    <t>fonte della sup. corpi idrici: ISPRA III RKN servizio ricreazione naturalistica (il dato sull'estensione dei corpi idrici non cambia nelle quadratura RSE fra i dati ISPRA terzo rapporto KN e rapporto sul consumo di suolo)</t>
  </si>
  <si>
    <t>servizio fornito esclusivamente dai corpi idrici (ecosistemi aree umide e fiumi/laghi)</t>
  </si>
  <si>
    <t>se l'inquinamento non supera la capacità di carico, il beneficio cresce con l'inquinamento (se l'inquinamento è minimo anche il beneficio di purificazione fornito dall'ecosistema è minimo).</t>
  </si>
  <si>
    <t>Valore riferibile solo a due tipi di ecosistemi: marine inlets/transitional waters e fiumi/laghi (solo il primo è presente nella nostra analisi)</t>
  </si>
  <si>
    <t>Si tratta di un valore medio nazionale che riflette il livello medio di superamento della capacità di rimozione dell'azoto dei corpi idrici nel territorio italiano</t>
  </si>
  <si>
    <t>Non è stato differenziato fra Regioni in assenza di dati specifici</t>
  </si>
  <si>
    <t>euro 2005/ha-a</t>
  </si>
  <si>
    <t>Il valore medio nazionale riflette il livello medio nazionale di inquinamento dei corpi idrici. Le Regioni con corpi idrici profondi, che rimuovono maggiore azoto avranno un valore maggiore di SE per ha. IN queste regioni il beneficio del SE purificazione acque incontra un tetto negli anni di superamento della capacità di rimozione dell'azoto.</t>
  </si>
  <si>
    <t>Regioni con corpi idrici sottoposti a scarso inquinamento da azoto avranno un valore basso del beneficio del SE.</t>
  </si>
  <si>
    <t>medio</t>
  </si>
  <si>
    <t xml:space="preserve">L’erosione del suolo è un fenomeno naturale che, attraverso l’asportazione della parte superficiale del terreno, spesso ricca di sostanza organica, provoca frane e contribuisce al modellamento della superficie terrestre. L'erosione è quantificabile come flusso di materia trasportata (tonnellate di suolo spostate per una distanza convenzionale nell'unità di superficie). L'erosione dipende dalle precipitazioni, dai venti, dalla natura del suolo e dalla morfologia/pendenze.  </t>
  </si>
  <si>
    <t>Il servizio ES riduce il rischio di frane, favorisce l'accumulo di sedimenti e di sostanze nutrienti, aumentando la fertilità/produttivitò del suolo.</t>
  </si>
  <si>
    <t>Aree agricole</t>
  </si>
  <si>
    <t>na</t>
  </si>
  <si>
    <t>Valori al 2015</t>
  </si>
  <si>
    <t>meglio fitosanitari</t>
  </si>
  <si>
    <t>Basilicata,
Abruzzo, 
Lazio, 
Toscana</t>
  </si>
  <si>
    <t>Regioni con siti estrativi</t>
  </si>
  <si>
    <t>Marche, 
Molise, 
Campania, 
Puglia, 
Calabria, 
Sardegna</t>
  </si>
  <si>
    <t>Tutte le Regioni Ita</t>
  </si>
  <si>
    <t>not available</t>
  </si>
  <si>
    <t>:</t>
  </si>
  <si>
    <t>Special value:</t>
  </si>
  <si>
    <t>Sardegna</t>
  </si>
  <si>
    <t>Sicilia</t>
  </si>
  <si>
    <t>Campania</t>
  </si>
  <si>
    <t>Umbria</t>
  </si>
  <si>
    <t>Friuli-Venezia Giulia</t>
  </si>
  <si>
    <t>compresenza o intensità media</t>
  </si>
  <si>
    <t>tutte le altre</t>
  </si>
  <si>
    <t>estensiva</t>
  </si>
  <si>
    <t>L-I&gt;40%</t>
  </si>
  <si>
    <t>Provincia Autonoma di Trento</t>
  </si>
  <si>
    <t>intensiva</t>
  </si>
  <si>
    <t>H-I &gt;40%</t>
  </si>
  <si>
    <t>Provincia Autonoma di Bolzano/Bozen</t>
  </si>
  <si>
    <t>verde e verde</t>
  </si>
  <si>
    <t>Liguria</t>
  </si>
  <si>
    <t>Valle d'Aosta/Vallée d'Aoste</t>
  </si>
  <si>
    <t>verde e rossa</t>
  </si>
  <si>
    <t>Piemonte</t>
  </si>
  <si>
    <t>Italy</t>
  </si>
  <si>
    <t>Medium-input farms</t>
  </si>
  <si>
    <t>Low-input farms</t>
  </si>
  <si>
    <t>High-input farms</t>
  </si>
  <si>
    <t>GEO/INDIC_AG</t>
  </si>
  <si>
    <t>Hectare</t>
  </si>
  <si>
    <t>UNIT</t>
  </si>
  <si>
    <t>2019</t>
  </si>
  <si>
    <t>TIME</t>
  </si>
  <si>
    <t>Superficie agricola utilizzata (SAU) gestita da imprese agricole ad alta densità di input (euro/ha)</t>
  </si>
  <si>
    <t>Eurostat</t>
  </si>
  <si>
    <t>Source of data</t>
  </si>
  <si>
    <t>Extracted on</t>
  </si>
  <si>
    <t>Last update</t>
  </si>
  <si>
    <t>Regioni con agricoltura ad alta intensità di input</t>
  </si>
  <si>
    <t>Regioni con agricoltura a bassa intensità di input</t>
  </si>
  <si>
    <t>SAU non rientranti nelle precedenti classi</t>
  </si>
  <si>
    <t>Regioni con intensità media o compresenza di agricoltura intensiva ed estensiva</t>
  </si>
  <si>
    <t xml:space="preserve">Marche, 
Molise, 
Puglia,
Calabria, 
Italia </t>
  </si>
  <si>
    <t>euro2019/ha</t>
  </si>
  <si>
    <t>Differenziazione del valore a livello regionale: attuata differenziando solamente il valore relativo al tipo di uso dell'ecosistema agricolo in tre ulteriori classi (suolo per agricoltura intensiva, agricolture estensiva, compresenza di agricoltura intensiva ed estensiva). Per gli altri tipi di ecosistemi il valore medio nazionale di beneficio per la biodiversità non è stato differenziato.</t>
  </si>
  <si>
    <t>Emilia-Romagna, 
Lombardia, 
Veneto, 
Piemonte,
Friuli VG,
Liguria, 
Trentino-AD</t>
  </si>
  <si>
    <t>Basilicata,
Sicilia,
Abruzzo, 
Lazio, 
Toscana, 
Umbria
Valle d'Aosta</t>
  </si>
  <si>
    <t>Differenziazione del valore a livello regionale: attuata differenziando solamente il valore relativo all'ecosistema agricolo in tre ulteriori classi (agricoltura intensiva, agricolture estensiva, compresenza di agricoltura intensiva ed estensiva), utilizzando una statistica Eurostat sulla % di SAU regionale ad alta, media o bassa intensità di input. Per gli altri tipi di ecosistemi è stato applicato il valore medio nazionale di beneficio per la biodiversità.</t>
  </si>
  <si>
    <t>https://appsso.eurostat.ec.europa.eu/nui/show.do</t>
  </si>
  <si>
    <t>Significato agricoltura intensiva:</t>
  </si>
  <si>
    <t>In alternativa, avrei potuto prendere statistica istat su fitosanitari impiegati a livello regionale (dividendo per ha SAU regionale)</t>
  </si>
  <si>
    <t>Usato indicatore Eurostat sulla SAU delle regioni in funzione dell'intensità input per ha:</t>
  </si>
  <si>
    <t>Utilised agricultural area (UAA) at the regional level, managed by low-, medium- and high-input farms (source: FADN) [aei_ps_inp]</t>
  </si>
  <si>
    <t>vigneti</t>
  </si>
  <si>
    <t>https://www.sciencedirect.com/science/article/pii/S0167198711001656?via%3Dihub</t>
  </si>
  <si>
    <r>
      <t xml:space="preserve">Both runoff and erosion were significantly reduced when cover crops of </t>
    </r>
    <r>
      <rPr>
        <i/>
        <sz val="11"/>
        <color theme="1"/>
        <rFont val="Calibri"/>
        <family val="2"/>
        <scheme val="minor"/>
      </rPr>
      <t>T. subterraneum (trifoglio)</t>
    </r>
    <r>
      <rPr>
        <sz val="11"/>
        <color theme="1"/>
        <rFont val="Calibri"/>
        <family val="2"/>
        <scheme val="minor"/>
      </rPr>
      <t xml:space="preserve">, </t>
    </r>
    <r>
      <rPr>
        <i/>
        <sz val="11"/>
        <color theme="1"/>
        <rFont val="Calibri"/>
        <family val="2"/>
        <scheme val="minor"/>
      </rPr>
      <t>F. rubra (festuca)</t>
    </r>
    <r>
      <rPr>
        <sz val="11"/>
        <color theme="1"/>
        <rFont val="Calibri"/>
        <family val="2"/>
        <scheme val="minor"/>
      </rPr>
      <t xml:space="preserve">, and </t>
    </r>
    <r>
      <rPr>
        <i/>
        <sz val="11"/>
        <color theme="1"/>
        <rFont val="Calibri"/>
        <family val="2"/>
        <scheme val="minor"/>
      </rPr>
      <t>L. perenne (loietto)</t>
    </r>
    <r>
      <rPr>
        <sz val="11"/>
        <color theme="1"/>
        <rFont val="Calibri"/>
        <family val="2"/>
        <scheme val="minor"/>
      </rPr>
      <t xml:space="preserve"> were sown.</t>
    </r>
  </si>
  <si>
    <t>Novara A. Gristina L. Saladino S. S. Santoro A. Cerdà A. 2011, Soil erosion assessment on tillage and alternative soil managements in a Sicilian vineyard Soil and Tillage Research
117, 140
–147 .</t>
  </si>
  <si>
    <t>Agricoltura in generale</t>
  </si>
  <si>
    <t>https://iwaponline.com/wpt/article/15/3/773/75178/The-effect-of-different-crops-and-slopes-on-runoff</t>
  </si>
  <si>
    <t>file:///C:/Users/molocchi/AppData/Local/Temp/Merkbl%C3%A4tter-Set%20Erosion%20%E2%80%93%20Risiken%20beschr%C3%A4nken_i.pdf</t>
  </si>
  <si>
    <t>Land use type in generale</t>
  </si>
  <si>
    <t>https://journals.sagepub.com/doi/10.1177/0309133309350264</t>
  </si>
  <si>
    <t>https://www.ncbi.nlm.nih.gov/pmc/articles/PMC6025177/#B37-ijerph-15-01193</t>
  </si>
  <si>
    <t>La tabella 3 di questo articolo invece sostiene che NON ci sono forti differenze nell'erosione in funzione del tipo di uso del suolo</t>
  </si>
  <si>
    <t>Cereali</t>
  </si>
  <si>
    <t>file:///C:/Users/molocchi/AppData/Local/Temp/land-10-00673-v2-1.pdf</t>
  </si>
  <si>
    <t>Questo articolo sostiene che ci siano forti differenze nell'erosione fra tipo di uso del suolo China: Cs activity in different land uses decreases sequentially from mature forest to grass to young forest to orchard to terrace crop, indicating that the mature forests had the lowest erosion rates while the terraced cropland produced the highest erosion amount</t>
  </si>
  <si>
    <t xml:space="preserve">In foredeep areas of Basilicata, landscape remodeling activities and the use of machin-ery are typical agricultural practices in rural landscapes. Such practices are mainly related to cereal cultivation and several works have demonstrated their negative effect on soil erosion, landslide occurrence, badland development and, more generally, land degradation [17,23,50]. Land use changes from an abandoned area to widespread cultivation of Land cereals can then promote an increase in soil erosion and land degradation. On the contrary, the planting of more sustainable cropland such as hazelnut plants can represent a key strategy to prevent soil erosion and land degradation </t>
  </si>
  <si>
    <t>Uliveti</t>
  </si>
  <si>
    <t>https://www.mite.gov.it/sites/default/files/archivio/biblioteca/Ruolo_dellxolivocoltura_nella_lotta_alla_desertificazione.pdf</t>
  </si>
  <si>
    <t>Ruolo dell’olivicoltura nella lotta alla desertificazione, Angelo CALIANDRO, Matteo STELLUTI, 2005. In Puglia: Un accorgimento molto diffuso, legato anche alla necessità di rendere i terreni trafficabili durante il periodo piovoso inveranle per le operazioni di raccolta, è l’inerbimento naturale per circa sei mesi all’anno, quando maggiori potrebbero essere i rischi di erosione. Basilicata: Nelle aree con pendenze che consentono la meccanizzazione vengono effettuate le lavorazioni superficiali periodiche da fine inverno-inizio primavera a inizio autunno, lasciando inerbito il terreno durante il periodo delle piogge sia per contenere o prevenire eventuali fenomeni erosivi.</t>
  </si>
  <si>
    <t>http://agricoltura.regione.campania.it/pedologia/pdf/erosione_del_suolo.pdf</t>
  </si>
  <si>
    <t>Regione Campania, Direzione genetrale per le politiche agricole, L'erosione del suolo - Foglio divulgativo di  pedologia.
 La presenza di un  frutteto  inerbito riduce di circa 80 volte il potenziale erosivo di una pioggia,
 un pascolo naturale  o  seminato lo riduce di circa  95  volte,  
mentre  un  bosco  o una  foresta  possono raggiungere  valori  protettivi  1.000 volte  superiori</t>
  </si>
  <si>
    <t>Frutteti</t>
  </si>
  <si>
    <t>Regione Campania, Direzione genetrale per le politiche agricole, L'erosione del suolo - Foglio divulgativo di  pedologia.
 La presenza di  un pascolo naturale  o  seminato riduce il potenziale erosivo di una pioggia di circa  95  volte,  
mentre  un  bosco  o una  foresta  possono raggiungere  valori  protettivi  1.000 volte  superiori</t>
  </si>
  <si>
    <t>Sorry, the query is too large to fit into the Excel cell. You will not be able to update your table with the .Stat Populator.</t>
  </si>
  <si>
    <t>Dataset:Coltivazioni</t>
  </si>
  <si>
    <t xml:space="preserve">  Piemonte</t>
  </si>
  <si>
    <t xml:space="preserve">  Valle d'Aosta / Vallée d'Aoste</t>
  </si>
  <si>
    <t xml:space="preserve">  Liguria</t>
  </si>
  <si>
    <t xml:space="preserve">  Lombardia</t>
  </si>
  <si>
    <t xml:space="preserve">  Trentino Alto Adige / Südtirol</t>
  </si>
  <si>
    <t xml:space="preserve">  Veneto</t>
  </si>
  <si>
    <t xml:space="preserve">  Friuli-Venezia Giulia</t>
  </si>
  <si>
    <t xml:space="preserve">  Emilia-Romagna</t>
  </si>
  <si>
    <t xml:space="preserve">  Toscana</t>
  </si>
  <si>
    <t xml:space="preserve">  Umbria</t>
  </si>
  <si>
    <t xml:space="preserve">  Marche</t>
  </si>
  <si>
    <t xml:space="preserve">  Lazio</t>
  </si>
  <si>
    <t xml:space="preserve">  Abruzzo</t>
  </si>
  <si>
    <t xml:space="preserve">  Molise</t>
  </si>
  <si>
    <t xml:space="preserve">  Campania</t>
  </si>
  <si>
    <t xml:space="preserve">  Puglia</t>
  </si>
  <si>
    <t xml:space="preserve">  Basilicata</t>
  </si>
  <si>
    <t xml:space="preserve">  Calabria</t>
  </si>
  <si>
    <t xml:space="preserve">  Sicilia</t>
  </si>
  <si>
    <t xml:space="preserve">  Sardegna</t>
  </si>
  <si>
    <t>Tipo dato</t>
  </si>
  <si>
    <t>superficie totale - ettari</t>
  </si>
  <si>
    <t>superficie totale - are</t>
  </si>
  <si>
    <t xml:space="preserve">superficie in produzione - ettari </t>
  </si>
  <si>
    <t xml:space="preserve">produzione totale - quintali </t>
  </si>
  <si>
    <t xml:space="preserve">produzione totale - migliaia di quintali </t>
  </si>
  <si>
    <t>produzione totale - ettolitri</t>
  </si>
  <si>
    <t xml:space="preserve">produzione raccolta - quintali </t>
  </si>
  <si>
    <t>Tipo di coltivazione</t>
  </si>
  <si>
    <t>superficie totale (sat)</t>
  </si>
  <si>
    <t xml:space="preserve">  superficie agricola utilizzata (sau)</t>
  </si>
  <si>
    <t xml:space="preserve">    coltivazioni</t>
  </si>
  <si>
    <t xml:space="preserve">      seminativi</t>
  </si>
  <si>
    <t xml:space="preserve">        ortofrutticoli e cereali   </t>
  </si>
  <si>
    <t xml:space="preserve">          cereali in compesso</t>
  </si>
  <si>
    <t xml:space="preserve">            cereali per la produzione di granella</t>
  </si>
  <si>
    <t xml:space="preserve">              frumento tenero</t>
  </si>
  <si>
    <t xml:space="preserve">                grano invernale e farro</t>
  </si>
  <si>
    <t xml:space="preserve">                grano primaverile e farro </t>
  </si>
  <si>
    <t xml:space="preserve">              frumento duro</t>
  </si>
  <si>
    <t xml:space="preserve">              miscele di segale e cereali invernali </t>
  </si>
  <si>
    <t xml:space="preserve">                segale</t>
  </si>
  <si>
    <t xml:space="preserve">                miscele di cereali invernali </t>
  </si>
  <si>
    <t xml:space="preserve">              orzo</t>
  </si>
  <si>
    <t xml:space="preserve">                orzo invernale</t>
  </si>
  <si>
    <t xml:space="preserve">                orzo primaverile</t>
  </si>
  <si>
    <t xml:space="preserve">              miscele di avena e cereali primaverili (grano misto diverso dal maslin)</t>
  </si>
  <si>
    <t xml:space="preserve">                avena</t>
  </si>
  <si>
    <t xml:space="preserve">                miscele di cereali primaverili (grano misto diverso dal maslin)</t>
  </si>
  <si>
    <t xml:space="preserve">              mais</t>
  </si>
  <si>
    <t xml:space="preserve">              riso</t>
  </si>
  <si>
    <t xml:space="preserve">              sorgo</t>
  </si>
  <si>
    <t xml:space="preserve">              triticale</t>
  </si>
  <si>
    <t xml:space="preserve">              altri cereali</t>
  </si>
  <si>
    <t xml:space="preserve">        legumi</t>
  </si>
  <si>
    <t xml:space="preserve">          altri legumi secchi</t>
  </si>
  <si>
    <t xml:space="preserve">        legumi secchi</t>
  </si>
  <si>
    <t xml:space="preserve">          pisello secco (proteico e da granella)</t>
  </si>
  <si>
    <t xml:space="preserve">          pisello proteico </t>
  </si>
  <si>
    <t xml:space="preserve">          pisello da granella </t>
  </si>
  <si>
    <t xml:space="preserve">          fagiolo e fava secchi</t>
  </si>
  <si>
    <t xml:space="preserve">          fagiolo secco</t>
  </si>
  <si>
    <t xml:space="preserve">          fava da granella </t>
  </si>
  <si>
    <t xml:space="preserve">          lupino dolce</t>
  </si>
  <si>
    <t xml:space="preserve">          lenticchia </t>
  </si>
  <si>
    <t xml:space="preserve">          cece </t>
  </si>
  <si>
    <t xml:space="preserve">        Piante da tubero</t>
  </si>
  <si>
    <t xml:space="preserve">          patata in complesso</t>
  </si>
  <si>
    <t xml:space="preserve">            patata comune </t>
  </si>
  <si>
    <t xml:space="preserve">            patata primaticcia </t>
  </si>
  <si>
    <t xml:space="preserve">          barbabietola da zucchero</t>
  </si>
  <si>
    <t xml:space="preserve">          altre coltivazioni di radici </t>
  </si>
  <si>
    <t xml:space="preserve">            batata o patata dolce </t>
  </si>
  <si>
    <t xml:space="preserve">        piante industriali</t>
  </si>
  <si>
    <t xml:space="preserve">          tabacco</t>
  </si>
  <si>
    <t xml:space="preserve">          luppolo</t>
  </si>
  <si>
    <t xml:space="preserve">          piante tessili</t>
  </si>
  <si>
    <t xml:space="preserve">            cotone</t>
  </si>
  <si>
    <t xml:space="preserve">            lino</t>
  </si>
  <si>
    <t xml:space="preserve">            canapa</t>
  </si>
  <si>
    <t xml:space="preserve">          piante da semi oleosi</t>
  </si>
  <si>
    <t xml:space="preserve">            arachide</t>
  </si>
  <si>
    <t xml:space="preserve">            colza e ravizzone</t>
  </si>
  <si>
    <t xml:space="preserve">            colza</t>
  </si>
  <si>
    <t xml:space="preserve">            ravizzone</t>
  </si>
  <si>
    <t xml:space="preserve">            girasole</t>
  </si>
  <si>
    <t xml:space="preserve">            sesamo</t>
  </si>
  <si>
    <t xml:space="preserve">            soia</t>
  </si>
  <si>
    <t xml:space="preserve">          piante aromatiche, medicinali, spezie e da condimento</t>
  </si>
  <si>
    <t xml:space="preserve">            prezzemolo in piena aria</t>
  </si>
  <si>
    <t xml:space="preserve">            basilico</t>
  </si>
  <si>
    <t xml:space="preserve">            prezzemolo in serra</t>
  </si>
  <si>
    <t xml:space="preserve">            valeriana</t>
  </si>
  <si>
    <t xml:space="preserve">          altre piante industriali</t>
  </si>
  <si>
    <t xml:space="preserve">        foraggere</t>
  </si>
  <si>
    <t xml:space="preserve">          foraggere temporanee o avvicendate</t>
  </si>
  <si>
    <t xml:space="preserve">            orzo a maturazione cerosa</t>
  </si>
  <si>
    <t xml:space="preserve">            mais ceroso</t>
  </si>
  <si>
    <t xml:space="preserve">            orzo in erba</t>
  </si>
  <si>
    <t xml:space="preserve">            orzo ceroso</t>
  </si>
  <si>
    <t xml:space="preserve">            loietto</t>
  </si>
  <si>
    <t xml:space="preserve">            altri erbai monofiti</t>
  </si>
  <si>
    <t xml:space="preserve">            graminacee</t>
  </si>
  <si>
    <t xml:space="preserve">            leguminose</t>
  </si>
  <si>
    <t xml:space="preserve">            altri miscugli</t>
  </si>
  <si>
    <t xml:space="preserve">            erba medica</t>
  </si>
  <si>
    <t xml:space="preserve">            lupinella</t>
  </si>
  <si>
    <t xml:space="preserve">            sulla</t>
  </si>
  <si>
    <t xml:space="preserve">            altre specie di foraggere temporaneee</t>
  </si>
  <si>
    <t xml:space="preserve">            prati avvicendati polifiti</t>
  </si>
  <si>
    <t xml:space="preserve">            trifoglio e miscele</t>
  </si>
  <si>
    <t xml:space="preserve">            mais da granella</t>
  </si>
  <si>
    <t xml:space="preserve">            altri erbai monofiti di cereali</t>
  </si>
  <si>
    <t xml:space="preserve">            altre piante raccolte verdi da seminativi </t>
  </si>
  <si>
    <t xml:space="preserve">          mais da foraggio</t>
  </si>
  <si>
    <t xml:space="preserve">        fiori e piante ornamentali</t>
  </si>
  <si>
    <t xml:space="preserve">          fiori e piante ornamentali, piantine e sementi</t>
  </si>
  <si>
    <t xml:space="preserve">        terreni a riposo</t>
  </si>
  <si>
    <t xml:space="preserve">        altri seminativi</t>
  </si>
  <si>
    <t xml:space="preserve">        ortaggi e fragole</t>
  </si>
  <si>
    <t xml:space="preserve">          ortive</t>
  </si>
  <si>
    <t xml:space="preserve">            pisello fresco</t>
  </si>
  <si>
    <t xml:space="preserve">            fava fresca in piena aria</t>
  </si>
  <si>
    <t xml:space="preserve">            legumi freschi</t>
  </si>
  <si>
    <t xml:space="preserve">            radici bulbi e tuberi</t>
  </si>
  <si>
    <t xml:space="preserve">              aglio e scalogno in piena aria</t>
  </si>
  <si>
    <t xml:space="preserve">            porro in piena aria</t>
  </si>
  <si>
    <t xml:space="preserve">            cavoli</t>
  </si>
  <si>
    <t xml:space="preserve">              cavolo di bruxelles</t>
  </si>
  <si>
    <t xml:space="preserve">              cavolo comune (cappuccio e verza)</t>
  </si>
  <si>
    <t xml:space="preserve">                cavolo bianco</t>
  </si>
  <si>
    <t xml:space="preserve">                cavolo rosso</t>
  </si>
  <si>
    <t xml:space="preserve">                cavolo verza</t>
  </si>
  <si>
    <t xml:space="preserve">               altri cavoli in piena aria</t>
  </si>
  <si>
    <t xml:space="preserve">                broccoletto di rapa in piena aria</t>
  </si>
  <si>
    <t xml:space="preserve">                altri cavoli diversi dai broccoletti di rapa</t>
  </si>
  <si>
    <t xml:space="preserve">              cavolfiore  (e cavolo broccolo)</t>
  </si>
  <si>
    <t xml:space="preserve">            pomodoro</t>
  </si>
  <si>
    <t xml:space="preserve">            ortive in piena aria</t>
  </si>
  <si>
    <t xml:space="preserve">              pisello in piena aria</t>
  </si>
  <si>
    <t xml:space="preserve">              fagiolo e fagiolino in piena aria</t>
  </si>
  <si>
    <t xml:space="preserve">              cipolla in piena aria</t>
  </si>
  <si>
    <t xml:space="preserve">              scalogno in piena aria</t>
  </si>
  <si>
    <t xml:space="preserve">              carota e pastinaca in piena aria</t>
  </si>
  <si>
    <t xml:space="preserve">              rapa in piena aria</t>
  </si>
  <si>
    <t xml:space="preserve">              barbabietola da orto in piena aria</t>
  </si>
  <si>
    <t xml:space="preserve">              asparago in piena aria</t>
  </si>
  <si>
    <t xml:space="preserve">              radicchio o cicoria in piena aria</t>
  </si>
  <si>
    <t xml:space="preserve">              sedano in piena aria</t>
  </si>
  <si>
    <t xml:space="preserve">              cavolo cappuccio in piena aria</t>
  </si>
  <si>
    <t xml:space="preserve">              carciofo in piena aria</t>
  </si>
  <si>
    <t xml:space="preserve">              melanzana in piena aria</t>
  </si>
  <si>
    <t xml:space="preserve">              peperone in piena aria</t>
  </si>
  <si>
    <t xml:space="preserve">              cetriolo da mensa in piena aria</t>
  </si>
  <si>
    <t xml:space="preserve">              cetriolo da sottaceti in piena aria</t>
  </si>
  <si>
    <t xml:space="preserve">              lattuga in piena aria</t>
  </si>
  <si>
    <t xml:space="preserve">              popone o melone in piena aria</t>
  </si>
  <si>
    <t xml:space="preserve">              zucchina in piena aria</t>
  </si>
  <si>
    <t xml:space="preserve">              cocomero in piena aria</t>
  </si>
  <si>
    <t xml:space="preserve">              finocchio in piena aria</t>
  </si>
  <si>
    <t xml:space="preserve">              indivia (riccia e scarola) in piena aria</t>
  </si>
  <si>
    <t xml:space="preserve">              ravanello in piena aria</t>
  </si>
  <si>
    <t xml:space="preserve">              spinacio in piena aria</t>
  </si>
  <si>
    <t xml:space="preserve">              bietola da costa in piena aria</t>
  </si>
  <si>
    <t xml:space="preserve">              altri cavoli in piena aria</t>
  </si>
  <si>
    <t xml:space="preserve">              pomodoro in piena aria</t>
  </si>
  <si>
    <t xml:space="preserve">            aglio</t>
  </si>
  <si>
    <t xml:space="preserve">            cicoria o radicchio in complesso</t>
  </si>
  <si>
    <t xml:space="preserve">              cicoria o radicchio per consumo fresco</t>
  </si>
  <si>
    <t xml:space="preserve">              cicoria o radicchio destinate alla trasformazione</t>
  </si>
  <si>
    <t xml:space="preserve">            altre verdure a foglia o a stelo diverse dalla bietola da costa</t>
  </si>
  <si>
    <t xml:space="preserve">            pomodoro da consumo fresco o da mensa</t>
  </si>
  <si>
    <t xml:space="preserve">             pomodoro da trasformazione in piena aria</t>
  </si>
  <si>
    <t xml:space="preserve">            ortive protette in serra</t>
  </si>
  <si>
    <t xml:space="preserve">              pisello in serra</t>
  </si>
  <si>
    <t xml:space="preserve">              carota in serra</t>
  </si>
  <si>
    <t xml:space="preserve">              altre ortive</t>
  </si>
  <si>
    <t xml:space="preserve">              asparago in serra</t>
  </si>
  <si>
    <t xml:space="preserve">              radicchio in serra</t>
  </si>
  <si>
    <t xml:space="preserve">              sedano in serra</t>
  </si>
  <si>
    <t xml:space="preserve">              melanzana in serra</t>
  </si>
  <si>
    <t xml:space="preserve">              peperone in serra</t>
  </si>
  <si>
    <t xml:space="preserve">              cetriolo da mensa in serra</t>
  </si>
  <si>
    <t xml:space="preserve">              fagiolino in serra</t>
  </si>
  <si>
    <t xml:space="preserve">              lattuga in serra</t>
  </si>
  <si>
    <t xml:space="preserve">              popone o melone in serra</t>
  </si>
  <si>
    <t xml:space="preserve">              zucchina in serra</t>
  </si>
  <si>
    <t xml:space="preserve">              bieta da orto in serra</t>
  </si>
  <si>
    <t xml:space="preserve">              bietola in serra</t>
  </si>
  <si>
    <t xml:space="preserve">              cocomero in serra</t>
  </si>
  <si>
    <t xml:space="preserve">              finocchio in serra</t>
  </si>
  <si>
    <t xml:space="preserve">              indivia in serra</t>
  </si>
  <si>
    <t xml:space="preserve">              ravanello in serra</t>
  </si>
  <si>
    <t xml:space="preserve">              spinacio in serra</t>
  </si>
  <si>
    <t xml:space="preserve">              altri ortaggi in serra</t>
  </si>
  <si>
    <t xml:space="preserve">              pomodoro in serra</t>
  </si>
  <si>
    <t xml:space="preserve">          fragola</t>
  </si>
  <si>
    <t xml:space="preserve">            fragola in piena aria</t>
  </si>
  <si>
    <t xml:space="preserve">            fragola in serra</t>
  </si>
  <si>
    <t xml:space="preserve">      colture permanenti per consumo umano </t>
  </si>
  <si>
    <t xml:space="preserve">        altre colture permanenti per consumo umano </t>
  </si>
  <si>
    <t xml:space="preserve">          carrubo</t>
  </si>
  <si>
    <t xml:space="preserve">        coltivazioni fruttifere (frutta, bacche, frutta a guscio)</t>
  </si>
  <si>
    <t xml:space="preserve">          coltivazioni di frutta fresca di origine temperata e tropicale</t>
  </si>
  <si>
    <t xml:space="preserve">            coltivazione di frutta fresca di origine temperata</t>
  </si>
  <si>
    <t xml:space="preserve">              mela</t>
  </si>
  <si>
    <t xml:space="preserve">              mele per il consumo fresco</t>
  </si>
  <si>
    <t xml:space="preserve">              mele destinate alla trasformazione</t>
  </si>
  <si>
    <t xml:space="preserve">              cotogno</t>
  </si>
  <si>
    <t xml:space="preserve">              pera</t>
  </si>
  <si>
    <t xml:space="preserve">              pere per il consumo fresco</t>
  </si>
  <si>
    <t xml:space="preserve">              pere destinate alla trasformazione</t>
  </si>
  <si>
    <t xml:space="preserve">              pesca</t>
  </si>
  <si>
    <t xml:space="preserve">              pesche destinate a consumo</t>
  </si>
  <si>
    <t xml:space="preserve">              pesche destinate alla trasformazione</t>
  </si>
  <si>
    <t xml:space="preserve">              nettarina (pesca noce)</t>
  </si>
  <si>
    <t xml:space="preserve">              nettarine destinate a consumo</t>
  </si>
  <si>
    <t xml:space="preserve">              nettarine destinate alla trasformazione</t>
  </si>
  <si>
    <t xml:space="preserve">              albicocca</t>
  </si>
  <si>
    <t xml:space="preserve">              ciliegia</t>
  </si>
  <si>
    <t xml:space="preserve">              amarene</t>
  </si>
  <si>
    <t xml:space="preserve">              ciliegie</t>
  </si>
  <si>
    <t xml:space="preserve">              susina</t>
  </si>
  <si>
    <t xml:space="preserve">              nespola</t>
  </si>
  <si>
    <t xml:space="preserve">              nespolo del giappone</t>
  </si>
  <si>
    <t xml:space="preserve">            coltivazione di frutta fresca di origine sub-tropicale</t>
  </si>
  <si>
    <t xml:space="preserve">              fico</t>
  </si>
  <si>
    <t xml:space="preserve">              kiwi</t>
  </si>
  <si>
    <t xml:space="preserve">              loti o kaki</t>
  </si>
  <si>
    <t xml:space="preserve">              melograno</t>
  </si>
  <si>
    <t xml:space="preserve">              fichi d'india</t>
  </si>
  <si>
    <t xml:space="preserve">              altra frutta fresca di origine sub-tropicale</t>
  </si>
  <si>
    <t xml:space="preserve">            bacche (escluse fragole)</t>
  </si>
  <si>
    <t xml:space="preserve">              ribes rosso</t>
  </si>
  <si>
    <t xml:space="preserve">              ribes nero</t>
  </si>
  <si>
    <t xml:space="preserve">              lampone</t>
  </si>
  <si>
    <t xml:space="preserve">              mirtillo</t>
  </si>
  <si>
    <t xml:space="preserve">              ribes</t>
  </si>
  <si>
    <t xml:space="preserve">              altre bacche</t>
  </si>
  <si>
    <t xml:space="preserve">                uva spina</t>
  </si>
  <si>
    <t xml:space="preserve">                sorbo</t>
  </si>
  <si>
    <t xml:space="preserve">                altre bacche diverse da sorbo</t>
  </si>
  <si>
    <t xml:space="preserve">            frutta in guscio</t>
  </si>
  <si>
    <t xml:space="preserve">              mandorla</t>
  </si>
  <si>
    <t xml:space="preserve">              nocciola</t>
  </si>
  <si>
    <t xml:space="preserve">              castagne e marroni</t>
  </si>
  <si>
    <t xml:space="preserve">              noci</t>
  </si>
  <si>
    <t xml:space="preserve">              altra frutta a guscio</t>
  </si>
  <si>
    <t xml:space="preserve">                pistacchi</t>
  </si>
  <si>
    <t xml:space="preserve">                altra frutta a guscio diversa dal pistacchio</t>
  </si>
  <si>
    <t xml:space="preserve">      orti familiari</t>
  </si>
  <si>
    <t xml:space="preserve">      foraggere permanenti - prati permanenti e pascoli</t>
  </si>
  <si>
    <t xml:space="preserve">        pascoli</t>
  </si>
  <si>
    <t xml:space="preserve">          pascoli poveri</t>
  </si>
  <si>
    <t xml:space="preserve">          altri pascoli</t>
  </si>
  <si>
    <t xml:space="preserve">        prati permanenti</t>
  </si>
  <si>
    <t xml:space="preserve">      coltivazioni legnose agrarie</t>
  </si>
  <si>
    <t xml:space="preserve">        vite</t>
  </si>
  <si>
    <t xml:space="preserve">          vino e mosto</t>
  </si>
  <si>
    <t xml:space="preserve">          vino D.O.C. e D.O.C.G.</t>
  </si>
  <si>
    <t xml:space="preserve">          vino I.G.T.</t>
  </si>
  <si>
    <t xml:space="preserve">          uva in complesso</t>
  </si>
  <si>
    <t xml:space="preserve">            uva da vino</t>
  </si>
  <si>
    <t xml:space="preserve">              uve per vini dop</t>
  </si>
  <si>
    <t xml:space="preserve">              uve per vini igp</t>
  </si>
  <si>
    <t xml:space="preserve">              uve per altri vini (escluso dop e igp)</t>
  </si>
  <si>
    <t xml:space="preserve">              vino</t>
  </si>
  <si>
    <t xml:space="preserve">              vino da tavola</t>
  </si>
  <si>
    <t xml:space="preserve">              vino bianco da tavola</t>
  </si>
  <si>
    <t xml:space="preserve">              vino rosso e rosato da tavola</t>
  </si>
  <si>
    <t xml:space="preserve">              vino D:O:P:</t>
  </si>
  <si>
    <t xml:space="preserve">              vino D:O:P: bianco</t>
  </si>
  <si>
    <t xml:space="preserve">              vino D:O:P: rosso e rosato</t>
  </si>
  <si>
    <t xml:space="preserve">              vino I.G.P.</t>
  </si>
  <si>
    <t xml:space="preserve">              vino I.G.P. bianco</t>
  </si>
  <si>
    <t xml:space="preserve">              vino I.G.P. rosso e rosato</t>
  </si>
  <si>
    <t xml:space="preserve">              mosto</t>
  </si>
  <si>
    <t xml:space="preserve">            uva da tavola</t>
  </si>
  <si>
    <t xml:space="preserve">            uva per uva passa (uvetta)</t>
  </si>
  <si>
    <t xml:space="preserve">            uva per altri scopi</t>
  </si>
  <si>
    <t xml:space="preserve">        olivo per la produzione di olive da tavola e da olio</t>
  </si>
  <si>
    <t xml:space="preserve">          olive da tavola e da olio</t>
  </si>
  <si>
    <t xml:space="preserve">            olive da tavola</t>
  </si>
  <si>
    <t xml:space="preserve">            olive da olio</t>
  </si>
  <si>
    <t xml:space="preserve">          olio di oliva</t>
  </si>
  <si>
    <t xml:space="preserve">        coltivazioni di agrumi e di frutta</t>
  </si>
  <si>
    <t xml:space="preserve">          coltivazioni di agrumi</t>
  </si>
  <si>
    <t xml:space="preserve">            arancia</t>
  </si>
  <si>
    <t xml:space="preserve">              arance navel</t>
  </si>
  <si>
    <t xml:space="preserve">              arance bianche (blancas)</t>
  </si>
  <si>
    <t xml:space="preserve">              arance rosse</t>
  </si>
  <si>
    <t xml:space="preserve">              altre arance </t>
  </si>
  <si>
    <t xml:space="preserve">            piccoli agrumi</t>
  </si>
  <si>
    <t xml:space="preserve">              satsumas (mandarancio del giappone)</t>
  </si>
  <si>
    <t xml:space="preserve">              mandarino</t>
  </si>
  <si>
    <t xml:space="preserve">              altri ibridi</t>
  </si>
  <si>
    <t xml:space="preserve">              clementine</t>
  </si>
  <si>
    <t xml:space="preserve">            limoni e lime acidi</t>
  </si>
  <si>
    <t xml:space="preserve">              limone</t>
  </si>
  <si>
    <t xml:space="preserve">              lime acidi</t>
  </si>
  <si>
    <t xml:space="preserve">            pompelmo</t>
  </si>
  <si>
    <t xml:space="preserve">            altri agrumi</t>
  </si>
  <si>
    <t xml:space="preserve">              bergamotto</t>
  </si>
  <si>
    <t xml:space="preserve">              cedro</t>
  </si>
  <si>
    <t xml:space="preserve">              chinotto</t>
  </si>
  <si>
    <t xml:space="preserve">              altri agrumi diversi da bergamotto cedro e chinotto</t>
  </si>
  <si>
    <t xml:space="preserve">  boschi annessi ad aziende agricole</t>
  </si>
  <si>
    <t xml:space="preserve">    colture boschive</t>
  </si>
  <si>
    <t xml:space="preserve">  altra superficie</t>
  </si>
  <si>
    <t>funghi di coltivazione in piena aria</t>
  </si>
  <si>
    <t xml:space="preserve">  champignons</t>
  </si>
  <si>
    <t xml:space="preserve">  altri funghi coltivati diversi dagli champignons</t>
  </si>
  <si>
    <t>Dati estratti il 22 set 2021, 09h31 UTC (GMT) da I.Stat</t>
  </si>
  <si>
    <r>
      <t xml:space="preserve">In this paper, the effects of of </t>
    </r>
    <r>
      <rPr>
        <b/>
        <sz val="11"/>
        <color theme="1"/>
        <rFont val="Calibri"/>
        <family val="2"/>
        <scheme val="minor"/>
      </rPr>
      <t>leaf area index</t>
    </r>
    <r>
      <rPr>
        <sz val="11"/>
        <color theme="1"/>
        <rFont val="Calibri"/>
        <family val="2"/>
        <scheme val="minor"/>
      </rPr>
      <t xml:space="preserve"> of the crop type on runoff and soil loss  are considered. L'articolo è limitato perché non verifica l'effetto sull'erosione dell'intera pratica agricola bensì considera solo l'effetto della vegetazione agricola nella sua massima produzione (copertura fogliare - leaf area index) </t>
    </r>
  </si>
  <si>
    <t>Gao et al. 2020: High erosion rates from agriculture land are usually due to lack of vegetation cover, which is a key factor to understand in soil erosion</t>
  </si>
  <si>
    <t>Opportuno differenziare i Valori regionali per il tipo di colture prevalenti</t>
  </si>
  <si>
    <t>https://onlinelibrary.wiley.com/doi/full/10.1002/ldr.2879</t>
  </si>
  <si>
    <t>Cost of agricultural productivity loss due to soil erosion in the European Union: From direct cost evaluation approaches to the use of macroeconomic models</t>
  </si>
  <si>
    <r>
      <t xml:space="preserve">Mediterranean crops favor high erosion rates. </t>
    </r>
    <r>
      <rPr>
        <b/>
        <sz val="11"/>
        <color theme="1"/>
        <rFont val="Calibri"/>
        <family val="2"/>
        <scheme val="minor"/>
      </rPr>
      <t>Vineyards use to reach the highest soil and water losses due to the lack of vegetation cover.</t>
    </r>
    <r>
      <rPr>
        <sz val="11"/>
        <color theme="1"/>
        <rFont val="Calibri"/>
        <family val="2"/>
        <scheme val="minor"/>
      </rPr>
      <t xml:space="preserve"> High and non-sustainable soil erosion rates on the Sicilian vineyards during 9 years</t>
    </r>
  </si>
  <si>
    <t>https://www.vitaincampagna.it/vigneto/vigneto-preparare-terreno/</t>
  </si>
  <si>
    <t>La vigna richiede aratura dei terreni, anche con ricorso a scasso:</t>
  </si>
  <si>
    <t>Colture che contribuiscono a mitigare l'erosione (frutteti, uliveti, agrumeti, coltivazioni di bacche, prati e pascoli, foraggere, fiori e piante ornamentali, piante aromatiche, ortaggi in serra)</t>
  </si>
  <si>
    <t>Aree colturali con pratiche agricole che non mitigano o aumentano l'erosione (coltivazioni di cereali, legumi, piante da tubero, piante industriali, ortaggi in piena aria, vigneti)</t>
  </si>
  <si>
    <t>% sulle coltivazioni</t>
  </si>
  <si>
    <t>frutteti, uliveti, agrumeti, coltivazioni di bacche, prati e pascoli, foraggere, fiori e piante ornamentali, piante aromatiche, ortaggi in serra</t>
  </si>
  <si>
    <t>Coltivazioni con pratiche colturali prevalenti che mitigano l'erosione naturale</t>
  </si>
  <si>
    <t>Coltivazioni con pratiche colturali prevalenti che non mitigano o aumentano l'erosione</t>
  </si>
  <si>
    <t>coltivazioni di cereali, legumi, piante da tubero, piante industriali, ortaggi in piena aria, vigneti</t>
  </si>
  <si>
    <t>http://dati.istat.it/OECDStat_Metadata/ShowMetadata.ashx?Dataset=DCSP_COLTIVAZIONI&amp;ShowOnWeb=true&amp;Lang=it</t>
  </si>
  <si>
    <t>Fonte: Elaborazione RSE in base a dati Istat, Stima delle superfici e produzioni delle coltivazioni agrarie, dati 2019</t>
  </si>
  <si>
    <t>Percentuale di coltivazioni con pratiche colturali prevalenti che mitigano l'erosione naturale, 2019</t>
  </si>
  <si>
    <t>Approccio basato su fonti di letteratura che prevede l'assegnazione al tipo di ecosistema di un contributo % alla mitigazione dell'erosione (100% foreste, in quanto impediscono l'erosione e addirittura accumulano un surplus di sedimenti)</t>
  </si>
  <si>
    <t>Il servizio ecosistemico fornito dall'ecosistema vegetato è tanto maggiore quanto maggiori sono i forzanti dell'erosione (precipitazioni, venti, pendenze del suolo, etc.) e i danni attesi dell'erosione</t>
  </si>
  <si>
    <t>La copertura artificiale del suolo ha un valore nullo di SE (non mitiga l'erosione naturale, semmai la peggiora aumentando il ruscellamento delle acque). Le attività agricole basate sulla dissodazione/semina (non quelle basate su alberi da frutto, che invece mitigano l'erosione ) aumentano il degrado del suolo dovuto alle forzanti erosive, dato che asportano la copertura ed espongono il suolo all’azione degli elementi.</t>
  </si>
  <si>
    <t>SE fornito da boschi, prati e cespuglieti</t>
  </si>
  <si>
    <t xml:space="preserve">Non è necessariamente fornito da aree agricole </t>
  </si>
  <si>
    <t>l'erosione in Italia è maggiore rispetto alla UE, ISPRA assume che gli ecosistemi naturali vegetati prevengano interamente l'erosione, senza grandi differenze. Questa assunzione è stata verificata da una analisi della letteratura  che ha confermato che le 5 di mitigazione sono molto simili, anche per i prati dell'ordine del 95%)</t>
  </si>
  <si>
    <t xml:space="preserve">entrambi i valori individuati da ISPRA sono basati sul metodo dei costi di riparazione </t>
  </si>
  <si>
    <t>Preso il valore medio della forchetta ISPRA</t>
  </si>
  <si>
    <r>
      <t xml:space="preserve">Il servizio ecosistemico di mitigazione dell'erosione  del suolo è fornito dagli ecosistemi naturali con copertura vegetale (chioma degli </t>
    </r>
    <r>
      <rPr>
        <b/>
        <sz val="11"/>
        <color theme="1"/>
        <rFont val="Calibri"/>
        <family val="2"/>
        <scheme val="minor"/>
      </rPr>
      <t xml:space="preserve">alberi </t>
    </r>
    <r>
      <rPr>
        <sz val="11"/>
        <color theme="1"/>
        <rFont val="Calibri"/>
        <family val="2"/>
        <scheme val="minor"/>
      </rPr>
      <t>che riparano dal vento e dalla pioggia, v</t>
    </r>
    <r>
      <rPr>
        <b/>
        <sz val="11"/>
        <color theme="1"/>
        <rFont val="Calibri"/>
        <family val="2"/>
        <scheme val="minor"/>
      </rPr>
      <t xml:space="preserve">egetazione bassa che frena l'erosione </t>
    </r>
    <r>
      <rPr>
        <sz val="11"/>
        <color theme="1"/>
        <rFont val="Calibri"/>
        <family val="2"/>
        <scheme val="minor"/>
      </rPr>
      <t xml:space="preserve"> e permette l'accumulo dei sedimenti, e apparati radicali che tendono a imbrigliare il terreno, mitigando la franosità del suolo dovuta all'erosione, in letteratura anche i prati naturali mitigano fortemente l'erosione rispetto a suoli non vegetati). "le aree forestali e altre aree semi-naturali subiscono un surplus globale di sedimenti che è guidato da una nuova deposizione di sedimenti erosi dai terreni agricoli" (ISPRA pag. 26)</t>
    </r>
  </si>
  <si>
    <t>Se il costo di mitigazione del danno con convince, è disponibile un articolo sui costi dei danni dell'erosione (per l'agricoltura in EU, Italia inclusa). Il problema aumenta i danni dell'erosione naturale, aumentando la perdita di produttività dei terreni agricoli dovuta all'erosione.</t>
  </si>
  <si>
    <t>Valori nazionali differenziati per ecosistemi. Per gli  ecosistemi agricoli i valori sono stati differenziati per Regioni in base alla % di suoli agricoli con coltivazioni che mitigano l'erosione naturale.</t>
  </si>
  <si>
    <t>Beneficio per ettaro del servizio di mitigazione dell'erosione naturale, per tipo di ecosistema (in base a letteratura sulla relazione fra tipo di uso del suolo e mitigazione/incremento dell'erosione, in particolare nelle coltivazioni agricole)</t>
  </si>
  <si>
    <t>%</t>
  </si>
  <si>
    <t>GDP deflator (base year varies by country)</t>
  </si>
  <si>
    <t>Data Source: WB, World Development Indicators</t>
  </si>
  <si>
    <t>GDP per capita constant</t>
  </si>
  <si>
    <t>2016-2019</t>
  </si>
  <si>
    <t>2017-2019</t>
  </si>
  <si>
    <t>2012-2019</t>
  </si>
  <si>
    <t>2014-2019</t>
  </si>
  <si>
    <t>2005-2019</t>
  </si>
  <si>
    <t>2015-2019</t>
  </si>
  <si>
    <t>epsilon</t>
  </si>
  <si>
    <t>Aggiornamento valori al 2019 effettuato con valore 0,2 dell'elasticità della disponibilità a pagare (per la salute e l'ambiente) rispetto al reddito pro-capite, con dati WB e non Istat</t>
  </si>
  <si>
    <t>valore tCO2 Handbook nel 2016</t>
  </si>
  <si>
    <t>Valore di danno CO2 (euro 2019/t)</t>
  </si>
  <si>
    <t>€2019/ha-anno</t>
  </si>
  <si>
    <t>Servizio ecosistemico "qualità habitat/biodiversità": matrice dei benefici (segno +) / costi  (segno -) annuali da cambiamenti di uso del suolo  (euro19/ha)</t>
  </si>
  <si>
    <t>€ 2019/ha-a SAU</t>
  </si>
  <si>
    <t>2018-2019</t>
  </si>
  <si>
    <t>Beneficio annuo per ettaro dell'impollinazione agricola (euro2019/ha-a)</t>
  </si>
  <si>
    <t>€19/ha: beneficio impollinazione agricola per ettaro di coltura dipendente</t>
  </si>
  <si>
    <t>€19/ha: beneficio impollinazione agricola  per ettaro di qualsiasi coltura</t>
  </si>
  <si>
    <t>Classe di beneficio per impollinazione agricola delle Regioni esaminate (€19/ha di qualsiasi coltura)</t>
  </si>
  <si>
    <t>M €2012</t>
  </si>
  <si>
    <t>€2019/ha-a</t>
  </si>
  <si>
    <t>M €2018</t>
  </si>
  <si>
    <t>Servizio ecosistemico "ricreazione naturalistica": matrice dei benefici (segno +) / costi  (segno -) annuali da cambiamenti di uso del suolo  (euro2019/ha)</t>
  </si>
  <si>
    <t>€ 2019 / ha bosco-anno</t>
  </si>
  <si>
    <t>€ 2019/ ha bosco-anno</t>
  </si>
  <si>
    <t>Servizio ecosistemico "mitigazione inquinamento atmosferico (PM10)": matrice dei benefici (segno +) / costi  (segno -) annuali da cambiamenti di uso del suolo  (euro2019/ha)</t>
  </si>
  <si>
    <t>Comprende aggiornamento ai valori 2019</t>
  </si>
  <si>
    <t>Servizio ecosistemico "approvvigionamento idrico": benefici per tipo di ecosistema e Regione (euro2019/ha)</t>
  </si>
  <si>
    <t>euro 2019/ha-a</t>
  </si>
  <si>
    <t>matrice dei benefici (segno +) / costi  (segno -) annuali da cambiamenti di uso del suolo  (euro2019/ha-a)</t>
  </si>
  <si>
    <t>euro2019/ha-anno</t>
  </si>
  <si>
    <t>euro19/ha-a</t>
  </si>
  <si>
    <t>Valore della CO2 preso da Handbook2019 (100 euro2016/t), aggiornato al 2019 con approccio globale: PIL pro capite mondiale, epsilon mondiale 0,5 e deflatore PIL UE area euro (prezzo CO2 in euro)</t>
  </si>
  <si>
    <t>Valori aggiornati al 2019 a partire dal 2017 con epsilon 0,2</t>
  </si>
  <si>
    <t>Valori medi nazionali 2019 (per tipo di uso del suolo) sono stati differenziati per le Regioni italiane in base alla densità di popolazione regionale</t>
  </si>
  <si>
    <t>Valori aggiornati al 2019</t>
  </si>
  <si>
    <t>Valore originariamente calcolato per il 2005 e poi aggiornato al 2019 con epsilon 0,2 e PIL pro capite</t>
  </si>
  <si>
    <t>Aggiornati al 2019</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</si>
  <si>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</si>
  <si>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t>REMOVALS FOR LAND USE, LAND-USE CHANGE AND FORESTRY ACTIVITIES UNDER THE KYOTO PROTOCOL</t>
  </si>
  <si>
    <r>
      <t>Article 3.4 activities: Forest management</t>
    </r>
    <r>
      <rPr>
        <b/>
        <vertAlign val="superscript"/>
        <sz val="12"/>
        <rFont val="Times New Roman"/>
        <family val="1"/>
      </rPr>
      <t xml:space="preserve"> (1)</t>
    </r>
  </si>
  <si>
    <t>Inventory 2019</t>
  </si>
  <si>
    <t>Submission 2021 v1</t>
  </si>
  <si>
    <r>
      <t>Total for activity B.1</t>
    </r>
    <r>
      <rPr>
        <b/>
        <vertAlign val="superscript"/>
        <sz val="9"/>
        <rFont val="Times New Roman"/>
        <family val="1"/>
      </rPr>
      <t>(10)</t>
    </r>
  </si>
  <si>
    <t>Subtotal</t>
  </si>
  <si>
    <t>lazio</t>
  </si>
  <si>
    <t>friuli venezia giulia</t>
  </si>
  <si>
    <t>molise</t>
  </si>
  <si>
    <t>piemonte</t>
  </si>
  <si>
    <t>veneto</t>
  </si>
  <si>
    <t>liguria</t>
  </si>
  <si>
    <t>valle d_aosta</t>
  </si>
  <si>
    <t>sardegna</t>
  </si>
  <si>
    <t>abruzzo</t>
  </si>
  <si>
    <t>marche</t>
  </si>
  <si>
    <t>trentino alto adige</t>
  </si>
  <si>
    <t>bolzano</t>
  </si>
  <si>
    <t>trento</t>
  </si>
  <si>
    <t>calabria</t>
  </si>
  <si>
    <t>lombardia</t>
  </si>
  <si>
    <t>umbria</t>
  </si>
  <si>
    <t>campania</t>
  </si>
  <si>
    <t>puglia</t>
  </si>
  <si>
    <t>toscana</t>
  </si>
  <si>
    <t>sicilia</t>
  </si>
  <si>
    <r>
      <t>Newly established forest(CEF-ne)</t>
    </r>
    <r>
      <rPr>
        <b/>
        <vertAlign val="superscript"/>
        <sz val="9"/>
        <rFont val="Times New Roman"/>
        <family val="1"/>
      </rPr>
      <t>(11)</t>
    </r>
  </si>
  <si>
    <t xml:space="preserve">Subtotal </t>
  </si>
  <si>
    <t>NA</t>
  </si>
  <si>
    <t>Harvested and converted forest plantations (CEF-hc)</t>
  </si>
  <si>
    <r>
      <t>Land subject to natural disturbances</t>
    </r>
    <r>
      <rPr>
        <b/>
        <vertAlign val="superscript"/>
        <sz val="9"/>
        <rFont val="Times New Roman"/>
        <family val="1"/>
      </rPr>
      <t>(12)</t>
    </r>
  </si>
  <si>
    <t>.</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</si>
  <si>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</si>
  <si>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</si>
  <si>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</si>
  <si>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</si>
  <si>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</si>
  <si>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</si>
  <si>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</si>
  <si>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</si>
  <si>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</si>
  <si>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</si>
  <si>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</si>
  <si>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</si>
  <si>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</si>
  <si>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t>Beneficio SE ass (solo foreste)/ha-a</t>
  </si>
  <si>
    <t>NO,NE</t>
  </si>
  <si>
    <t>Fonte: ISPRA, NIR, year 2021 dati 2019,</t>
  </si>
  <si>
    <t>Anno 2019 (CRF 2021)</t>
  </si>
  <si>
    <t>Superfici per classi di uso del suolo, Italia. Fonte: ISPRA, NIR 2021, CRF 2019 tables 4.A,B,C,D,E,F</t>
  </si>
  <si>
    <t>Emissioni nette di CO2 (segno +) o assorbimenti netti (segno -), per classe di uso del suolo. Fonte: ISPRA, NIR 2021, CRF 2019 tables 4.A,B,C,D,E,F</t>
  </si>
  <si>
    <t>valori per l'ecosistema "foreste e boschi" differenziati per Regione, per gli altri tipi di uso del suolo i valori sono medi nazionali</t>
  </si>
  <si>
    <t>Beneficio del servizio eco-sistemico (euro2019/ha-a)</t>
  </si>
  <si>
    <t>https://unfccc.int/ghg-inventories-annex-i-parties/2021</t>
  </si>
  <si>
    <t>Net CO2 emissions/ removals(9)</t>
  </si>
  <si>
    <t>SAU delle High Input farms &gt; 40%</t>
  </si>
  <si>
    <t xml:space="preserve">SAU delle Low Input farms &gt; 40% </t>
  </si>
  <si>
    <t>Altri ecosistemi naturali con suolo non consumato (superfici naturali scarsamente on non vegetate, incluse le aree urbane con suolo non consumato prive di vegetazione arborea)</t>
  </si>
  <si>
    <t>Altri ecosistemi naturali (aree con vegetazione sparsa, spiagge, etc.)</t>
  </si>
  <si>
    <t>coeff.</t>
  </si>
  <si>
    <t xml:space="preserve">boschi a prevalenza di querce caducifoglie, </t>
  </si>
  <si>
    <t xml:space="preserve">boschi di faggio, </t>
  </si>
  <si>
    <t xml:space="preserve"> castagneti, </t>
  </si>
  <si>
    <t xml:space="preserve">abetine, </t>
  </si>
  <si>
    <t xml:space="preserve">boschi a prevalenza di leccio, </t>
  </si>
  <si>
    <t>macchia mediterranea</t>
  </si>
  <si>
    <t>pinete</t>
  </si>
  <si>
    <t>INFC2005</t>
  </si>
  <si>
    <t>Macchia, arbusteti mediterranei, Rientra in una categoria di arbusteti, tabella 1.7</t>
  </si>
  <si>
    <t>verificato su wikipedia sono tutte e 6 specie di quercia (eccetto vallonea non identificata)</t>
  </si>
  <si>
    <t>Tabella 1.4: pinete di pino silvestre e montano, pinete di pino nero laricio e loricato, pinete di pini mediterranei</t>
  </si>
  <si>
    <t>Tab. 1.4: Leccete</t>
  </si>
  <si>
    <t>Tab. 1.4: abete rosso e abete bianco</t>
  </si>
  <si>
    <t>Tab. 1.4: castagneti</t>
  </si>
  <si>
    <t>Tab. 1.4: faggete</t>
  </si>
  <si>
    <t>Tab. 1.4: Boschi a rovere, roverella e farnia, cerrete, boschi di farnetto, fragno, vallonea</t>
  </si>
  <si>
    <t>https://www.sian.it/inventarioforestale/jsp/risultati2015.jsp?menu=2</t>
  </si>
  <si>
    <t>https://www.sian.it/inventarioforestale/jsp/01tabelle_superficie.jsp</t>
  </si>
  <si>
    <t>INFC2015</t>
  </si>
  <si>
    <t xml:space="preserve">Tali dati sono disponibili per il 2005 (non ancora per il 2015, l'ultimo inventario con i risultati 2015 deve ancora uscire) </t>
  </si>
  <si>
    <t>Il servizio è fornito solo da alcuni tipi di ecosistemi: boschi,foreste, aree verdi urbane. (da verificare ARBUSTETI)</t>
  </si>
  <si>
    <t>Tabella 54 - Tavola dell’uso del servizio approvvigionamento idrico (quantità e valore del servizio), euro 2018</t>
  </si>
  <si>
    <t>milioni di euro2005</t>
  </si>
  <si>
    <t>milioni di euro2000</t>
  </si>
  <si>
    <t>milioni di euro1990</t>
  </si>
  <si>
    <t>porzione di domanda soddisfatta dal SE</t>
  </si>
  <si>
    <t>nel 2000 aumenta vs 1990 la porzione di domanda soddisfatta dal SE</t>
  </si>
  <si>
    <t>nel 2005 si riduce vs 2000 la porzione di domanda soddisfatta dal SE</t>
  </si>
  <si>
    <t>L'interpretazione della tabella supply/use dello studio JRC è stata modificata nello studio RSE PITESAI 2021 rispetto al PITESAI 2020: L'offerta di servizio ecosistemico da parte dei corpi idrici  è pari alla differenza fra la domanda del servizio di depurazione (il carico inquinante complessivo) e la domanda di depurazione non soddisfatta per via naturale (il danno effettivo).</t>
  </si>
  <si>
    <t>17 miliardi in Italia</t>
  </si>
  <si>
    <t>Beneficio SE assorb CO2 (solo foreste)/ha-a</t>
  </si>
  <si>
    <t>Emilia-Romagna, 
Lombardia, 
Veneto, Piemonte</t>
  </si>
  <si>
    <t>Differenziazione a scala Regionale, in base alla densità di popolazione regionale interessata al servizio di ricreazione naturalistica (per così come stimato) , valori in euro2019/ha</t>
  </si>
  <si>
    <t>Per la differenziazione regionale è possibile disporre dei dati regionali relativi alle medesime categorie di copertura forestale considerate da ISPRA</t>
  </si>
  <si>
    <t xml:space="preserve">Tabella 1.4  - Estensione delle categorie forestali dei Boschi alti </t>
  </si>
  <si>
    <t>Tabella 1.7 - Estensione delle categorie forestali degli Arbusteti</t>
  </si>
  <si>
    <t>Distretto territoriale</t>
  </si>
  <si>
    <t>Boschi di larice e cembro</t>
  </si>
  <si>
    <t>Boschi di abete rosso</t>
  </si>
  <si>
    <t>Boschi di abete bianco</t>
  </si>
  <si>
    <t>Pinete di pino silvestre e montano</t>
  </si>
  <si>
    <t>Pinete di pino nero, laricio e loricato</t>
  </si>
  <si>
    <t>Pinete di pini mediterranei</t>
  </si>
  <si>
    <t>Altri boschi di conifere, pure o miste</t>
  </si>
  <si>
    <t>Faggete</t>
  </si>
  <si>
    <t>Boschi a rovere, roverella e farnia</t>
  </si>
  <si>
    <t>Cerrete, boschi di farnetto, fragno, vallonea</t>
  </si>
  <si>
    <t>Castagneti</t>
  </si>
  <si>
    <t>Ostrieti, carpineti</t>
  </si>
  <si>
    <t>Boschi igrofili</t>
  </si>
  <si>
    <t>Altri boschi caducifogli</t>
  </si>
  <si>
    <t>Leccete</t>
  </si>
  <si>
    <t>Sugherete</t>
  </si>
  <si>
    <t>Altri boschi di latifoglie sempreverdi</t>
  </si>
  <si>
    <t>Totale Boschi alti</t>
  </si>
  <si>
    <t>Arbusteti subalpini</t>
  </si>
  <si>
    <t>Arbusteti di clima temperato</t>
  </si>
  <si>
    <t>Macchia, arbusteti mediterranei</t>
  </si>
  <si>
    <t>Totale Arbusteti</t>
  </si>
  <si>
    <t>Specie che consentono rimozione PM</t>
  </si>
  <si>
    <t>Totale Boschi alti + Arbusteti</t>
  </si>
  <si>
    <t>superficie</t>
  </si>
  <si>
    <t>ES</t>
  </si>
  <si>
    <t>(ha)</t>
  </si>
  <si>
    <t>(%)</t>
  </si>
  <si>
    <t>Valle d’Aosta</t>
  </si>
  <si>
    <t>Alto Adige</t>
  </si>
  <si>
    <t>Trentino</t>
  </si>
  <si>
    <t>Friuli V.G.</t>
  </si>
  <si>
    <t>Categorie forestali</t>
  </si>
  <si>
    <t>per ettaro di sette specie</t>
  </si>
  <si>
    <t>(non per ettaro di tutti i boschi)</t>
  </si>
  <si>
    <r>
      <t>beneficio della rimozione del PM</t>
    </r>
    <r>
      <rPr>
        <b/>
        <vertAlign val="subscript"/>
        <sz val="11"/>
        <color theme="1"/>
        <rFont val="Times New Roman"/>
        <family val="1"/>
      </rPr>
      <t>10</t>
    </r>
    <r>
      <rPr>
        <b/>
        <sz val="11"/>
        <color theme="1"/>
        <rFont val="Times New Roman"/>
        <family val="1"/>
      </rPr>
      <t xml:space="preserve"> per ettaro (boschi e arbusteti)</t>
    </r>
  </si>
  <si>
    <r>
      <t>Superficie relativa alle specie di boschi e arbusteti ad elevato adsorbimento del PM</t>
    </r>
    <r>
      <rPr>
        <b/>
        <vertAlign val="subscript"/>
        <sz val="10"/>
        <rFont val="Times New Roman"/>
        <family val="1"/>
      </rPr>
      <t>10</t>
    </r>
    <r>
      <rPr>
        <b/>
        <sz val="10"/>
        <rFont val="Times New Roman"/>
        <family val="1"/>
      </rPr>
      <t xml:space="preserve"> (elenco ISPRA)</t>
    </r>
  </si>
  <si>
    <t>Superficie totale dei boschi e degli arbusteti</t>
  </si>
  <si>
    <t>Il servizio è fornito dagli ecosistemi boschi e foreste e dagli arbusteti (heathland and shrub). Il valore di beneficio del SE è stato differenziato a livello regionale usando dati INFC2005</t>
  </si>
  <si>
    <t>valore originario 2005, aggiornato al 2019 col BT</t>
  </si>
  <si>
    <t>Correspondence between Corine Land Cover classes and MAES ecosystem types</t>
  </si>
  <si>
    <t>https://biodiversity.europa.eu/ecosystems/mapping-and-assessment-of-ecosystems-and-their-services-maes-1/correspondence-between-corine-land-cover-classes-and-ecosystem-types</t>
  </si>
  <si>
    <t>CLC Level 1</t>
  </si>
  <si>
    <t>CLC Level 2</t>
  </si>
  <si>
    <t>CLC Level 3</t>
  </si>
  <si>
    <t>MAES Ecosystem types level 2</t>
  </si>
  <si>
    <t>MAES</t>
  </si>
  <si>
    <t>% sup. terrestre</t>
  </si>
  <si>
    <t>1. Artificial surfaces</t>
  </si>
  <si>
    <t>1.1. Urban fabric</t>
  </si>
  <si>
    <t>1.1.1. Continuous urban fabric</t>
  </si>
  <si>
    <t>1.1.2. Discontinuous urban fabric</t>
  </si>
  <si>
    <t>1.2. Industrial, commercial and transport units</t>
  </si>
  <si>
    <t>1.2.1. Industrial and commercial units</t>
  </si>
  <si>
    <t>1.2.2. Road and rail networks and associated land</t>
  </si>
  <si>
    <t>woodland and forest</t>
  </si>
  <si>
    <t>1.2.3. Port areas</t>
  </si>
  <si>
    <t>hethland and shrub</t>
  </si>
  <si>
    <t>1.2.4. Airports</t>
  </si>
  <si>
    <t>sparsely vegetated areas</t>
  </si>
  <si>
    <t>1.3. Mine, dump and construction sites</t>
  </si>
  <si>
    <t>1.3.1. Mineral extraction sites</t>
  </si>
  <si>
    <t>wetlands</t>
  </si>
  <si>
    <t>1.3.2. Dump sites</t>
  </si>
  <si>
    <t>marine inlets and transitional waters</t>
  </si>
  <si>
    <t>1.3.3. Construction sites</t>
  </si>
  <si>
    <t>rivers and lakes</t>
  </si>
  <si>
    <t>1.4. Artificial non-agricultural vegetated areas</t>
  </si>
  <si>
    <t>1.4.1. Green urban areas</t>
  </si>
  <si>
    <t>marine</t>
  </si>
  <si>
    <t>1.4.2. Sport and leisure facilities</t>
  </si>
  <si>
    <t>2. Agricultural areas</t>
  </si>
  <si>
    <t>2.1. Arable land</t>
  </si>
  <si>
    <t>2.1.1. Non-irrigated arable land</t>
  </si>
  <si>
    <t>Totale Italia escluse acque territoriali</t>
  </si>
  <si>
    <t>2.1.2. Permanently irrigated land</t>
  </si>
  <si>
    <t>2.1.3. Rice fields</t>
  </si>
  <si>
    <t>2.2. Permanent crops</t>
  </si>
  <si>
    <t>2.2.1. Vineyards</t>
  </si>
  <si>
    <t>2.2.2. Fruit trees and berry plantations</t>
  </si>
  <si>
    <t>2.2.3. Olive groves</t>
  </si>
  <si>
    <t>2.3. Pastures</t>
  </si>
  <si>
    <t>2.3.1. Pastures</t>
  </si>
  <si>
    <t>2.4. Heterogeneous agricultural areas</t>
  </si>
  <si>
    <t>2.4.1. Annual crops associated with permanent crops</t>
  </si>
  <si>
    <t>2.4.2. Complex cultivation patterns</t>
  </si>
  <si>
    <t>2.4.3. Land principally occupied by agriculture, with significant areas of natural vegetation</t>
  </si>
  <si>
    <t>2.4.4. Agro-forestry areas</t>
  </si>
  <si>
    <t>3. Forests and semi-natural areas</t>
  </si>
  <si>
    <t>3.1. Forests</t>
  </si>
  <si>
    <t>3.1.1. Broad-leaved forest</t>
  </si>
  <si>
    <t>3.1.2. Coniferous forest</t>
  </si>
  <si>
    <t>3.1.3. Mixed forest</t>
  </si>
  <si>
    <t>3.2. Shrub and/or herbaceous vegetation association</t>
  </si>
  <si>
    <t>3.2.1. Natural grassland</t>
  </si>
  <si>
    <t>3.2.2. Moors and heathland</t>
  </si>
  <si>
    <t>3.2.3. Sclerophyllous vegetation</t>
  </si>
  <si>
    <t>3.2.4. Transitional woodland shrub</t>
  </si>
  <si>
    <t>3.3. Open spaces with little or no vegetation</t>
  </si>
  <si>
    <t>3.3.1. Beaches, dunes, and sand plains</t>
  </si>
  <si>
    <t>3.3.2. Bare rock</t>
  </si>
  <si>
    <t>3.3.3. Sparsely vegetated areas</t>
  </si>
  <si>
    <t>3.3.4. Burnt areas</t>
  </si>
  <si>
    <t>3.3.5. Glaciers and perpetual snow</t>
  </si>
  <si>
    <t>4. Wetlands</t>
  </si>
  <si>
    <t>4.1. Inland wetlands</t>
  </si>
  <si>
    <t>4.1.1. Inland marshes</t>
  </si>
  <si>
    <t>4.1.2. Peatbogs</t>
  </si>
  <si>
    <t>4.2. Coastal wetlands</t>
  </si>
  <si>
    <t>4.2.1. Salt marshes</t>
  </si>
  <si>
    <t>4.2.2. Salines</t>
  </si>
  <si>
    <t>4.2.3. Intertidal flats</t>
  </si>
  <si>
    <t>5. Water bodies</t>
  </si>
  <si>
    <t>5.1. Inland waters</t>
  </si>
  <si>
    <t>5.1.1. Water courses</t>
  </si>
  <si>
    <t>Rivers and lakes</t>
  </si>
  <si>
    <t>5.1.2. Water bodies</t>
  </si>
  <si>
    <t>5.2. Marine waters</t>
  </si>
  <si>
    <t>5.2.1. Coastal lagoons</t>
  </si>
  <si>
    <t>5.2.2. Estuaries</t>
  </si>
  <si>
    <t>5.2.3. Sea and ocean</t>
  </si>
  <si>
    <t>Marine</t>
  </si>
  <si>
    <t>% di superficie del territorio italiano</t>
  </si>
  <si>
    <t>totale Italia</t>
  </si>
  <si>
    <t>0,0001 - 0,003</t>
  </si>
  <si>
    <t>0,01-0,08</t>
  </si>
  <si>
    <t>Fonte: 4° RCN 2021, pag. 107-108</t>
  </si>
  <si>
    <t>0,01-0,1</t>
  </si>
  <si>
    <t>0,1-0,55</t>
  </si>
  <si>
    <t xml:space="preserve">coefficiente C di contributo all'erosione del tipo di copertura del suolo </t>
  </si>
  <si>
    <t>sparsely vegetated type A</t>
  </si>
  <si>
    <t>sparsely vegetated type B (rocks, sand, glaciers)</t>
  </si>
  <si>
    <t>sparsely vegetated areas type A (aree scarsamente vegetate + aree incendiate)</t>
  </si>
  <si>
    <t>sparsely vegetated areas type B (rocce, spiagge, ghiacciai)</t>
  </si>
  <si>
    <t>moorland and shrub</t>
  </si>
  <si>
    <t>aree acquatiche terrestri (aree umide, fiumi e laghi, insenature marine e acque di transizione)</t>
  </si>
  <si>
    <t>perdita di suolo (t-a/ha)</t>
  </si>
  <si>
    <t>media nazionale</t>
  </si>
  <si>
    <t>il SE è imputabile solo alla copertura di tipo vegetale naturale, a meno che non sia attivtà agricola che invece è causa di erosione ingente</t>
  </si>
  <si>
    <t>il rosso è il massimo di erosione quando manca la vegetazione là dove ci potrebbe essere</t>
  </si>
  <si>
    <t>% di mitigazione del tipo di copertura vegetale rispetto al potenziale massimo di erosione</t>
  </si>
  <si>
    <t>coeff C valore intermedio</t>
  </si>
  <si>
    <t>riproporzionamento senza aree non vegetate</t>
  </si>
  <si>
    <t>Discarica</t>
  </si>
  <si>
    <t>Estrazione di minerali</t>
  </si>
  <si>
    <t>Impianti sportivi per tempo libero</t>
  </si>
  <si>
    <t>Aeroporti</t>
  </si>
  <si>
    <t>Ferrovie</t>
  </si>
  <si>
    <t>Porti</t>
  </si>
  <si>
    <t>Unita commerciali industriali</t>
  </si>
  <si>
    <t>Urbano ad alta densita</t>
  </si>
  <si>
    <t>Urbano media densita</t>
  </si>
  <si>
    <t>Sito di costruzione</t>
  </si>
  <si>
    <t>Corpi d’acqua (ferma)</t>
  </si>
  <si>
    <t>Corsi d'acqua</t>
  </si>
  <si>
    <t>Estuario</t>
  </si>
  <si>
    <t>Laguna costiera</t>
  </si>
  <si>
    <t>Torbiera</t>
  </si>
  <si>
    <t>Palude interna</t>
  </si>
  <si>
    <t>Palude salina</t>
  </si>
  <si>
    <t>Saline</t>
  </si>
  <si>
    <t>Terreni coltivabili irrigui permanentemente</t>
  </si>
  <si>
    <t>Terreni non coltivabili</t>
  </si>
  <si>
    <t>Campi di Riso</t>
  </si>
  <si>
    <t>Vigneti</t>
  </si>
  <si>
    <t>Piantagione di frutta e bacche</t>
  </si>
  <si>
    <t>Coltivazione complessa terreno modellato</t>
  </si>
  <si>
    <t>Terreno Agro Forestale</t>
  </si>
  <si>
    <t>Terreno agricolo annuale associato</t>
  </si>
  <si>
    <t>Pascoli</t>
  </si>
  <si>
    <t>Macchia boschiva di transizione</t>
  </si>
  <si>
    <t>Brughiera</t>
  </si>
  <si>
    <t>Vegetazione Sclerofilla</t>
  </si>
  <si>
    <t>Foreste di Conifere</t>
  </si>
  <si>
    <t>Foreste miste</t>
  </si>
  <si>
    <t>Foreste a foglia larga</t>
  </si>
  <si>
    <t>Terreni bruciati</t>
  </si>
  <si>
    <t>Ghiaciai e nevi perenni</t>
  </si>
  <si>
    <t>Spiagge e dune sabbiose</t>
  </si>
  <si>
    <t>Suolo Nudo</t>
  </si>
  <si>
    <t>Vegetazione Sparsa</t>
  </si>
  <si>
    <t>Terreno agricolo con vegetazione naturale</t>
  </si>
  <si>
    <t>euro/m2</t>
  </si>
  <si>
    <t>M euro</t>
  </si>
  <si>
    <t>area che fruisce del beneficio</t>
  </si>
  <si>
    <t>2mila miliardi di ero è più del PIL Italia</t>
  </si>
  <si>
    <t>dovrebbe venire 106.940 milioni di euro (107 miliardi)</t>
  </si>
  <si>
    <t>NON TORNA</t>
  </si>
  <si>
    <t>il danno effettivo delle alluvioni in Italia sarà di 10 miliardi l'anno (con elevata qualità dell'offerta di SE di mitigazione allagamenti da parte della vegetazione rispetto al suolo nudo)</t>
  </si>
  <si>
    <t>quindi secondo ISPRA il minor danno è di 107 miliardi: il SE offerto dalla vegetazione permette di ridurre i danni annuali da 117 a 10</t>
  </si>
  <si>
    <t>ISPRA - SE di regolazione allagamento</t>
  </si>
  <si>
    <t>Uso biofisico del servizio di regolazione da allagamento, Area 2018 (km2) - tentivo di ricostruzione RSE dei valori di beneficio fruito per tipo di uso del suolo</t>
  </si>
  <si>
    <t>danno  evitato</t>
  </si>
  <si>
    <t>Fonte CLC anno 2018</t>
  </si>
  <si>
    <t>JRC - INCA 2</t>
  </si>
  <si>
    <t>SE di controllo delle alluvioni</t>
  </si>
  <si>
    <t>Categorie di ecosistemi MAES</t>
  </si>
  <si>
    <t>CN+ (contributo congiunto del SE di misure ingegneristiche)</t>
  </si>
  <si>
    <t>CN (contributo esclusivo del SE al controllo alluvioni)</t>
  </si>
  <si>
    <t>milioni di euro12</t>
  </si>
  <si>
    <t>Totale valore del SE</t>
  </si>
  <si>
    <t>heathland and shrub</t>
  </si>
  <si>
    <t>n.a.</t>
  </si>
  <si>
    <t>euro12/ha</t>
  </si>
  <si>
    <t>valore unitario per tipo di ecosistema</t>
  </si>
  <si>
    <t>superficie ecosistemi (fonte: CLC 2018)</t>
  </si>
  <si>
    <t>Tavola di offerta (supply table) dell'uso effettivo del SE di controllo delle alluvioni in termini monetari (euro2012), Italia, 2012, fonte JRC KIP INCA II, pag. 157 table A.12.7</t>
  </si>
  <si>
    <t>media 2018-2020</t>
  </si>
  <si>
    <t>media Italia 2018-2020</t>
  </si>
  <si>
    <t>NO, NA</t>
  </si>
  <si>
    <t>Calcolo basato sui dati dell'Inventario Nazionale delle Emissioni, tavole del Common Reporting Format (CRF) comunicate dall'Italia all'UNFCCC, sub 2022</t>
  </si>
  <si>
    <t>media su intera sup Italia</t>
  </si>
  <si>
    <t>media su sup ecosistemi valutati</t>
  </si>
  <si>
    <t>t CO2 /ha-anno</t>
  </si>
  <si>
    <t>Matrice delle Emissioni nette (segno +) /Assorbimenti netti (segno -) annuali da cambiamenti di uso del suolo (t CO2/ha-a), average 2018-2020</t>
  </si>
  <si>
    <t>Categorie usate dall'inventario</t>
  </si>
  <si>
    <t>River and lakes</t>
  </si>
  <si>
    <t>Urban (sealed soil)</t>
  </si>
  <si>
    <t>Alle aree urbane vegetate ma non a bosco (aiuole, prati etc.): si attribuisce la metà del valore di grassland</t>
  </si>
  <si>
    <t xml:space="preserve">A brughiera/cespuglieti attribuito lo stesso assorbimento dei prati </t>
  </si>
  <si>
    <t>EVENTUALI altri ecosistemi naturali</t>
  </si>
  <si>
    <t>aree urbane a bosco</t>
  </si>
  <si>
    <t>?</t>
  </si>
  <si>
    <t>Alle aree verdi urbane a bosco: si attribuisce la metà del valore Woodland and forest</t>
  </si>
  <si>
    <t>Per le aree umide, fiumi e laghi e per il mare sarebbe un errore attribuire un valore in base agli altri ecosistemi (sono tutti serbatoi di carbonio): meglio assumere ND che zero</t>
  </si>
  <si>
    <t>Manca aggiornamento al 2021</t>
  </si>
  <si>
    <t>euro2010/mc</t>
  </si>
  <si>
    <t>Valore tariffa (€2018/m3)</t>
  </si>
  <si>
    <t>Il refuso di ISPRA 194 euro/mc è stato corretto con la nuova tariffa media assunta dal 4° RCN ovvero 2,07 euro2018/mc (probabilmente volevano dire 1,94 euro/mc, in questo caso si otterrebbero 1841 milioni di euro - in tabella ne sono riportati 184193)</t>
  </si>
  <si>
    <t>valori usati per SE approvvigionamento idrico</t>
  </si>
  <si>
    <t xml:space="preserve">aree verdi urbane </t>
  </si>
  <si>
    <t>urban senza aree verdi urbane</t>
  </si>
  <si>
    <t>prima verde, poi blu, azzurro e poi giallo</t>
  </si>
  <si>
    <t>calcolo valore per ettaro</t>
  </si>
  <si>
    <t>Coste: superficie ottenuta sommando le aree scarsamente vegetate con le marine inlets and transitional waters</t>
  </si>
  <si>
    <t>Questi calcoli a margine sono superati. si riferiscono al tentativo di quadratura del Pitesai</t>
  </si>
  <si>
    <t xml:space="preserve">Marine </t>
  </si>
  <si>
    <t>Matrice vecchia (superat in quanto usa le categoeir di ecosistemi di ISPRA, non esattamente coincidenti con le categorie MAES)</t>
  </si>
  <si>
    <t>Pitesai valori medi per Italia</t>
  </si>
  <si>
    <t>RdS 2022</t>
  </si>
  <si>
    <t>n.q</t>
  </si>
  <si>
    <t>https://ec.europa.eu/eurostat/databrowser/view/aei_ps_inp/default/table?lang=en</t>
  </si>
  <si>
    <t>sparsely vegetated land</t>
  </si>
  <si>
    <t>fonte: https://data.jrc.ec.europa.eu/dataset/4cbd7c1e-6512-4ebe-8ca5-e08209cc3efb</t>
  </si>
  <si>
    <t>Valutazione JRC 2021 KIP INCA III 2018 update, valori in Milioni di euro per Italia, anno 2018, SE habitat and species maintenance (aggiornamento del 2022 in excel, che tiene conto della quantificazione biofisica e monetaria anche per anno 2018 - non solo 2006 e 2012), (Ecosystem services accounts: maps for 7 ecosystem services produced in KIP INCA 2018 updates)</t>
  </si>
  <si>
    <t>totale UE 30 miliardi!!!</t>
  </si>
  <si>
    <t>risultati molto omogenei (strano)</t>
  </si>
  <si>
    <t>Finland</t>
  </si>
  <si>
    <t>Sweden</t>
  </si>
  <si>
    <t>EU27</t>
  </si>
  <si>
    <t>è disponibile anche aggiornamento di ottobre 2021 che però considera sempre il 2019 (non considerato, i dati qua sotto sono quelli del settembre 2021)</t>
  </si>
  <si>
    <t>totale (M euro2017)</t>
  </si>
  <si>
    <t>Italia (escluse le superfici terrestri non quantificate)</t>
  </si>
  <si>
    <t>JRC KIP INCA III</t>
  </si>
  <si>
    <t>matrice biofisica</t>
  </si>
  <si>
    <t>Matrice in valore con le categorie dell'inventario</t>
  </si>
  <si>
    <t>MATRICE in valore con le categorie di ecosistemi MAES</t>
  </si>
  <si>
    <t>Pitesai 1: Matrice media nazionale (Italia): presa la media aritmetica coltivazioni</t>
  </si>
  <si>
    <t>RdS22 Matrice nazionale (Italia)</t>
  </si>
  <si>
    <t>€2018 /ha-anno</t>
  </si>
  <si>
    <t>valore medio ottenuto in questo tentativo del tutto arbitrario es celle righe 25 stabilite soggettivamente</t>
  </si>
  <si>
    <t>Studio JRC KIP INCA III</t>
  </si>
  <si>
    <t>Differenziazione regionale effettuata nel PITESAI 2</t>
  </si>
  <si>
    <t>ktonn</t>
  </si>
  <si>
    <t>milioni di euro 2012</t>
  </si>
  <si>
    <t>euro/t di suolo trattenuto</t>
  </si>
  <si>
    <t>valore del danno dell'erosione per ton di terreno eroso</t>
  </si>
  <si>
    <t>Valore del Danno erosione per ettaro (media UE)</t>
  </si>
  <si>
    <t>Valore del Danno erosione per ettaro (media ITA)</t>
  </si>
  <si>
    <t>UE</t>
  </si>
  <si>
    <t>valore del danno erosione effettiva (non del beneficio SE di mitigazione)</t>
  </si>
  <si>
    <t>milioni di euro 2018</t>
  </si>
  <si>
    <t>2012 
Fonte: database del 2022 per anno 2018 (JRC ha applicato un valore unitario notevolmente inferiore)</t>
  </si>
  <si>
    <t>2018 
Fonte: database del 2022 per anno 2018 (JRC ha applicato un valore unitario notevolmente inferiore)</t>
  </si>
  <si>
    <t>Francia (cropland)</t>
  </si>
  <si>
    <t>2012 Fonte: rapporto JRC del 2021 per anno 2012</t>
  </si>
  <si>
    <t>AA13. Supply table of soil retention in physical terms, thousand of t, Italy, year 2012 and 2018</t>
  </si>
  <si>
    <t>Suolo trattenuto (erosione evitata) per tipo di ecosistema, Italia, 2018, valori in t/ha</t>
  </si>
  <si>
    <t>t/ha-a</t>
  </si>
  <si>
    <t>ktonn-a</t>
  </si>
  <si>
    <t>euro12/t di suolo trattenuto</t>
  </si>
  <si>
    <t>euro2012/tonn</t>
  </si>
  <si>
    <t>valore rapporto JRC KIP INCA Part III pag. 62</t>
  </si>
  <si>
    <t>Stima RSE con dati biofisici JRC2022 e valore JRC per 2012 di 10 euro in Italia</t>
  </si>
  <si>
    <t>euro2012/ha</t>
  </si>
  <si>
    <t>milioni di euro2012</t>
  </si>
  <si>
    <t>valore per ha sulle superfici valutate</t>
  </si>
  <si>
    <t>SE mitigazione erosione: matrice dei benefici (segno +) / costi  (segno -) annuali da cambiamenti di uso del suolo  (euro2012/ha) DA AGGIORNARE AL 2021</t>
  </si>
  <si>
    <t xml:space="preserve">offerta idrica in rapporto a estensione ecosistemi </t>
  </si>
  <si>
    <t>Legenda passaggi di calcolo dell'ultima revisione:</t>
  </si>
  <si>
    <t>ATTENZIONE è allacciata al 2018, DA RIVALUTARE AL 2021</t>
  </si>
  <si>
    <t>SE di "approvvigionamento idrico": matrice dei benefici (segno +) / costi  (segno -) annuali da cambiamenti di uso del suolo  (euro2018/ha)</t>
  </si>
  <si>
    <t>Valore di beneficio del SE</t>
  </si>
  <si>
    <t>euro2018/ha</t>
  </si>
  <si>
    <t>SE1 Approvvigionamento agricolo</t>
  </si>
  <si>
    <t>SE3 Approvvigionamento idrico</t>
  </si>
  <si>
    <t>SE2 Approvvigionamento di legname</t>
  </si>
  <si>
    <t>Fonte del valore monetario unitario</t>
  </si>
  <si>
    <t xml:space="preserve">Metodo di  valutazione monetaria </t>
  </si>
  <si>
    <t>Servizio ecosistemico (SE)</t>
  </si>
  <si>
    <t>Link</t>
  </si>
  <si>
    <t>3° RSCN (ISPRA e BCCC Bilbao) 2019
4° RSCN 2021</t>
  </si>
  <si>
    <t>Rendita della risorsa (10% valore di mercato)</t>
  </si>
  <si>
    <t>Anno valuta</t>
  </si>
  <si>
    <t>Fonti statistiche del SE biofisico</t>
  </si>
  <si>
    <t>https://unfccc.int/ghg-inventories-annex-i-parties/2022</t>
  </si>
  <si>
    <t>Servizio ecosistemico "ciclo del carbonio": matrice dei benefici (segno +) / costi  (segno -) annuali da cambiamenti di uso del suolo  (euro16/ha)</t>
  </si>
  <si>
    <t>Ipotesi di assegnazione dei valori agli ecosistemi di riferimento MAES:</t>
  </si>
  <si>
    <t>SE4 Assorbimenti netti di carbonio</t>
  </si>
  <si>
    <t>euro 2018</t>
  </si>
  <si>
    <t>euro 2016</t>
  </si>
  <si>
    <t>Regione di validità del valore monetario</t>
  </si>
  <si>
    <t>Mondo</t>
  </si>
  <si>
    <t>“Land Use, Land Use Change and Forestry” (LULUCF), sezione dell’inventario nazionale delle emissioni (NIR) 2022</t>
  </si>
  <si>
    <t>Servizio ecosistemico "ciclo del carbonio": matrice dei benefici (segno +) / costi  (segno -) annuali da cambiamenti di uso del suolo  (euro16/ha-a)</t>
  </si>
  <si>
    <t>valutazione monetaria euro 2016</t>
  </si>
  <si>
    <t xml:space="preserve">
https://www.ebba2.info/
https://ec.europa.eu/environment/nature/conservation/species/redlist/index_en.htm</t>
  </si>
  <si>
    <t>n.d.</t>
  </si>
  <si>
    <t>euro 2017</t>
  </si>
  <si>
    <t xml:space="preserve">Sono disponibili diverse fonti statistiche di ricchezza delle specie (ma non sono state utilizzate nella valutazione monetaria):
Hotspots of bird species richness - European Breeding Bird Atlas 2, anni 2013 e 2017.
European red List – Geographic patterns of Species Richness in Europe.
</t>
  </si>
  <si>
    <t>ISPRA 2018, in base ai valori per ettaro emergenti dalla rassegna di De Groot et al 2012 e dal contributo di Costanza et al 2014. L'indicatore di habitat suitability del modello di simulazione INVEST è stato utilizzato per "traslare" alcuni valori di letteratura (relativi ad alcuni ecosistemi) ad un insieme più vasto di ecosistemi.</t>
  </si>
  <si>
    <t>€2017/ha-a</t>
  </si>
  <si>
    <t>SE di "qualità habitat/biodiversità": matrice dei benefici (segno +) / costi  (segno -) annuali da cambiamenti di uso del suolo  (euro17/ha)</t>
  </si>
  <si>
    <t>https://data.jrc.ec.europa.eu/dataset/4cbd7c1e-6512-4ebe-8ca5-e08209cc3efb</t>
  </si>
  <si>
    <t>SE9 Mitigazione dell'erosione (soil retention)</t>
  </si>
  <si>
    <t>JRC 2022: Supply and Use Tables for all ES (2000, 2006, 2012, 2018)  KIP INCA 2018 update. Soil retention excel files. Erosione evitata stimata con formula RUSLE.</t>
  </si>
  <si>
    <t>JRC 2021 (KIP INCA III)</t>
  </si>
  <si>
    <t>Attenzione: quello calcolato da ISPRA 2018 non è il valore del BENEFICIO del SE di mitigazione dell'erosione (rispetto ad uno scenario in cui si ipotizza assenza di copertura del suolo), ma il valore del danno erosione secondo ISPRA</t>
  </si>
  <si>
    <t>Servizio di mitigazione dell'erosione (i valori adottato sono quelli dello studio JRC 2021, da riga 30 in poi.</t>
  </si>
  <si>
    <t>ATTENZIONE NON è il valore del beneficio del SE. E' un tentativo fallito di desumere i valori ISPRA di perdita di suolo per ha (erosione), in base al controbuto ISPRA al 4° raporto sul capitale naturale</t>
  </si>
  <si>
    <t>Dalla colonna K in poi c'è la stima del valore fisico ed economico del SE - studio JRC 2021</t>
  </si>
  <si>
    <t>SE5 Qualità habitat (biodiversità)</t>
  </si>
  <si>
    <t>SE6 Impollinazione agricola</t>
  </si>
  <si>
    <t>SE7 Mitigazione dell'inquinamento atmosferico</t>
  </si>
  <si>
    <t>SE8 Purificazione delle acque dolci</t>
  </si>
  <si>
    <t>Giulio</t>
  </si>
  <si>
    <t>SE10 Mitigazione delle alluvioni</t>
  </si>
  <si>
    <t>SE11 Ricreazione naturalistica</t>
  </si>
  <si>
    <t>Tipo di SE (CICES)</t>
  </si>
  <si>
    <t>SE di fornitura</t>
  </si>
  <si>
    <t>SE di manutenzione e regolazione</t>
  </si>
  <si>
    <t>SE culturale</t>
  </si>
  <si>
    <t>Metodo dei costi di ripristino (valore di mercato del terriccio). Costi sottostimati per l'esclusione del capitale e del lavoro necessari al ripristino.</t>
  </si>
  <si>
    <t>SE12 Qualità del paesaggio</t>
  </si>
  <si>
    <t>Andrea</t>
  </si>
  <si>
    <t>euro 2012</t>
  </si>
  <si>
    <t>Handbook on the External Costs of Transport, 2019 - External costs for CO2 emissions</t>
  </si>
  <si>
    <t>Costo della riduzione delle emissioni di CO2 in uno scenario di stabilizzazione concentrazioni gas serra a 450 ppm (valori di mercato)</t>
  </si>
  <si>
    <t>JRC 2019 (KIP INCA II)</t>
  </si>
  <si>
    <t>Metodo del danno materiale evitato (valore di mercato per categoria di infrastrutture colpite)</t>
  </si>
  <si>
    <t>Fonti statistiche non disponibili (ISPRA utilizza il modello di simulazione del bilancio idrico Bigbang)</t>
  </si>
  <si>
    <r>
      <t>JRC 2022: Supply and Use Tables for all ES (2000, 2006, 2012, 2018)  KIP INCA 2018 update. Flood control excel files. JRC fornisce il dato in km</t>
    </r>
    <r>
      <rPr>
        <vertAlign val="superscript"/>
        <sz val="11"/>
        <color theme="1"/>
        <rFont val="Times New Roman"/>
        <family val="1"/>
      </rPr>
      <t>2</t>
    </r>
    <r>
      <rPr>
        <sz val="11"/>
        <color theme="1"/>
        <rFont val="Times New Roman"/>
        <family val="1"/>
      </rPr>
      <t xml:space="preserve"> di uso effettivo del SE di flood control: la superficie di domanda del servizio ecosistemico (terreni e infrastrutture in aree a rischio) che usufruisce della fornitura del SE di controllo delle alluvioni</t>
    </r>
  </si>
  <si>
    <t>Aggiornamento del valore dal 2018 al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</si>
</sst>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 #,##0.00_-;_-* &quot;-&quot;??_-;_-@_-"/>
    <numFmt numFmtId="164" formatCode="0.0"/>
    <numFmt numFmtId="165" formatCode="_-* #,##0.0_-;\-* #,##0.0_-;_-* &quot;-&quot;??_-;_-@_-"/>
    <numFmt numFmtId="166" formatCode="[$€-2]\ #,##0;[Red]\-[$€-2]\ #,##0"/>
    <numFmt numFmtId="167" formatCode="_-* #,##0_-;\-* #,##0_-;_-* &quot;-&quot;??_-;_-@_-"/>
    <numFmt numFmtId="168" formatCode="0.000"/>
    <numFmt numFmtId="169" formatCode="0.0%"/>
    <numFmt numFmtId="170" formatCode="0.0000"/>
    <numFmt numFmtId="171" formatCode="_-* #,##0.0000_-;\-* #,##0.0000_-;_-* &quot;-&quot;??_-;_-@_-"/>
    <numFmt numFmtId="172" formatCode="_-* #,##0.000\ _€_-;\-* #,##0.000\ _€_-;_-* &quot;-&quot;????\ _€_-;_-@_-"/>
    <numFmt numFmtId="173" formatCode="_-* #,##0.0\ _€_-;\-* #,##0.0\ _€_-;_-* &quot;-&quot;?\ _€_-;_-@_-"/>
    <numFmt numFmtId="174" formatCode="_-* #,##0.00\ _€_-;\-* #,##0.00\ _€_-;_-* &quot;-&quot;??\ _€_-;_-@_-"/>
    <numFmt numFmtId="175" formatCode="_-* #,##0.0000\ _€_-;\-* #,##0.0000\ _€_-;_-* &quot;-&quot;????\ _€_-;_-@_-"/>
    <numFmt numFmtId="176" formatCode="_-* #,##0\ _€_-;\-* #,##0\ _€_-;_-* &quot;-&quot;?\ _€_-;_-@_-"/>
    <numFmt numFmtId="177" formatCode="#,##0.0_ ;\-#,##0.0\ "/>
    <numFmt numFmtId="178" formatCode="#,##0.0"/>
    <numFmt numFmtId="179" formatCode="_-* #,##0\ _€_-;\-* #,##0\ _€_-;_-* &quot;-&quot;??\ _€_-;_-@_-"/>
    <numFmt numFmtId="181" formatCode="_-* #,##0.00\ _€_-;\-* #,##0.00\ _€_-;_-* &quot;-&quot;????\ _€_-;_-@_-"/>
    <numFmt numFmtId="182" formatCode="dd\.mm\.yy"/>
    <numFmt numFmtId="183" formatCode="0.00000"/>
  </numFmts>
  <fonts count="93" x14ac:knownFonts="1">
    <font>
      <sz val="11"/>
      <color theme="1"/>
      <name val="Calibri"/>
      <family val="2"/>
      <scheme val="minor"/>
    </font>
    <font>
      <b/>
      <sz val="11"/>
      <color theme="1"/>
      <name val="Calibri"/>
      <family val="2"/>
      <scheme val="minor"/>
    </font>
    <font>
      <b/>
      <sz val="16"/>
      <color theme="1"/>
      <name val="Calibri"/>
      <family val="2"/>
      <scheme val="minor"/>
    </font>
    <font>
      <sz val="11"/>
      <color theme="1"/>
      <name val="Calibri"/>
      <family val="2"/>
      <scheme val="minor"/>
    </font>
    <font>
      <sz val="9"/>
      <color indexed="81"/>
      <name val="Tahoma"/>
      <family val="2"/>
    </font>
    <font>
      <b/>
      <sz val="9"/>
      <color indexed="81"/>
      <name val="Tahoma"/>
      <family val="2"/>
    </font>
    <font>
      <i/>
      <sz val="11"/>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sz val="8"/>
      <name val="Calibri"/>
      <family val="2"/>
      <scheme val="minor"/>
    </font>
    <font>
      <sz val="13"/>
      <color theme="1"/>
      <name val="Arial"/>
      <family val="2"/>
    </font>
    <font>
      <sz val="9"/>
      <color theme="1"/>
      <name val="Calibri"/>
      <family val="2"/>
      <scheme val="minor"/>
    </font>
    <font>
      <sz val="11"/>
      <color theme="1"/>
      <name val="Times New Roman"/>
      <family val="2"/>
    </font>
    <font>
      <sz val="14"/>
      <color theme="1"/>
      <name val="Calibri"/>
      <family val="2"/>
      <scheme val="minor"/>
    </font>
    <font>
      <b/>
      <sz val="18"/>
      <color theme="1"/>
      <name val="Calibri"/>
      <family val="2"/>
      <scheme val="minor"/>
    </font>
    <font>
      <sz val="8"/>
      <color theme="1"/>
      <name val="Calibri"/>
      <family val="2"/>
      <scheme val="minor"/>
    </font>
    <font>
      <i/>
      <sz val="12"/>
      <color theme="1"/>
      <name val="Calibri"/>
      <family val="2"/>
      <scheme val="minor"/>
    </font>
    <font>
      <b/>
      <sz val="12"/>
      <name val="Times New Roman"/>
      <family val="1"/>
    </font>
    <font>
      <sz val="10"/>
      <name val="Arial"/>
      <family val="2"/>
    </font>
    <font>
      <sz val="9"/>
      <name val="Times New Roman"/>
      <family val="1"/>
    </font>
    <font>
      <b/>
      <vertAlign val="superscript"/>
      <sz val="12"/>
      <name val="Times New Roman"/>
      <family val="1"/>
    </font>
    <font>
      <b/>
      <sz val="9"/>
      <name val="Times New Roman"/>
      <family val="1"/>
    </font>
    <font>
      <b/>
      <vertAlign val="superscript"/>
      <sz val="9"/>
      <name val="Times New Roman"/>
      <family val="1"/>
    </font>
    <font>
      <vertAlign val="superscript"/>
      <sz val="9"/>
      <name val="Times New Roman"/>
      <family val="1"/>
    </font>
    <font>
      <sz val="9"/>
      <color indexed="8"/>
      <name val="Times New Roman"/>
      <family val="1"/>
    </font>
    <font>
      <sz val="9"/>
      <color theme="0"/>
      <name val="Times New Roman"/>
      <family val="1"/>
    </font>
    <font>
      <b/>
      <sz val="10"/>
      <name val="Times New Roman"/>
      <family val="1"/>
    </font>
    <font>
      <i/>
      <sz val="9"/>
      <name val="Times New Roman"/>
      <family val="1"/>
    </font>
    <font>
      <sz val="10"/>
      <name val="Times New Roman"/>
      <family val="1"/>
    </font>
    <font>
      <b/>
      <vertAlign val="subscript"/>
      <sz val="9"/>
      <name val="Times New Roman"/>
      <family val="1"/>
    </font>
    <font>
      <b/>
      <sz val="11"/>
      <name val="Times New Roman"/>
      <family val="1"/>
    </font>
    <font>
      <b/>
      <sz val="14"/>
      <name val="Times New Roman"/>
      <family val="1"/>
    </font>
    <font>
      <sz val="11"/>
      <name val="Calibri"/>
      <family val="2"/>
      <scheme val="minor"/>
    </font>
    <font>
      <b/>
      <sz val="14"/>
      <color rgb="FFFF0000"/>
      <name val="Calibri"/>
      <family val="2"/>
      <scheme val="minor"/>
    </font>
    <font>
      <u/>
      <sz val="11"/>
      <color theme="10"/>
      <name val="Calibri"/>
      <family val="2"/>
      <scheme val="minor"/>
    </font>
    <font>
      <b/>
      <sz val="11"/>
      <color theme="1"/>
      <name val="Times New Roman"/>
      <family val="1"/>
    </font>
    <font>
      <b/>
      <sz val="11"/>
      <name val="Calibri"/>
      <family val="2"/>
      <scheme val="minor"/>
    </font>
    <font>
      <sz val="8"/>
      <name val="Arial"/>
      <family val="2"/>
    </font>
    <font>
      <b/>
      <u/>
      <sz val="9"/>
      <color indexed="18"/>
      <name val="Verdana"/>
      <family val="2"/>
    </font>
    <font>
      <b/>
      <sz val="8"/>
      <color indexed="9"/>
      <name val="Verdana"/>
      <family val="2"/>
    </font>
    <font>
      <sz val="8"/>
      <color indexed="9"/>
      <name val="Verdana"/>
      <family val="2"/>
    </font>
    <font>
      <u/>
      <sz val="8"/>
      <color indexed="9"/>
      <name val="Verdana"/>
      <family val="2"/>
    </font>
    <font>
      <b/>
      <sz val="8"/>
      <name val="Verdana"/>
      <family val="2"/>
    </font>
    <font>
      <b/>
      <sz val="9"/>
      <color indexed="10"/>
      <name val="Courier New"/>
      <family val="3"/>
    </font>
    <font>
      <sz val="8"/>
      <name val="Verdana"/>
      <family val="2"/>
    </font>
    <font>
      <u/>
      <sz val="8"/>
      <name val="Verdana"/>
      <family val="2"/>
    </font>
    <font>
      <b/>
      <sz val="10"/>
      <name val="Arial"/>
      <family val="2"/>
    </font>
    <font>
      <sz val="11"/>
      <color theme="1"/>
      <name val="Times New Roman"/>
      <family val="1"/>
    </font>
    <font>
      <i/>
      <sz val="11"/>
      <color theme="1"/>
      <name val="Times New Roman"/>
      <family val="1"/>
    </font>
    <font>
      <sz val="12"/>
      <color theme="1"/>
      <name val="Times New Roman"/>
      <family val="1"/>
    </font>
    <font>
      <b/>
      <sz val="12"/>
      <color theme="1"/>
      <name val="Times New Roman"/>
      <family val="1"/>
    </font>
    <font>
      <b/>
      <sz val="11"/>
      <color indexed="9"/>
      <name val="Verdana"/>
      <family val="2"/>
    </font>
    <font>
      <b/>
      <sz val="8"/>
      <name val="Arial"/>
      <family val="2"/>
    </font>
    <font>
      <b/>
      <sz val="12"/>
      <name val="Calibri"/>
      <family val="2"/>
      <scheme val="minor"/>
    </font>
    <font>
      <b/>
      <sz val="13.5"/>
      <color theme="1"/>
      <name val="Calibri"/>
      <family val="2"/>
      <scheme val="minor"/>
    </font>
    <font>
      <sz val="11"/>
      <name val="Arial"/>
      <family val="2"/>
    </font>
    <font>
      <b/>
      <sz val="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9"/>
      <color rgb="FFFF0000"/>
      <name val="Courier New"/>
      <family val="3"/>
    </font>
    <font>
      <b/>
      <sz val="9"/>
      <color theme="1"/>
      <name val="Calibri"/>
      <family val="2"/>
      <scheme val="minor"/>
    </font>
    <font>
      <b/>
      <sz val="9"/>
      <name val="Calibri"/>
      <family val="2"/>
      <scheme val="minor"/>
    </font>
    <font>
      <b/>
      <vertAlign val="subscript"/>
      <sz val="12"/>
      <name val="Times New Roman"/>
      <family val="1"/>
    </font>
    <font>
      <sz val="9"/>
      <name val="Times New Roman"/>
    </font>
    <font>
      <vertAlign val="subscript"/>
      <sz val="9"/>
      <name val="Times New Roman"/>
      <family val="1"/>
    </font>
    <font>
      <sz val="11"/>
      <name val="Times New Roman"/>
      <family val="1"/>
    </font>
    <font>
      <sz val="9"/>
      <color indexed="10"/>
      <name val="Courier New"/>
      <family val="3"/>
    </font>
    <font>
      <sz val="10"/>
      <color indexed="10"/>
      <name val="Arial"/>
      <family val="2"/>
    </font>
    <font>
      <b/>
      <vertAlign val="subscript"/>
      <sz val="10"/>
      <name val="Times New Roman"/>
      <family val="1"/>
    </font>
    <font>
      <b/>
      <vertAlign val="subscript"/>
      <sz val="11"/>
      <color theme="1"/>
      <name val="Times New Roman"/>
      <family val="1"/>
    </font>
    <font>
      <b/>
      <sz val="24"/>
      <color theme="1"/>
      <name val="Calibri"/>
      <family val="2"/>
      <scheme val="minor"/>
    </font>
    <font>
      <sz val="10"/>
      <color theme="1"/>
      <name val="Calibri"/>
      <family val="2"/>
      <scheme val="minor"/>
    </font>
    <font>
      <b/>
      <sz val="10"/>
      <color theme="1"/>
      <name val="Calibri"/>
      <family val="2"/>
      <scheme val="minor"/>
    </font>
    <font>
      <sz val="9"/>
      <color theme="1"/>
      <name val="Times New Roman"/>
      <family val="1"/>
    </font>
    <font>
      <sz val="14"/>
      <color rgb="FF595959"/>
      <name val="Calibri"/>
      <family val="2"/>
      <scheme val="minor"/>
    </font>
    <font>
      <b/>
      <sz val="12"/>
      <color rgb="FF000000"/>
      <name val="Times New Roman"/>
      <family val="1"/>
    </font>
    <font>
      <u/>
      <sz val="11"/>
      <name val="Times New Roman"/>
      <family val="1"/>
    </font>
    <font>
      <sz val="12"/>
      <color rgb="FF000000"/>
      <name val="Times New Roman"/>
      <family val="1"/>
    </font>
    <font>
      <vertAlign val="superscript"/>
      <sz val="11"/>
      <color theme="1"/>
      <name val="Times New Roman"/>
      <family val="1"/>
    </font>
  </fonts>
  <fills count="6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2"/>
        <bgColor indexed="64"/>
      </patternFill>
    </fill>
    <fill>
      <patternFill patternType="solid">
        <fgColor rgb="FF92D050"/>
        <bgColor indexed="64"/>
      </patternFill>
    </fill>
    <fill>
      <patternFill patternType="solid">
        <fgColor theme="0"/>
        <bgColor indexed="64"/>
      </patternFill>
    </fill>
    <fill>
      <patternFill patternType="solid">
        <fgColor rgb="FFFF0000"/>
        <bgColor indexed="64"/>
      </patternFill>
    </fill>
    <fill>
      <patternFill patternType="solid">
        <fgColor rgb="FFFFCC99"/>
      </patternFill>
    </fill>
    <fill>
      <patternFill patternType="solid">
        <fgColor indexed="9"/>
        <bgColor indexed="64"/>
      </patternFill>
    </fill>
    <fill>
      <patternFill patternType="solid">
        <fgColor indexed="47"/>
        <bgColor indexed="64"/>
      </patternFill>
    </fill>
    <fill>
      <patternFill patternType="solid">
        <fgColor indexed="55"/>
        <bgColor indexed="64"/>
      </patternFill>
    </fill>
    <fill>
      <patternFill patternType="solid">
        <fgColor rgb="FFFFFFFF"/>
      </patternFill>
    </fill>
    <fill>
      <patternFill patternType="solid">
        <fgColor rgb="FF969696"/>
      </patternFill>
    </fill>
    <fill>
      <patternFill patternType="solid">
        <fgColor rgb="FFFFCC99"/>
        <bgColor indexed="64"/>
      </patternFill>
    </fill>
    <fill>
      <patternFill patternType="solid">
        <fgColor rgb="FF00B0F0"/>
        <bgColor indexed="64"/>
      </patternFill>
    </fill>
    <fill>
      <patternFill patternType="solid">
        <fgColor rgb="FF2973BD"/>
        <bgColor indexed="64"/>
      </patternFill>
    </fill>
    <fill>
      <patternFill patternType="solid">
        <fgColor rgb="FF00A1E3"/>
        <bgColor indexed="64"/>
      </patternFill>
    </fill>
    <fill>
      <patternFill patternType="solid">
        <fgColor rgb="FFC4D8ED"/>
        <bgColor indexed="64"/>
      </patternFill>
    </fill>
    <fill>
      <patternFill patternType="mediumGray">
        <fgColor rgb="FFC0C0C0"/>
        <bgColor rgb="FFFFFFFF"/>
      </patternFill>
    </fill>
    <fill>
      <patternFill patternType="solid">
        <fgColor theme="4"/>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0F8FF"/>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rgb="FF00B050"/>
        <bgColor indexed="64"/>
      </patternFill>
    </fill>
    <fill>
      <patternFill patternType="solid">
        <fgColor theme="5"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mediumGray">
        <fgColor rgb="FFC0C0C0"/>
        <bgColor rgb="FF00B0F0"/>
      </patternFill>
    </fill>
    <fill>
      <patternFill patternType="mediumGray">
        <fgColor rgb="FFC0C0C0"/>
        <bgColor rgb="FFFFFF00"/>
      </patternFill>
    </fill>
    <fill>
      <patternFill patternType="mediumGray">
        <fgColor rgb="FFC0C0C0"/>
        <bgColor rgb="FF92D050"/>
      </patternFill>
    </fill>
    <fill>
      <patternFill patternType="solid">
        <fgColor rgb="FF00B0F0"/>
        <bgColor rgb="FF000000"/>
      </patternFill>
    </fill>
    <fill>
      <patternFill patternType="solid">
        <fgColor rgb="FFFF0000"/>
        <bgColor rgb="FF000000"/>
      </patternFill>
    </fill>
    <fill>
      <patternFill patternType="solid">
        <fgColor rgb="FF0070C0"/>
        <bgColor indexed="64"/>
      </patternFill>
    </fill>
    <fill>
      <patternFill patternType="solid">
        <fgColor theme="1"/>
        <bgColor indexed="64"/>
      </patternFill>
    </fill>
    <fill>
      <patternFill patternType="solid">
        <fgColor theme="9" tint="0.59999389629810485"/>
        <bgColor indexed="64"/>
      </patternFill>
    </fill>
  </fills>
  <borders count="103">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style="thin">
        <color rgb="FFC0C0C0"/>
      </right>
      <top style="thin">
        <color rgb="FFC0C0C0"/>
      </top>
      <bottom style="thin">
        <color rgb="FFC0C0C0"/>
      </bottom>
      <diagonal/>
    </border>
    <border>
      <left/>
      <right/>
      <top style="thin">
        <color rgb="FFC0C0C0"/>
      </top>
      <bottom style="thin">
        <color rgb="FFC0C0C0"/>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8"/>
      </left>
      <right style="thin">
        <color indexed="8"/>
      </right>
      <top style="thin">
        <color indexed="8"/>
      </top>
      <bottom style="thin">
        <color indexed="8"/>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tted">
        <color indexed="64"/>
      </bottom>
      <diagonal/>
    </border>
    <border>
      <left style="thin">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right style="thin">
        <color indexed="64"/>
      </right>
      <top style="medium">
        <color indexed="64"/>
      </top>
      <bottom style="dotted">
        <color indexed="64"/>
      </bottom>
      <diagonal/>
    </border>
    <border>
      <left style="medium">
        <color indexed="64"/>
      </left>
      <right/>
      <top style="dotted">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right style="thin">
        <color indexed="64"/>
      </right>
      <top style="dotted">
        <color indexed="64"/>
      </top>
      <bottom style="dotted">
        <color indexed="64"/>
      </bottom>
      <diagonal/>
    </border>
    <border>
      <left style="medium">
        <color indexed="64"/>
      </left>
      <right style="thin">
        <color indexed="64"/>
      </right>
      <top style="dotted">
        <color indexed="64"/>
      </top>
      <bottom style="dotted">
        <color indexed="64"/>
      </bottom>
      <diagonal/>
    </border>
    <border>
      <left style="medium">
        <color indexed="64"/>
      </left>
      <right/>
      <top style="dotted">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right style="thin">
        <color indexed="64"/>
      </right>
      <top style="dotted">
        <color indexed="64"/>
      </top>
      <bottom style="medium">
        <color indexed="64"/>
      </bottom>
      <diagonal/>
    </border>
    <border>
      <left/>
      <right/>
      <top/>
      <bottom style="medium">
        <color indexed="64"/>
      </bottom>
      <diagonal/>
    </border>
    <border>
      <left/>
      <right/>
      <top style="thin">
        <color indexed="64"/>
      </top>
      <bottom style="medium">
        <color indexed="64"/>
      </bottom>
      <diagonal/>
    </border>
  </borders>
  <cellStyleXfs count="69">
    <xf numFmtId="0" fontId="0" fillId="0" borderId="0"/>
    <xf numFmtId="43" fontId="3" fillId="0" borderId="0" applyFont="0" applyFill="0" applyBorder="0" applyAlignment="0" applyProtection="0"/>
    <xf numFmtId="0" fontId="3" fillId="0" borderId="0"/>
    <xf numFmtId="0" fontId="13" fillId="0" borderId="0"/>
    <xf numFmtId="43" fontId="3" fillId="0" borderId="0" applyFont="0" applyFill="0" applyBorder="0" applyAlignment="0" applyProtection="0"/>
    <xf numFmtId="9" fontId="13" fillId="0" borderId="0" applyFont="0" applyFill="0" applyBorder="0" applyAlignment="0" applyProtection="0"/>
    <xf numFmtId="9" fontId="3" fillId="0" borderId="0" applyFont="0" applyFill="0" applyBorder="0" applyAlignment="0" applyProtection="0"/>
    <xf numFmtId="0" fontId="18" fillId="0" borderId="0" applyNumberFormat="0" applyFill="0" applyBorder="0" applyAlignment="0" applyProtection="0"/>
    <xf numFmtId="0" fontId="19" fillId="0" borderId="0"/>
    <xf numFmtId="0" fontId="19" fillId="0" borderId="0"/>
    <xf numFmtId="0" fontId="25" fillId="10" borderId="2">
      <alignment horizontal="right" vertical="center"/>
    </xf>
    <xf numFmtId="0" fontId="25" fillId="10" borderId="29">
      <alignment horizontal="left" vertical="center"/>
    </xf>
    <xf numFmtId="0" fontId="20" fillId="0" borderId="0"/>
    <xf numFmtId="0" fontId="29" fillId="0" borderId="0"/>
    <xf numFmtId="4" fontId="29" fillId="0" borderId="0"/>
    <xf numFmtId="4" fontId="19" fillId="0" borderId="0"/>
    <xf numFmtId="43" fontId="13" fillId="0" borderId="0" applyFont="0" applyFill="0" applyBorder="0" applyAlignment="0" applyProtection="0"/>
    <xf numFmtId="0" fontId="35" fillId="0" borderId="0" applyNumberFormat="0" applyFill="0" applyBorder="0" applyAlignment="0" applyProtection="0"/>
    <xf numFmtId="0" fontId="19" fillId="0" borderId="0"/>
    <xf numFmtId="43" fontId="19" fillId="0" borderId="0" applyFont="0" applyFill="0" applyBorder="0" applyAlignment="0" applyProtection="0"/>
    <xf numFmtId="0" fontId="56" fillId="0" borderId="0"/>
    <xf numFmtId="9" fontId="56" fillId="0" borderId="0" applyFont="0" applyFill="0" applyBorder="0" applyAlignment="0" applyProtection="0"/>
    <xf numFmtId="0" fontId="58" fillId="0" borderId="0" applyNumberFormat="0" applyFill="0" applyBorder="0" applyAlignment="0" applyProtection="0"/>
    <xf numFmtId="0" fontId="59" fillId="0" borderId="58" applyNumberFormat="0" applyFill="0" applyAlignment="0" applyProtection="0"/>
    <xf numFmtId="0" fontId="60" fillId="0" borderId="59" applyNumberFormat="0" applyFill="0" applyAlignment="0" applyProtection="0"/>
    <xf numFmtId="0" fontId="61" fillId="0" borderId="60" applyNumberFormat="0" applyFill="0" applyAlignment="0" applyProtection="0"/>
    <xf numFmtId="0" fontId="61" fillId="0" borderId="0" applyNumberFormat="0" applyFill="0" applyBorder="0" applyAlignment="0" applyProtection="0"/>
    <xf numFmtId="0" fontId="62" fillId="29" borderId="0" applyNumberFormat="0" applyBorder="0" applyAlignment="0" applyProtection="0"/>
    <xf numFmtId="0" fontId="63" fillId="30" borderId="0" applyNumberFormat="0" applyBorder="0" applyAlignment="0" applyProtection="0"/>
    <xf numFmtId="0" fontId="64" fillId="31" borderId="0" applyNumberFormat="0" applyBorder="0" applyAlignment="0" applyProtection="0"/>
    <xf numFmtId="0" fontId="65" fillId="8" borderId="61" applyNumberFormat="0" applyAlignment="0" applyProtection="0"/>
    <xf numFmtId="0" fontId="66" fillId="32" borderId="62" applyNumberFormat="0" applyAlignment="0" applyProtection="0"/>
    <xf numFmtId="0" fontId="67" fillId="32" borderId="61" applyNumberFormat="0" applyAlignment="0" applyProtection="0"/>
    <xf numFmtId="0" fontId="68" fillId="0" borderId="63" applyNumberFormat="0" applyFill="0" applyAlignment="0" applyProtection="0"/>
    <xf numFmtId="0" fontId="69" fillId="33" borderId="64" applyNumberFormat="0" applyAlignment="0" applyProtection="0"/>
    <xf numFmtId="0" fontId="70" fillId="0" borderId="0" applyNumberFormat="0" applyFill="0" applyBorder="0" applyAlignment="0" applyProtection="0"/>
    <xf numFmtId="0" fontId="3" fillId="34" borderId="65" applyNumberFormat="0" applyFont="0" applyAlignment="0" applyProtection="0"/>
    <xf numFmtId="0" fontId="71" fillId="0" borderId="0" applyNumberFormat="0" applyFill="0" applyBorder="0" applyAlignment="0" applyProtection="0"/>
    <xf numFmtId="0" fontId="1" fillId="0" borderId="66" applyNumberFormat="0" applyFill="0" applyAlignment="0" applyProtection="0"/>
    <xf numFmtId="0" fontId="72"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72"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72" fillId="43" borderId="0" applyNumberFormat="0" applyBorder="0" applyAlignment="0" applyProtection="0"/>
    <xf numFmtId="0" fontId="3" fillId="44" borderId="0" applyNumberFormat="0" applyBorder="0" applyAlignment="0" applyProtection="0"/>
    <xf numFmtId="0" fontId="3" fillId="45" borderId="0" applyNumberFormat="0" applyBorder="0" applyAlignment="0" applyProtection="0"/>
    <xf numFmtId="0" fontId="3" fillId="46" borderId="0" applyNumberFormat="0" applyBorder="0" applyAlignment="0" applyProtection="0"/>
    <xf numFmtId="0" fontId="72" fillId="47" borderId="0" applyNumberFormat="0" applyBorder="0" applyAlignment="0" applyProtection="0"/>
    <xf numFmtId="0" fontId="3" fillId="48" borderId="0" applyNumberFormat="0" applyBorder="0" applyAlignment="0" applyProtection="0"/>
    <xf numFmtId="0" fontId="3" fillId="49" borderId="0" applyNumberFormat="0" applyBorder="0" applyAlignment="0" applyProtection="0"/>
    <xf numFmtId="0" fontId="3" fillId="50" borderId="0" applyNumberFormat="0" applyBorder="0" applyAlignment="0" applyProtection="0"/>
    <xf numFmtId="0" fontId="72" fillId="51" borderId="0" applyNumberFormat="0" applyBorder="0" applyAlignment="0" applyProtection="0"/>
    <xf numFmtId="0" fontId="3"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72" fillId="55" borderId="0" applyNumberFormat="0" applyBorder="0" applyAlignment="0" applyProtection="0"/>
    <xf numFmtId="0" fontId="3" fillId="56"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43" fontId="3" fillId="0" borderId="0" applyFont="0" applyFill="0" applyBorder="0" applyAlignment="0" applyProtection="0"/>
    <xf numFmtId="4" fontId="19" fillId="0" borderId="0"/>
    <xf numFmtId="0" fontId="19" fillId="0" borderId="76"/>
    <xf numFmtId="9" fontId="19" fillId="0" borderId="0" applyFont="0" applyFill="0" applyBorder="0" applyAlignment="0" applyProtection="0"/>
    <xf numFmtId="0" fontId="25" fillId="0" borderId="0" applyNumberFormat="0">
      <alignment horizontal="right"/>
    </xf>
    <xf numFmtId="0" fontId="19" fillId="0" borderId="1"/>
  </cellStyleXfs>
  <cellXfs count="1322">
    <xf numFmtId="0" fontId="0" fillId="0" borderId="0" xfId="0"/>
    <xf numFmtId="164" fontId="0" fillId="0" borderId="0" xfId="0" applyNumberFormat="1"/>
    <xf numFmtId="0" fontId="0" fillId="0" borderId="3" xfId="0" applyBorder="1"/>
    <xf numFmtId="0" fontId="0" fillId="0" borderId="4" xfId="0" applyBorder="1"/>
    <xf numFmtId="0" fontId="0" fillId="0" borderId="5" xfId="0" applyBorder="1"/>
    <xf numFmtId="0" fontId="0" fillId="0" borderId="6" xfId="0" applyBorder="1" applyAlignment="1">
      <alignment horizontal="center" vertical="center"/>
    </xf>
    <xf numFmtId="0" fontId="0" fillId="0" borderId="2" xfId="0" applyBorder="1" applyAlignment="1">
      <alignment horizontal="center" vertical="center"/>
    </xf>
    <xf numFmtId="164" fontId="0" fillId="0" borderId="2" xfId="0" applyNumberFormat="1" applyBorder="1" applyAlignment="1">
      <alignment horizontal="center" vertical="center"/>
    </xf>
    <xf numFmtId="0" fontId="0" fillId="0" borderId="8" xfId="0" applyBorder="1" applyAlignment="1">
      <alignment horizontal="center" vertical="center"/>
    </xf>
    <xf numFmtId="164" fontId="0" fillId="0" borderId="9"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2" fillId="0" borderId="0" xfId="0" applyFont="1"/>
    <xf numFmtId="0" fontId="0" fillId="0" borderId="0" xfId="0" applyFill="1" applyBorder="1" applyAlignment="1">
      <alignment horizontal="center" vertical="center" wrapText="1"/>
    </xf>
    <xf numFmtId="0" fontId="1" fillId="2" borderId="0" xfId="0" applyFont="1" applyFill="1" applyBorder="1" applyAlignment="1">
      <alignment horizontal="left" vertical="center"/>
    </xf>
    <xf numFmtId="2" fontId="1" fillId="2" borderId="0" xfId="0" applyNumberFormat="1" applyFont="1" applyFill="1"/>
    <xf numFmtId="2" fontId="1" fillId="3" borderId="0" xfId="0" applyNumberFormat="1" applyFont="1" applyFill="1"/>
    <xf numFmtId="0" fontId="1" fillId="0" borderId="0" xfId="0" applyFont="1"/>
    <xf numFmtId="0" fontId="6" fillId="0" borderId="0" xfId="0" applyFont="1"/>
    <xf numFmtId="0" fontId="0" fillId="0" borderId="2" xfId="0" applyBorder="1"/>
    <xf numFmtId="0" fontId="0" fillId="4" borderId="2" xfId="0" applyFill="1" applyBorder="1"/>
    <xf numFmtId="0" fontId="0" fillId="0" borderId="0" xfId="0" applyAlignment="1">
      <alignment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xf>
    <xf numFmtId="164" fontId="1" fillId="0" borderId="17" xfId="0" applyNumberFormat="1" applyFont="1" applyBorder="1" applyAlignment="1">
      <alignment horizontal="center" vertical="center"/>
    </xf>
    <xf numFmtId="164" fontId="1" fillId="0" borderId="18" xfId="0" applyNumberFormat="1"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164" fontId="1" fillId="0" borderId="2" xfId="0" applyNumberFormat="1" applyFont="1" applyBorder="1" applyAlignment="1">
      <alignment horizontal="center" vertical="center"/>
    </xf>
    <xf numFmtId="165" fontId="0" fillId="4" borderId="2" xfId="1" applyNumberFormat="1" applyFont="1" applyFill="1" applyBorder="1"/>
    <xf numFmtId="0" fontId="1" fillId="0" borderId="2" xfId="0" applyFont="1" applyBorder="1"/>
    <xf numFmtId="0" fontId="0" fillId="0" borderId="2" xfId="0" applyBorder="1" applyAlignment="1">
      <alignment wrapText="1"/>
    </xf>
    <xf numFmtId="0" fontId="1" fillId="0" borderId="17" xfId="0" applyFont="1" applyBorder="1"/>
    <xf numFmtId="1" fontId="1" fillId="0" borderId="17" xfId="0" applyNumberFormat="1" applyFont="1" applyBorder="1"/>
    <xf numFmtId="0" fontId="0" fillId="0" borderId="6" xfId="0" applyBorder="1"/>
    <xf numFmtId="0" fontId="1" fillId="0" borderId="7" xfId="0" applyFont="1" applyBorder="1"/>
    <xf numFmtId="1" fontId="1" fillId="0" borderId="7" xfId="0" applyNumberFormat="1" applyFont="1" applyBorder="1"/>
    <xf numFmtId="166" fontId="0" fillId="0" borderId="0" xfId="0" applyNumberFormat="1"/>
    <xf numFmtId="0" fontId="0" fillId="3" borderId="14"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xf numFmtId="0" fontId="0" fillId="3" borderId="12" xfId="0" applyFill="1" applyBorder="1" applyAlignment="1">
      <alignment horizontal="center" vertical="center"/>
    </xf>
    <xf numFmtId="0" fontId="1" fillId="3" borderId="2" xfId="0" applyFont="1" applyFill="1" applyBorder="1" applyAlignment="1">
      <alignment horizontal="center" vertical="center"/>
    </xf>
    <xf numFmtId="0" fontId="0" fillId="3" borderId="4" xfId="0" applyFill="1" applyBorder="1"/>
    <xf numFmtId="0" fontId="0" fillId="3" borderId="2" xfId="0" applyFill="1" applyBorder="1" applyAlignment="1">
      <alignment horizontal="center" vertical="center"/>
    </xf>
    <xf numFmtId="164" fontId="0" fillId="3" borderId="2" xfId="0" applyNumberFormat="1" applyFill="1" applyBorder="1" applyAlignment="1">
      <alignment horizontal="center" vertical="center"/>
    </xf>
    <xf numFmtId="164" fontId="1" fillId="3" borderId="2" xfId="0" applyNumberFormat="1" applyFont="1" applyFill="1" applyBorder="1" applyAlignment="1">
      <alignment horizontal="center" vertical="center"/>
    </xf>
    <xf numFmtId="0" fontId="0" fillId="3" borderId="5" xfId="0" applyFill="1" applyBorder="1"/>
    <xf numFmtId="0" fontId="7" fillId="0" borderId="0" xfId="0" applyFont="1"/>
    <xf numFmtId="0" fontId="8" fillId="0" borderId="0" xfId="0" applyFont="1"/>
    <xf numFmtId="0" fontId="6" fillId="0" borderId="1" xfId="0" applyFont="1" applyFill="1" applyBorder="1"/>
    <xf numFmtId="167" fontId="0" fillId="0" borderId="0" xfId="1" applyNumberFormat="1" applyFont="1"/>
    <xf numFmtId="0" fontId="0" fillId="2" borderId="0" xfId="0" applyFill="1" applyBorder="1"/>
    <xf numFmtId="0" fontId="0" fillId="2" borderId="0" xfId="0" applyFill="1"/>
    <xf numFmtId="0" fontId="0" fillId="0" borderId="0" xfId="0" applyFont="1" applyAlignment="1"/>
    <xf numFmtId="0" fontId="0" fillId="0" borderId="0" xfId="0" applyFont="1" applyAlignment="1">
      <alignment horizontal="left"/>
    </xf>
    <xf numFmtId="0" fontId="1" fillId="0" borderId="0" xfId="0" applyFont="1" applyAlignment="1">
      <alignment horizontal="left"/>
    </xf>
    <xf numFmtId="0" fontId="0" fillId="5" borderId="0" xfId="0" applyFill="1"/>
    <xf numFmtId="0" fontId="0" fillId="6" borderId="0" xfId="0" applyFont="1" applyFill="1" applyAlignment="1">
      <alignment horizontal="left"/>
    </xf>
    <xf numFmtId="167" fontId="0" fillId="3" borderId="2" xfId="1" applyNumberFormat="1" applyFont="1" applyFill="1" applyBorder="1" applyAlignment="1">
      <alignment horizontal="center" vertical="center"/>
    </xf>
    <xf numFmtId="167" fontId="0" fillId="3" borderId="21" xfId="1" applyNumberFormat="1" applyFont="1" applyFill="1" applyBorder="1" applyAlignment="1">
      <alignment horizontal="center" vertical="center"/>
    </xf>
    <xf numFmtId="0" fontId="1" fillId="3" borderId="0" xfId="0" applyFont="1" applyFill="1" applyBorder="1"/>
    <xf numFmtId="0" fontId="0" fillId="6" borderId="0" xfId="0" applyFill="1"/>
    <xf numFmtId="0" fontId="8" fillId="6" borderId="0" xfId="0" applyFont="1" applyFill="1"/>
    <xf numFmtId="0" fontId="0" fillId="3" borderId="0" xfId="0" applyFill="1" applyAlignment="1">
      <alignment wrapText="1"/>
    </xf>
    <xf numFmtId="0" fontId="0" fillId="6" borderId="0" xfId="0" applyFill="1" applyBorder="1"/>
    <xf numFmtId="164" fontId="0" fillId="6" borderId="0" xfId="0" applyNumberFormat="1" applyFill="1" applyBorder="1"/>
    <xf numFmtId="0" fontId="0" fillId="0" borderId="0" xfId="0" applyFont="1"/>
    <xf numFmtId="2" fontId="0" fillId="0" borderId="0" xfId="0" applyNumberFormat="1" applyFont="1"/>
    <xf numFmtId="164" fontId="1" fillId="5" borderId="2" xfId="0" applyNumberFormat="1" applyFont="1" applyFill="1" applyBorder="1" applyAlignment="1">
      <alignment horizontal="center" vertical="center"/>
    </xf>
    <xf numFmtId="2" fontId="1" fillId="5" borderId="2" xfId="0" applyNumberFormat="1" applyFont="1" applyFill="1" applyBorder="1" applyAlignment="1">
      <alignment horizontal="center" vertical="center"/>
    </xf>
    <xf numFmtId="2" fontId="0" fillId="3" borderId="2" xfId="0" applyNumberFormat="1" applyFill="1" applyBorder="1" applyAlignment="1">
      <alignment horizontal="center" vertical="center"/>
    </xf>
    <xf numFmtId="0" fontId="0" fillId="5" borderId="4" xfId="0" applyFill="1" applyBorder="1"/>
    <xf numFmtId="2" fontId="0" fillId="0" borderId="2" xfId="0" applyNumberFormat="1" applyBorder="1"/>
    <xf numFmtId="0" fontId="0" fillId="0" borderId="2" xfId="0" applyBorder="1" applyAlignment="1">
      <alignment horizontal="center" vertical="center" wrapText="1"/>
    </xf>
    <xf numFmtId="0" fontId="1" fillId="5" borderId="0" xfId="0" applyFont="1" applyFill="1"/>
    <xf numFmtId="164" fontId="0" fillId="0" borderId="2" xfId="0" applyNumberFormat="1" applyBorder="1"/>
    <xf numFmtId="164" fontId="1" fillId="0" borderId="2" xfId="0" applyNumberFormat="1" applyFont="1" applyBorder="1"/>
    <xf numFmtId="3" fontId="11" fillId="0" borderId="0" xfId="0" applyNumberFormat="1" applyFont="1"/>
    <xf numFmtId="167" fontId="0" fillId="0" borderId="2" xfId="1" applyNumberFormat="1" applyFont="1" applyBorder="1"/>
    <xf numFmtId="167" fontId="0" fillId="0" borderId="2" xfId="0" applyNumberFormat="1" applyBorder="1"/>
    <xf numFmtId="0" fontId="0" fillId="0" borderId="24" xfId="0" applyFill="1" applyBorder="1"/>
    <xf numFmtId="2" fontId="0" fillId="0" borderId="0" xfId="0" applyNumberFormat="1"/>
    <xf numFmtId="0" fontId="0" fillId="0" borderId="2" xfId="0" applyBorder="1" applyAlignment="1">
      <alignment horizontal="center"/>
    </xf>
    <xf numFmtId="0" fontId="1" fillId="0" borderId="2" xfId="0" applyFont="1" applyBorder="1" applyAlignment="1">
      <alignment wrapText="1"/>
    </xf>
    <xf numFmtId="2" fontId="0" fillId="5" borderId="0" xfId="0" applyNumberFormat="1" applyFill="1"/>
    <xf numFmtId="168" fontId="0" fillId="5" borderId="0" xfId="0" applyNumberFormat="1" applyFill="1"/>
    <xf numFmtId="0" fontId="8" fillId="6" borderId="0" xfId="2" applyFont="1" applyFill="1"/>
    <xf numFmtId="0" fontId="3" fillId="6" borderId="0" xfId="2" applyFill="1"/>
    <xf numFmtId="0" fontId="3" fillId="0" borderId="0" xfId="2"/>
    <xf numFmtId="0" fontId="12" fillId="0" borderId="0" xfId="2" applyFont="1" applyAlignment="1">
      <alignment wrapText="1"/>
    </xf>
    <xf numFmtId="0" fontId="8" fillId="0" borderId="25" xfId="2" applyFont="1" applyBorder="1" applyAlignment="1">
      <alignment wrapText="1"/>
    </xf>
    <xf numFmtId="0" fontId="1" fillId="0" borderId="19" xfId="2" applyFont="1" applyBorder="1" applyAlignment="1">
      <alignment horizontal="center"/>
    </xf>
    <xf numFmtId="0" fontId="1" fillId="0" borderId="26" xfId="2" applyFont="1" applyBorder="1" applyAlignment="1">
      <alignment horizontal="center"/>
    </xf>
    <xf numFmtId="0" fontId="1" fillId="0" borderId="20" xfId="2" applyFont="1" applyBorder="1" applyAlignment="1">
      <alignment horizontal="center"/>
    </xf>
    <xf numFmtId="0" fontId="1" fillId="0" borderId="19" xfId="2" applyFont="1" applyBorder="1" applyAlignment="1">
      <alignment horizontal="center" wrapText="1"/>
    </xf>
    <xf numFmtId="0" fontId="1" fillId="0" borderId="20" xfId="2" applyFont="1" applyBorder="1" applyAlignment="1">
      <alignment horizontal="center" wrapText="1"/>
    </xf>
    <xf numFmtId="0" fontId="1" fillId="0" borderId="28" xfId="2" applyFont="1" applyBorder="1" applyAlignment="1">
      <alignment horizontal="center" wrapText="1"/>
    </xf>
    <xf numFmtId="0" fontId="1" fillId="0" borderId="16" xfId="2" applyFont="1" applyBorder="1" applyAlignment="1">
      <alignment wrapText="1"/>
    </xf>
    <xf numFmtId="0" fontId="3" fillId="0" borderId="6" xfId="2" applyBorder="1" applyAlignment="1">
      <alignment horizontal="center"/>
    </xf>
    <xf numFmtId="0" fontId="3" fillId="0" borderId="22" xfId="2" applyBorder="1" applyAlignment="1">
      <alignment horizontal="center" vertical="center"/>
    </xf>
    <xf numFmtId="0" fontId="3" fillId="0" borderId="7" xfId="2" applyBorder="1" applyAlignment="1">
      <alignment horizontal="center" vertical="center"/>
    </xf>
    <xf numFmtId="0" fontId="3" fillId="0" borderId="6" xfId="2" applyBorder="1" applyAlignment="1">
      <alignment horizontal="center" vertical="center"/>
    </xf>
    <xf numFmtId="0" fontId="3" fillId="0" borderId="2" xfId="2" applyBorder="1" applyAlignment="1">
      <alignment horizontal="center" vertical="center"/>
    </xf>
    <xf numFmtId="0" fontId="3" fillId="0" borderId="29" xfId="2" applyBorder="1" applyAlignment="1">
      <alignment horizontal="center" vertical="center"/>
    </xf>
    <xf numFmtId="0" fontId="3" fillId="0" borderId="17" xfId="2" applyBorder="1"/>
    <xf numFmtId="167" fontId="3" fillId="0" borderId="6" xfId="4" applyNumberFormat="1" applyFont="1" applyBorder="1" applyAlignment="1">
      <alignment horizontal="center"/>
    </xf>
    <xf numFmtId="167" fontId="3" fillId="0" borderId="2" xfId="4" applyNumberFormat="1" applyFont="1" applyBorder="1" applyAlignment="1">
      <alignment horizontal="center"/>
    </xf>
    <xf numFmtId="167" fontId="3" fillId="0" borderId="7" xfId="4" applyNumberFormat="1" applyFont="1" applyBorder="1" applyAlignment="1">
      <alignment horizontal="center"/>
    </xf>
    <xf numFmtId="0" fontId="3" fillId="0" borderId="6" xfId="2" applyBorder="1"/>
    <xf numFmtId="0" fontId="3" fillId="0" borderId="2" xfId="2" applyBorder="1"/>
    <xf numFmtId="168" fontId="3" fillId="0" borderId="7" xfId="2" applyNumberFormat="1" applyBorder="1"/>
    <xf numFmtId="43" fontId="3" fillId="0" borderId="6" xfId="2" applyNumberFormat="1" applyBorder="1"/>
    <xf numFmtId="43" fontId="3" fillId="0" borderId="2" xfId="2" applyNumberFormat="1" applyBorder="1"/>
    <xf numFmtId="43" fontId="3" fillId="0" borderId="7" xfId="2" applyNumberFormat="1" applyBorder="1"/>
    <xf numFmtId="43" fontId="1" fillId="5" borderId="30" xfId="2" applyNumberFormat="1" applyFont="1" applyFill="1" applyBorder="1"/>
    <xf numFmtId="169" fontId="3" fillId="0" borderId="0" xfId="5" applyNumberFormat="1" applyFont="1"/>
    <xf numFmtId="43" fontId="1" fillId="0" borderId="30" xfId="2" applyNumberFormat="1" applyFont="1" applyBorder="1"/>
    <xf numFmtId="43" fontId="1" fillId="7" borderId="30" xfId="2" applyNumberFormat="1" applyFont="1" applyFill="1" applyBorder="1"/>
    <xf numFmtId="168" fontId="3" fillId="0" borderId="6" xfId="2" applyNumberFormat="1" applyBorder="1" applyAlignment="1">
      <alignment horizontal="right"/>
    </xf>
    <xf numFmtId="168" fontId="3" fillId="0" borderId="2" xfId="2" applyNumberFormat="1" applyBorder="1" applyAlignment="1">
      <alignment horizontal="right"/>
    </xf>
    <xf numFmtId="168" fontId="3" fillId="0" borderId="7" xfId="2" applyNumberFormat="1" applyBorder="1" applyAlignment="1">
      <alignment horizontal="right"/>
    </xf>
    <xf numFmtId="168" fontId="3" fillId="0" borderId="2" xfId="2" applyNumberFormat="1" applyBorder="1"/>
    <xf numFmtId="0" fontId="3" fillId="0" borderId="30" xfId="2" applyBorder="1"/>
    <xf numFmtId="0" fontId="1" fillId="0" borderId="17" xfId="2" applyFont="1" applyBorder="1"/>
    <xf numFmtId="167" fontId="1" fillId="0" borderId="8" xfId="4" applyNumberFormat="1" applyFont="1" applyBorder="1" applyAlignment="1">
      <alignment horizontal="center"/>
    </xf>
    <xf numFmtId="167" fontId="1" fillId="0" borderId="27" xfId="4" applyNumberFormat="1" applyFont="1" applyBorder="1" applyAlignment="1">
      <alignment horizontal="center"/>
    </xf>
    <xf numFmtId="167" fontId="1" fillId="0" borderId="10" xfId="4" applyNumberFormat="1" applyFont="1" applyBorder="1" applyAlignment="1">
      <alignment horizontal="center"/>
    </xf>
    <xf numFmtId="168" fontId="1" fillId="0" borderId="8" xfId="2" applyNumberFormat="1" applyFont="1" applyBorder="1"/>
    <xf numFmtId="168" fontId="1" fillId="0" borderId="9" xfId="2" applyNumberFormat="1" applyFont="1" applyBorder="1"/>
    <xf numFmtId="168" fontId="1" fillId="0" borderId="10" xfId="2" applyNumberFormat="1" applyFont="1" applyBorder="1"/>
    <xf numFmtId="43" fontId="1" fillId="5" borderId="25" xfId="2" applyNumberFormat="1" applyFont="1" applyFill="1" applyBorder="1"/>
    <xf numFmtId="9" fontId="3" fillId="0" borderId="0" xfId="5" applyFont="1"/>
    <xf numFmtId="0" fontId="6" fillId="0" borderId="24" xfId="2" applyFont="1" applyBorder="1"/>
    <xf numFmtId="167" fontId="3" fillId="0" borderId="0" xfId="2" applyNumberFormat="1"/>
    <xf numFmtId="0" fontId="1" fillId="0" borderId="0" xfId="2" applyFont="1"/>
    <xf numFmtId="0" fontId="3" fillId="0" borderId="2" xfId="2" applyBorder="1" applyAlignment="1">
      <alignment horizontal="center" wrapText="1"/>
    </xf>
    <xf numFmtId="43" fontId="0" fillId="5" borderId="2" xfId="4" applyFont="1" applyFill="1" applyBorder="1"/>
    <xf numFmtId="43" fontId="0" fillId="7" borderId="0" xfId="4" applyFont="1" applyFill="1"/>
    <xf numFmtId="43" fontId="0" fillId="0" borderId="2" xfId="4" applyFont="1" applyBorder="1"/>
    <xf numFmtId="43" fontId="0" fillId="0" borderId="0" xfId="4" applyFont="1"/>
    <xf numFmtId="43" fontId="0" fillId="0" borderId="2" xfId="4" applyFont="1" applyBorder="1" applyAlignment="1">
      <alignment wrapText="1"/>
    </xf>
    <xf numFmtId="43" fontId="0" fillId="2" borderId="2" xfId="4" applyFont="1" applyFill="1" applyBorder="1"/>
    <xf numFmtId="43" fontId="0" fillId="5" borderId="2" xfId="4" applyFont="1" applyFill="1" applyBorder="1" applyAlignment="1">
      <alignment wrapText="1"/>
    </xf>
    <xf numFmtId="43" fontId="0" fillId="7" borderId="2" xfId="4" applyFont="1" applyFill="1" applyBorder="1"/>
    <xf numFmtId="0" fontId="2" fillId="0" borderId="0" xfId="2" applyFont="1"/>
    <xf numFmtId="0" fontId="0" fillId="0" borderId="2" xfId="0" applyBorder="1" applyAlignment="1">
      <alignment horizontal="center" wrapText="1"/>
    </xf>
    <xf numFmtId="3" fontId="0" fillId="0" borderId="2" xfId="0" applyNumberFormat="1" applyBorder="1"/>
    <xf numFmtId="0" fontId="1" fillId="0" borderId="19" xfId="0" applyFont="1" applyBorder="1" applyAlignment="1">
      <alignment horizontal="center" vertical="center"/>
    </xf>
    <xf numFmtId="0" fontId="1" fillId="0" borderId="26" xfId="0" applyFont="1" applyBorder="1" applyAlignment="1">
      <alignment horizontal="center" vertical="center"/>
    </xf>
    <xf numFmtId="0" fontId="1" fillId="0" borderId="26" xfId="0" applyFont="1" applyBorder="1" applyAlignment="1">
      <alignment horizontal="center" vertical="center" wrapText="1"/>
    </xf>
    <xf numFmtId="0" fontId="0" fillId="0" borderId="0" xfId="0" applyFill="1" applyBorder="1" applyAlignment="1">
      <alignment horizontal="center" vertical="center"/>
    </xf>
    <xf numFmtId="0" fontId="1" fillId="0" borderId="34" xfId="0" applyFont="1" applyBorder="1" applyAlignment="1">
      <alignment horizontal="center" vertical="center" wrapText="1"/>
    </xf>
    <xf numFmtId="0" fontId="0" fillId="0" borderId="17" xfId="0" applyBorder="1"/>
    <xf numFmtId="0" fontId="0" fillId="0" borderId="2" xfId="0" applyFill="1" applyBorder="1" applyAlignment="1">
      <alignment horizontal="center" vertical="center"/>
    </xf>
    <xf numFmtId="170" fontId="0" fillId="0" borderId="2" xfId="0" applyNumberFormat="1" applyBorder="1"/>
    <xf numFmtId="0" fontId="0" fillId="0" borderId="0" xfId="0" applyAlignment="1">
      <alignment horizontal="center" vertical="center"/>
    </xf>
    <xf numFmtId="0" fontId="1" fillId="0" borderId="2" xfId="0" applyFont="1" applyFill="1" applyBorder="1" applyAlignment="1">
      <alignment horizontal="center" vertical="center" wrapText="1"/>
    </xf>
    <xf numFmtId="0" fontId="14" fillId="0" borderId="0" xfId="0" applyFont="1"/>
    <xf numFmtId="0" fontId="8" fillId="0" borderId="8" xfId="0" applyFont="1" applyBorder="1"/>
    <xf numFmtId="3" fontId="8" fillId="0" borderId="9" xfId="0" applyNumberFormat="1" applyFont="1" applyBorder="1"/>
    <xf numFmtId="3" fontId="8" fillId="0" borderId="18" xfId="0" applyNumberFormat="1" applyFont="1" applyBorder="1"/>
    <xf numFmtId="164" fontId="8" fillId="0" borderId="2" xfId="0" applyNumberFormat="1" applyFont="1" applyBorder="1"/>
    <xf numFmtId="164" fontId="14" fillId="0" borderId="0" xfId="0" applyNumberFormat="1" applyFont="1"/>
    <xf numFmtId="164" fontId="0" fillId="2" borderId="2" xfId="0" applyNumberFormat="1" applyFill="1" applyBorder="1"/>
    <xf numFmtId="0" fontId="15" fillId="0" borderId="0" xfId="0" applyFont="1"/>
    <xf numFmtId="0" fontId="0" fillId="0" borderId="0" xfId="0" applyAlignment="1"/>
    <xf numFmtId="0" fontId="1" fillId="0" borderId="0" xfId="0" applyFont="1" applyFill="1" applyBorder="1" applyAlignment="1">
      <alignment horizontal="center" vertical="center" wrapText="1"/>
    </xf>
    <xf numFmtId="0" fontId="0" fillId="0" borderId="0" xfId="0" applyBorder="1" applyAlignment="1">
      <alignment horizontal="center" vertical="center"/>
    </xf>
    <xf numFmtId="164" fontId="0" fillId="0" borderId="0" xfId="0" applyNumberFormat="1" applyBorder="1"/>
    <xf numFmtId="164" fontId="8" fillId="0" borderId="0" xfId="0" applyNumberFormat="1" applyFont="1" applyBorder="1"/>
    <xf numFmtId="165" fontId="0" fillId="0" borderId="2" xfId="1" applyNumberFormat="1" applyFont="1" applyBorder="1"/>
    <xf numFmtId="165" fontId="8" fillId="0" borderId="9" xfId="1" applyNumberFormat="1" applyFont="1" applyBorder="1"/>
    <xf numFmtId="0" fontId="17" fillId="0" borderId="0" xfId="0" applyFont="1"/>
    <xf numFmtId="165" fontId="0" fillId="0" borderId="2" xfId="0" applyNumberFormat="1" applyBorder="1"/>
    <xf numFmtId="173" fontId="0" fillId="0" borderId="0" xfId="0" applyNumberFormat="1"/>
    <xf numFmtId="173" fontId="0" fillId="0" borderId="2" xfId="0" applyNumberFormat="1" applyBorder="1"/>
    <xf numFmtId="0" fontId="9" fillId="0" borderId="6" xfId="0" applyFont="1" applyBorder="1" applyAlignment="1">
      <alignment wrapText="1"/>
    </xf>
    <xf numFmtId="3" fontId="0" fillId="0" borderId="0" xfId="0" applyNumberFormat="1"/>
    <xf numFmtId="165" fontId="0" fillId="0" borderId="0" xfId="0" applyNumberFormat="1"/>
    <xf numFmtId="167" fontId="0" fillId="7" borderId="2" xfId="1" applyNumberFormat="1" applyFont="1" applyFill="1" applyBorder="1" applyAlignment="1">
      <alignment horizontal="right"/>
    </xf>
    <xf numFmtId="0" fontId="0" fillId="7" borderId="0" xfId="0" applyFill="1"/>
    <xf numFmtId="165" fontId="0" fillId="7" borderId="0" xfId="0" applyNumberFormat="1" applyFill="1"/>
    <xf numFmtId="0" fontId="1" fillId="7" borderId="26" xfId="0" applyFont="1" applyFill="1" applyBorder="1" applyAlignment="1">
      <alignment horizontal="center" vertical="center" wrapText="1"/>
    </xf>
    <xf numFmtId="0" fontId="0" fillId="7" borderId="2" xfId="0" applyFill="1" applyBorder="1" applyAlignment="1">
      <alignment horizontal="center" vertical="center" wrapText="1"/>
    </xf>
    <xf numFmtId="0" fontId="16" fillId="0" borderId="0" xfId="0" applyFont="1" applyAlignment="1">
      <alignment wrapText="1"/>
    </xf>
    <xf numFmtId="0" fontId="17" fillId="7" borderId="0" xfId="0" applyFont="1" applyFill="1"/>
    <xf numFmtId="167" fontId="8" fillId="7" borderId="9" xfId="1" applyNumberFormat="1" applyFont="1" applyFill="1" applyBorder="1" applyAlignment="1">
      <alignment horizontal="right"/>
    </xf>
    <xf numFmtId="167" fontId="1" fillId="0" borderId="2" xfId="1" applyNumberFormat="1" applyFont="1" applyBorder="1"/>
    <xf numFmtId="164" fontId="0" fillId="7" borderId="2" xfId="0" applyNumberFormat="1" applyFill="1" applyBorder="1"/>
    <xf numFmtId="0" fontId="0" fillId="0" borderId="0" xfId="0" applyFont="1" applyAlignment="1">
      <alignment wrapText="1"/>
    </xf>
    <xf numFmtId="0" fontId="0" fillId="0" borderId="0" xfId="0" applyFont="1" applyAlignment="1"/>
    <xf numFmtId="0" fontId="1" fillId="0" borderId="0" xfId="0" applyFont="1" applyAlignment="1">
      <alignment wrapText="1"/>
    </xf>
    <xf numFmtId="0" fontId="0" fillId="6" borderId="2" xfId="0" applyFill="1" applyBorder="1"/>
    <xf numFmtId="0" fontId="18" fillId="9" borderId="0" xfId="7" applyFill="1" applyAlignment="1"/>
    <xf numFmtId="0" fontId="20" fillId="9" borderId="0" xfId="8" applyFont="1" applyFill="1"/>
    <xf numFmtId="0" fontId="20" fillId="0" borderId="0" xfId="8" applyFont="1"/>
    <xf numFmtId="0" fontId="22" fillId="9" borderId="0" xfId="7" applyFont="1" applyFill="1" applyAlignment="1"/>
    <xf numFmtId="0" fontId="22" fillId="10" borderId="2" xfId="9" applyFont="1" applyFill="1" applyBorder="1" applyAlignment="1">
      <alignment horizontal="center" vertical="center" wrapText="1"/>
    </xf>
    <xf numFmtId="0" fontId="22" fillId="10" borderId="35" xfId="9" applyFont="1" applyFill="1" applyBorder="1" applyAlignment="1">
      <alignment horizontal="center" vertical="center" wrapText="1"/>
    </xf>
    <xf numFmtId="0" fontId="20" fillId="10" borderId="12" xfId="8" applyFont="1" applyFill="1" applyBorder="1" applyAlignment="1">
      <alignment horizontal="right"/>
    </xf>
    <xf numFmtId="0" fontId="20" fillId="11" borderId="12" xfId="10" applyFont="1" applyFill="1" applyBorder="1">
      <alignment horizontal="right" vertical="center"/>
    </xf>
    <xf numFmtId="0" fontId="20" fillId="8" borderId="2" xfId="0" applyFont="1" applyFill="1" applyBorder="1" applyAlignment="1">
      <alignment horizontal="left"/>
    </xf>
    <xf numFmtId="2" fontId="20" fillId="12" borderId="2" xfId="0" applyNumberFormat="1" applyFont="1" applyFill="1" applyBorder="1" applyAlignment="1">
      <alignment horizontal="right"/>
    </xf>
    <xf numFmtId="0" fontId="26" fillId="6" borderId="0" xfId="8" applyFont="1" applyFill="1"/>
    <xf numFmtId="0" fontId="20" fillId="9" borderId="0" xfId="7" applyFont="1" applyFill="1" applyAlignment="1">
      <alignment horizontal="left" vertical="top" wrapText="1"/>
    </xf>
    <xf numFmtId="0" fontId="27" fillId="9" borderId="0" xfId="12" applyFont="1" applyFill="1"/>
    <xf numFmtId="0" fontId="22" fillId="9" borderId="0" xfId="12" applyFont="1" applyFill="1"/>
    <xf numFmtId="0" fontId="20" fillId="10" borderId="2" xfId="11" applyFont="1" applyBorder="1">
      <alignment horizontal="left" vertical="center"/>
    </xf>
    <xf numFmtId="0" fontId="20" fillId="12" borderId="2" xfId="0" applyFont="1" applyFill="1" applyBorder="1" applyAlignment="1">
      <alignment horizontal="left" indent="2"/>
    </xf>
    <xf numFmtId="0" fontId="20" fillId="9" borderId="2" xfId="8" applyFont="1" applyFill="1" applyBorder="1" applyAlignment="1">
      <alignment horizontal="left" vertical="center"/>
    </xf>
    <xf numFmtId="2" fontId="20" fillId="13" borderId="2" xfId="0" applyNumberFormat="1" applyFont="1" applyFill="1" applyBorder="1" applyAlignment="1">
      <alignment horizontal="right"/>
    </xf>
    <xf numFmtId="2" fontId="20" fillId="8" borderId="2" xfId="0" applyNumberFormat="1" applyFont="1" applyFill="1" applyBorder="1" applyAlignment="1">
      <alignment horizontal="right"/>
    </xf>
    <xf numFmtId="4" fontId="22" fillId="14" borderId="2" xfId="14" applyFont="1" applyFill="1" applyBorder="1" applyAlignment="1">
      <alignment horizontal="center" vertical="center" wrapText="1"/>
    </xf>
    <xf numFmtId="4" fontId="22" fillId="14" borderId="17" xfId="14" applyFont="1" applyFill="1" applyBorder="1" applyAlignment="1">
      <alignment horizontal="center" vertical="center" wrapText="1"/>
    </xf>
    <xf numFmtId="4" fontId="22" fillId="14" borderId="38" xfId="14" applyFont="1" applyFill="1" applyBorder="1" applyAlignment="1">
      <alignment horizontal="center" vertical="center" wrapText="1"/>
    </xf>
    <xf numFmtId="4" fontId="22" fillId="14" borderId="2" xfId="14" applyFont="1" applyFill="1" applyBorder="1" applyAlignment="1">
      <alignment horizontal="left" vertical="center" wrapText="1"/>
    </xf>
    <xf numFmtId="0" fontId="32" fillId="12" borderId="2" xfId="0" applyFont="1" applyFill="1" applyBorder="1" applyAlignment="1"/>
    <xf numFmtId="2" fontId="20" fillId="5" borderId="2" xfId="0" applyNumberFormat="1" applyFont="1" applyFill="1" applyBorder="1" applyAlignment="1">
      <alignment horizontal="right"/>
    </xf>
    <xf numFmtId="4" fontId="22" fillId="14" borderId="2" xfId="14" applyFont="1" applyFill="1" applyBorder="1" applyAlignment="1">
      <alignment horizontal="center" vertical="center"/>
    </xf>
    <xf numFmtId="4" fontId="22" fillId="14" borderId="2" xfId="15" applyFont="1" applyFill="1" applyBorder="1" applyAlignment="1">
      <alignment horizontal="center" vertical="center" wrapText="1"/>
    </xf>
    <xf numFmtId="0" fontId="22" fillId="14" borderId="2" xfId="14" applyNumberFormat="1" applyFont="1" applyFill="1" applyBorder="1" applyAlignment="1">
      <alignment horizontal="center" vertical="center" wrapText="1"/>
    </xf>
    <xf numFmtId="0" fontId="1" fillId="15" borderId="0" xfId="0" applyFont="1" applyFill="1"/>
    <xf numFmtId="0" fontId="33" fillId="6" borderId="2" xfId="13" applyFont="1" applyFill="1" applyBorder="1" applyAlignment="1">
      <alignment horizontal="left" vertical="top" wrapText="1"/>
    </xf>
    <xf numFmtId="167" fontId="3" fillId="6" borderId="6" xfId="4" applyNumberFormat="1" applyFont="1" applyFill="1" applyBorder="1" applyAlignment="1">
      <alignment horizontal="center"/>
    </xf>
    <xf numFmtId="167" fontId="3" fillId="6" borderId="2" xfId="4" applyNumberFormat="1" applyFont="1" applyFill="1" applyBorder="1" applyAlignment="1">
      <alignment horizontal="center"/>
    </xf>
    <xf numFmtId="167" fontId="3" fillId="6" borderId="7" xfId="4" applyNumberFormat="1" applyFont="1" applyFill="1" applyBorder="1" applyAlignment="1">
      <alignment horizontal="center"/>
    </xf>
    <xf numFmtId="0" fontId="3" fillId="6" borderId="6" xfId="2" applyFill="1" applyBorder="1"/>
    <xf numFmtId="0" fontId="3" fillId="6" borderId="2" xfId="2" applyFill="1" applyBorder="1"/>
    <xf numFmtId="2" fontId="33" fillId="6" borderId="2" xfId="3" applyNumberFormat="1" applyFont="1" applyFill="1" applyBorder="1" applyAlignment="1">
      <alignment horizontal="right"/>
    </xf>
    <xf numFmtId="43" fontId="3" fillId="6" borderId="6" xfId="2" applyNumberFormat="1" applyFill="1" applyBorder="1"/>
    <xf numFmtId="43" fontId="3" fillId="6" borderId="2" xfId="2" applyNumberFormat="1" applyFill="1" applyBorder="1"/>
    <xf numFmtId="170" fontId="3" fillId="6" borderId="7" xfId="2" applyNumberFormat="1" applyFill="1" applyBorder="1"/>
    <xf numFmtId="171" fontId="1" fillId="6" borderId="30" xfId="2" applyNumberFormat="1" applyFont="1" applyFill="1" applyBorder="1"/>
    <xf numFmtId="0" fontId="33" fillId="6" borderId="17" xfId="13" applyFont="1" applyFill="1" applyBorder="1" applyAlignment="1">
      <alignment horizontal="left" vertical="top" wrapText="1"/>
    </xf>
    <xf numFmtId="2" fontId="3" fillId="6" borderId="7" xfId="2" applyNumberFormat="1" applyFill="1" applyBorder="1" applyAlignment="1">
      <alignment horizontal="right"/>
    </xf>
    <xf numFmtId="168" fontId="3" fillId="6" borderId="6" xfId="2" applyNumberFormat="1" applyFill="1" applyBorder="1" applyAlignment="1">
      <alignment horizontal="right"/>
    </xf>
    <xf numFmtId="168" fontId="3" fillId="6" borderId="2" xfId="2" applyNumberFormat="1" applyFill="1" applyBorder="1" applyAlignment="1">
      <alignment horizontal="right"/>
    </xf>
    <xf numFmtId="168" fontId="3" fillId="6" borderId="7" xfId="2" applyNumberFormat="1" applyFill="1" applyBorder="1" applyAlignment="1">
      <alignment horizontal="right"/>
    </xf>
    <xf numFmtId="168" fontId="3" fillId="6" borderId="2" xfId="2" applyNumberFormat="1" applyFill="1" applyBorder="1"/>
    <xf numFmtId="170" fontId="3" fillId="6" borderId="7" xfId="16" applyNumberFormat="1" applyFont="1" applyFill="1" applyBorder="1"/>
    <xf numFmtId="171" fontId="3" fillId="6" borderId="30" xfId="2" applyNumberFormat="1" applyFill="1" applyBorder="1"/>
    <xf numFmtId="167" fontId="1" fillId="0" borderId="39" xfId="4" applyNumberFormat="1" applyFont="1" applyBorder="1" applyAlignment="1">
      <alignment horizontal="center"/>
    </xf>
    <xf numFmtId="170" fontId="1" fillId="0" borderId="10" xfId="2" applyNumberFormat="1" applyFont="1" applyBorder="1"/>
    <xf numFmtId="171" fontId="1" fillId="6" borderId="25" xfId="2" applyNumberFormat="1" applyFont="1" applyFill="1" applyBorder="1"/>
    <xf numFmtId="0" fontId="1" fillId="0" borderId="2" xfId="2" applyFont="1" applyBorder="1"/>
    <xf numFmtId="167" fontId="1" fillId="0" borderId="0" xfId="4" applyNumberFormat="1" applyFont="1" applyBorder="1" applyAlignment="1">
      <alignment horizontal="center"/>
    </xf>
    <xf numFmtId="167" fontId="1" fillId="0" borderId="2" xfId="4" applyNumberFormat="1" applyFont="1" applyBorder="1" applyAlignment="1">
      <alignment horizontal="center"/>
    </xf>
    <xf numFmtId="168" fontId="1" fillId="0" borderId="0" xfId="2" applyNumberFormat="1" applyFont="1"/>
    <xf numFmtId="170" fontId="1" fillId="0" borderId="0" xfId="2" applyNumberFormat="1" applyFont="1"/>
    <xf numFmtId="171" fontId="1" fillId="6" borderId="0" xfId="2" applyNumberFormat="1" applyFont="1" applyFill="1"/>
    <xf numFmtId="0" fontId="7" fillId="0" borderId="0" xfId="2" applyFont="1"/>
    <xf numFmtId="171" fontId="0" fillId="5" borderId="2" xfId="4" applyNumberFormat="1" applyFont="1" applyFill="1" applyBorder="1"/>
    <xf numFmtId="171" fontId="0" fillId="7" borderId="0" xfId="4" applyNumberFormat="1" applyFont="1" applyFill="1"/>
    <xf numFmtId="171" fontId="0" fillId="0" borderId="2" xfId="4" applyNumberFormat="1" applyFont="1" applyBorder="1"/>
    <xf numFmtId="171" fontId="0" fillId="0" borderId="0" xfId="4" applyNumberFormat="1" applyFont="1"/>
    <xf numFmtId="171" fontId="0" fillId="0" borderId="2" xfId="4" applyNumberFormat="1" applyFont="1" applyBorder="1" applyAlignment="1">
      <alignment wrapText="1"/>
    </xf>
    <xf numFmtId="171" fontId="0" fillId="2" borderId="2" xfId="4" applyNumberFormat="1" applyFont="1" applyFill="1" applyBorder="1"/>
    <xf numFmtId="171" fontId="0" fillId="5" borderId="2" xfId="4" applyNumberFormat="1" applyFont="1" applyFill="1" applyBorder="1" applyAlignment="1">
      <alignment wrapText="1"/>
    </xf>
    <xf numFmtId="171" fontId="0" fillId="7" borderId="2" xfId="4" applyNumberFormat="1" applyFont="1" applyFill="1" applyBorder="1"/>
    <xf numFmtId="2" fontId="20" fillId="8" borderId="17" xfId="0" applyNumberFormat="1" applyFont="1" applyFill="1" applyBorder="1" applyAlignment="1">
      <alignment horizontal="right"/>
    </xf>
    <xf numFmtId="2" fontId="31" fillId="8" borderId="2" xfId="0" applyNumberFormat="1" applyFont="1" applyFill="1" applyBorder="1" applyAlignment="1">
      <alignment horizontal="right"/>
    </xf>
    <xf numFmtId="2" fontId="31" fillId="15" borderId="2" xfId="0" applyNumberFormat="1" applyFont="1" applyFill="1" applyBorder="1" applyAlignment="1">
      <alignment horizontal="right"/>
    </xf>
    <xf numFmtId="2" fontId="0" fillId="15" borderId="0" xfId="0" applyNumberFormat="1" applyFill="1"/>
    <xf numFmtId="168" fontId="1" fillId="5" borderId="0" xfId="0" applyNumberFormat="1" applyFont="1" applyFill="1"/>
    <xf numFmtId="0" fontId="0" fillId="0" borderId="2" xfId="0" applyFont="1" applyBorder="1" applyAlignment="1">
      <alignment horizontal="left"/>
    </xf>
    <xf numFmtId="0" fontId="0" fillId="6" borderId="2" xfId="0" applyFont="1" applyFill="1" applyBorder="1" applyAlignment="1">
      <alignment horizontal="left"/>
    </xf>
    <xf numFmtId="0" fontId="0" fillId="0" borderId="2" xfId="0" applyFont="1" applyBorder="1" applyAlignment="1"/>
    <xf numFmtId="0" fontId="0" fillId="0" borderId="2" xfId="0" applyFont="1" applyBorder="1" applyAlignment="1">
      <alignment horizontal="center"/>
    </xf>
    <xf numFmtId="167" fontId="0" fillId="6" borderId="2" xfId="1" applyNumberFormat="1" applyFont="1" applyFill="1" applyBorder="1" applyAlignment="1">
      <alignment horizontal="left"/>
    </xf>
    <xf numFmtId="0" fontId="0" fillId="6" borderId="2" xfId="0" applyFont="1" applyFill="1" applyBorder="1" applyAlignment="1">
      <alignment horizontal="center"/>
    </xf>
    <xf numFmtId="167" fontId="0" fillId="0" borderId="2" xfId="0" applyNumberFormat="1" applyFont="1" applyBorder="1" applyAlignment="1"/>
    <xf numFmtId="0" fontId="1" fillId="0" borderId="2" xfId="0" applyFont="1" applyBorder="1" applyAlignment="1">
      <alignment horizontal="center"/>
    </xf>
    <xf numFmtId="0" fontId="1" fillId="0" borderId="0" xfId="0" applyFont="1" applyAlignment="1"/>
    <xf numFmtId="0" fontId="0" fillId="0" borderId="2" xfId="0" applyFont="1" applyFill="1" applyBorder="1" applyAlignment="1">
      <alignment horizontal="center"/>
    </xf>
    <xf numFmtId="0" fontId="1" fillId="0" borderId="2" xfId="0" applyFont="1" applyBorder="1" applyAlignment="1"/>
    <xf numFmtId="0" fontId="0" fillId="0" borderId="2" xfId="0" applyFont="1" applyBorder="1" applyAlignment="1">
      <alignment horizontal="center" vertical="center"/>
    </xf>
    <xf numFmtId="0" fontId="0" fillId="0" borderId="2" xfId="0" applyFont="1" applyFill="1" applyBorder="1" applyAlignment="1">
      <alignment horizontal="center" vertical="center"/>
    </xf>
    <xf numFmtId="43" fontId="0" fillId="0" borderId="2" xfId="0" applyNumberFormat="1" applyFont="1" applyBorder="1" applyAlignment="1">
      <alignment horizontal="center" vertical="center"/>
    </xf>
    <xf numFmtId="174" fontId="0" fillId="0" borderId="2" xfId="0" applyNumberFormat="1" applyFont="1" applyBorder="1" applyAlignment="1">
      <alignment horizontal="center" vertical="center"/>
    </xf>
    <xf numFmtId="174" fontId="0" fillId="0" borderId="2" xfId="0" applyNumberFormat="1" applyFont="1" applyBorder="1" applyAlignment="1"/>
    <xf numFmtId="166" fontId="0" fillId="0" borderId="2" xfId="0" applyNumberFormat="1" applyFont="1" applyBorder="1" applyAlignment="1">
      <alignment horizontal="center"/>
    </xf>
    <xf numFmtId="0" fontId="1" fillId="2" borderId="2" xfId="0" applyFont="1" applyFill="1" applyBorder="1" applyAlignment="1">
      <alignment horizontal="center"/>
    </xf>
    <xf numFmtId="0" fontId="0" fillId="2" borderId="2" xfId="0" applyFont="1" applyFill="1" applyBorder="1" applyAlignment="1">
      <alignment horizontal="left"/>
    </xf>
    <xf numFmtId="0" fontId="1" fillId="5" borderId="2" xfId="0" applyFont="1" applyFill="1" applyBorder="1" applyAlignment="1">
      <alignment horizontal="center"/>
    </xf>
    <xf numFmtId="0" fontId="0" fillId="5" borderId="2" xfId="0" applyFont="1" applyFill="1" applyBorder="1" applyAlignment="1"/>
    <xf numFmtId="0" fontId="1" fillId="0" borderId="2" xfId="0" applyFont="1" applyBorder="1" applyAlignment="1">
      <alignment horizontal="left"/>
    </xf>
    <xf numFmtId="167" fontId="0" fillId="0" borderId="0" xfId="0" applyNumberFormat="1"/>
    <xf numFmtId="0" fontId="1" fillId="6" borderId="0" xfId="0" applyFont="1" applyFill="1" applyBorder="1" applyAlignment="1">
      <alignment horizontal="left"/>
    </xf>
    <xf numFmtId="0" fontId="0" fillId="6" borderId="0" xfId="0" applyFont="1" applyFill="1" applyBorder="1" applyAlignment="1"/>
    <xf numFmtId="167" fontId="1" fillId="0" borderId="2" xfId="0" applyNumberFormat="1" applyFont="1" applyBorder="1" applyAlignment="1"/>
    <xf numFmtId="0" fontId="0" fillId="6" borderId="2" xfId="0" applyFont="1" applyFill="1" applyBorder="1"/>
    <xf numFmtId="2" fontId="33" fillId="6" borderId="2" xfId="0" applyNumberFormat="1" applyFont="1" applyFill="1" applyBorder="1" applyAlignment="1">
      <alignment horizontal="left"/>
    </xf>
    <xf numFmtId="167" fontId="33" fillId="6" borderId="2" xfId="1" applyNumberFormat="1" applyFont="1" applyFill="1" applyBorder="1" applyAlignment="1">
      <alignment horizontal="right"/>
    </xf>
    <xf numFmtId="167" fontId="0" fillId="6" borderId="2" xfId="1" applyNumberFormat="1" applyFont="1" applyFill="1" applyBorder="1"/>
    <xf numFmtId="0" fontId="0" fillId="6" borderId="2" xfId="0" applyFont="1" applyFill="1" applyBorder="1" applyAlignment="1">
      <alignment horizontal="center" wrapText="1"/>
    </xf>
    <xf numFmtId="0" fontId="0" fillId="6" borderId="2" xfId="0" applyFont="1" applyFill="1" applyBorder="1" applyAlignment="1">
      <alignment horizontal="center" vertical="center" wrapText="1"/>
    </xf>
    <xf numFmtId="0" fontId="0" fillId="0" borderId="0" xfId="0" applyBorder="1"/>
    <xf numFmtId="43" fontId="0" fillId="0" borderId="0" xfId="0" applyNumberFormat="1" applyFont="1" applyBorder="1" applyAlignment="1">
      <alignment horizontal="center" vertical="center"/>
    </xf>
    <xf numFmtId="174" fontId="0" fillId="0" borderId="0" xfId="0" applyNumberFormat="1" applyFont="1" applyBorder="1" applyAlignment="1">
      <alignment horizontal="center" vertical="center"/>
    </xf>
    <xf numFmtId="174" fontId="0" fillId="0" borderId="0" xfId="0" applyNumberFormat="1" applyFont="1" applyBorder="1" applyAlignment="1"/>
    <xf numFmtId="167" fontId="0" fillId="0" borderId="0" xfId="0" applyNumberFormat="1" applyFont="1" applyBorder="1" applyAlignment="1"/>
    <xf numFmtId="174" fontId="0" fillId="0" borderId="2" xfId="0" applyNumberFormat="1" applyBorder="1"/>
    <xf numFmtId="0" fontId="0" fillId="5" borderId="0" xfId="0" applyFill="1" applyAlignment="1">
      <alignment wrapText="1" shrinkToFit="1"/>
    </xf>
    <xf numFmtId="167" fontId="0" fillId="5" borderId="2" xfId="1" applyNumberFormat="1" applyFont="1" applyFill="1" applyBorder="1"/>
    <xf numFmtId="164" fontId="0" fillId="5" borderId="0" xfId="0" applyNumberFormat="1" applyFill="1" applyBorder="1"/>
    <xf numFmtId="0" fontId="0" fillId="5" borderId="0" xfId="0" applyFont="1" applyFill="1" applyBorder="1"/>
    <xf numFmtId="0" fontId="0" fillId="5" borderId="0" xfId="0" applyFill="1" applyBorder="1"/>
    <xf numFmtId="0" fontId="35" fillId="0" borderId="0" xfId="17" applyAlignment="1">
      <alignment wrapText="1"/>
    </xf>
    <xf numFmtId="0" fontId="3" fillId="0" borderId="17" xfId="2" applyBorder="1" applyAlignment="1">
      <alignment horizontal="center" wrapText="1"/>
    </xf>
    <xf numFmtId="171" fontId="0" fillId="0" borderId="17" xfId="4" applyNumberFormat="1" applyFont="1" applyBorder="1"/>
    <xf numFmtId="175" fontId="3" fillId="0" borderId="2" xfId="2" applyNumberFormat="1" applyBorder="1"/>
    <xf numFmtId="171" fontId="1" fillId="5" borderId="2" xfId="4" applyNumberFormat="1" applyFont="1" applyFill="1" applyBorder="1" applyAlignment="1">
      <alignment wrapText="1"/>
    </xf>
    <xf numFmtId="171" fontId="1" fillId="0" borderId="2" xfId="4" applyNumberFormat="1" applyFont="1" applyBorder="1"/>
    <xf numFmtId="171" fontId="1" fillId="7" borderId="17" xfId="4" applyNumberFormat="1" applyFont="1" applyFill="1" applyBorder="1"/>
    <xf numFmtId="171" fontId="1" fillId="5" borderId="2" xfId="4" applyNumberFormat="1" applyFont="1" applyFill="1" applyBorder="1"/>
    <xf numFmtId="171" fontId="0" fillId="6" borderId="2" xfId="4" applyNumberFormat="1" applyFont="1" applyFill="1" applyBorder="1"/>
    <xf numFmtId="2" fontId="20" fillId="6" borderId="2" xfId="0" applyNumberFormat="1" applyFont="1" applyFill="1" applyBorder="1" applyAlignment="1">
      <alignment horizontal="right"/>
    </xf>
    <xf numFmtId="167" fontId="36" fillId="6" borderId="2" xfId="4" applyNumberFormat="1" applyFont="1" applyFill="1" applyBorder="1" applyAlignment="1">
      <alignment horizontal="center"/>
    </xf>
    <xf numFmtId="0" fontId="0" fillId="0" borderId="26" xfId="0" applyBorder="1" applyAlignment="1">
      <alignment horizontal="center" vertical="center" wrapText="1"/>
    </xf>
    <xf numFmtId="0" fontId="0" fillId="0" borderId="6" xfId="0" applyBorder="1" applyAlignment="1">
      <alignment wrapText="1"/>
    </xf>
    <xf numFmtId="171" fontId="1" fillId="7" borderId="2" xfId="4" applyNumberFormat="1" applyFont="1" applyFill="1" applyBorder="1"/>
    <xf numFmtId="175" fontId="1" fillId="5" borderId="2" xfId="2" applyNumberFormat="1" applyFont="1" applyFill="1" applyBorder="1"/>
    <xf numFmtId="171" fontId="1" fillId="6" borderId="17" xfId="4" applyNumberFormat="1" applyFont="1" applyFill="1" applyBorder="1"/>
    <xf numFmtId="43" fontId="3" fillId="0" borderId="2" xfId="1" applyBorder="1"/>
    <xf numFmtId="170" fontId="3" fillId="0" borderId="0" xfId="2" applyNumberFormat="1" applyBorder="1"/>
    <xf numFmtId="43" fontId="3" fillId="0" borderId="0" xfId="1" applyBorder="1"/>
    <xf numFmtId="0" fontId="3" fillId="15" borderId="0" xfId="2" applyFill="1"/>
    <xf numFmtId="165" fontId="0" fillId="6" borderId="2" xfId="4" applyNumberFormat="1" applyFont="1" applyFill="1" applyBorder="1"/>
    <xf numFmtId="165" fontId="0" fillId="6" borderId="0" xfId="4" applyNumberFormat="1" applyFont="1" applyFill="1"/>
    <xf numFmtId="165" fontId="1" fillId="6" borderId="2" xfId="4" applyNumberFormat="1" applyFont="1" applyFill="1" applyBorder="1"/>
    <xf numFmtId="165" fontId="1" fillId="6" borderId="17" xfId="4" applyNumberFormat="1" applyFont="1" applyFill="1" applyBorder="1"/>
    <xf numFmtId="0" fontId="6" fillId="0" borderId="0" xfId="2" applyFont="1" applyBorder="1"/>
    <xf numFmtId="0" fontId="3" fillId="0" borderId="2" xfId="2" applyBorder="1" applyAlignment="1">
      <alignment vertical="center"/>
    </xf>
    <xf numFmtId="0" fontId="3" fillId="0" borderId="2" xfId="2" applyBorder="1" applyAlignment="1">
      <alignment horizontal="center" vertical="center" wrapText="1"/>
    </xf>
    <xf numFmtId="0" fontId="3" fillId="0" borderId="17" xfId="2" applyBorder="1" applyAlignment="1">
      <alignment horizontal="center" vertical="center" wrapText="1"/>
    </xf>
    <xf numFmtId="0" fontId="0" fillId="0" borderId="21" xfId="0" applyBorder="1"/>
    <xf numFmtId="0" fontId="8" fillId="0" borderId="0" xfId="2" applyFont="1"/>
    <xf numFmtId="165" fontId="0" fillId="6" borderId="2" xfId="4" applyNumberFormat="1" applyFont="1" applyFill="1" applyBorder="1" applyAlignment="1">
      <alignment wrapText="1"/>
    </xf>
    <xf numFmtId="0" fontId="38" fillId="0" borderId="40" xfId="18" applyFont="1" applyBorder="1"/>
    <xf numFmtId="0" fontId="19" fillId="0" borderId="0" xfId="18"/>
    <xf numFmtId="0" fontId="39" fillId="0" borderId="40" xfId="18" applyFont="1" applyBorder="1" applyAlignment="1">
      <alignment horizontal="left" wrapText="1"/>
    </xf>
    <xf numFmtId="0" fontId="41" fillId="17" borderId="40" xfId="18" applyFont="1" applyFill="1" applyBorder="1" applyAlignment="1">
      <alignment horizontal="center" vertical="top" wrapText="1"/>
    </xf>
    <xf numFmtId="0" fontId="43" fillId="18" borderId="40" xfId="18" applyFont="1" applyFill="1" applyBorder="1" applyAlignment="1">
      <alignment wrapText="1"/>
    </xf>
    <xf numFmtId="0" fontId="44" fillId="19" borderId="40" xfId="18" applyFont="1" applyFill="1" applyBorder="1" applyAlignment="1">
      <alignment horizontal="center"/>
    </xf>
    <xf numFmtId="0" fontId="45" fillId="18" borderId="40" xfId="18" applyFont="1" applyFill="1" applyBorder="1" applyAlignment="1">
      <alignment vertical="top" wrapText="1"/>
    </xf>
    <xf numFmtId="177" fontId="38" fillId="0" borderId="40" xfId="18" applyNumberFormat="1" applyFont="1" applyBorder="1" applyAlignment="1">
      <alignment horizontal="right"/>
    </xf>
    <xf numFmtId="0" fontId="46" fillId="0" borderId="0" xfId="18" applyFont="1" applyAlignment="1">
      <alignment horizontal="left"/>
    </xf>
    <xf numFmtId="0" fontId="47" fillId="0" borderId="2" xfId="18" applyFont="1" applyBorder="1"/>
    <xf numFmtId="0" fontId="47" fillId="0" borderId="0" xfId="18" applyFont="1"/>
    <xf numFmtId="2" fontId="20" fillId="12" borderId="2" xfId="0" applyNumberFormat="1" applyFont="1" applyFill="1" applyBorder="1" applyAlignment="1">
      <alignment horizontal="right"/>
    </xf>
    <xf numFmtId="0" fontId="1" fillId="6" borderId="0" xfId="0" applyFont="1" applyFill="1" applyBorder="1" applyAlignment="1">
      <alignment wrapText="1"/>
    </xf>
    <xf numFmtId="164" fontId="0" fillId="3" borderId="0" xfId="0" applyNumberFormat="1" applyFill="1"/>
    <xf numFmtId="164" fontId="0" fillId="3" borderId="2" xfId="0" applyNumberFormat="1" applyFill="1" applyBorder="1"/>
    <xf numFmtId="0" fontId="0" fillId="0" borderId="2" xfId="0" applyFill="1" applyBorder="1"/>
    <xf numFmtId="1" fontId="20" fillId="13" borderId="2" xfId="0" applyNumberFormat="1" applyFont="1" applyFill="1" applyBorder="1" applyAlignment="1">
      <alignment horizontal="right"/>
    </xf>
    <xf numFmtId="2" fontId="20" fillId="12" borderId="2" xfId="0" applyNumberFormat="1" applyFont="1" applyFill="1" applyBorder="1" applyAlignment="1">
      <alignment horizontal="left"/>
    </xf>
    <xf numFmtId="168" fontId="31" fillId="15" borderId="2" xfId="0" applyNumberFormat="1" applyFont="1" applyFill="1" applyBorder="1" applyAlignment="1">
      <alignment horizontal="right"/>
    </xf>
    <xf numFmtId="0" fontId="0" fillId="15" borderId="0" xfId="0" applyFill="1"/>
    <xf numFmtId="2" fontId="0" fillId="6" borderId="0" xfId="0" applyNumberFormat="1" applyFill="1"/>
    <xf numFmtId="9" fontId="0" fillId="0" borderId="0" xfId="6" applyFont="1"/>
    <xf numFmtId="169" fontId="0" fillId="0" borderId="0" xfId="6" applyNumberFormat="1" applyFont="1"/>
    <xf numFmtId="169" fontId="0" fillId="5" borderId="0" xfId="6" applyNumberFormat="1" applyFont="1" applyFill="1"/>
    <xf numFmtId="9" fontId="1" fillId="0" borderId="0" xfId="6" applyFont="1"/>
    <xf numFmtId="168" fontId="0" fillId="0" borderId="0" xfId="0" applyNumberFormat="1"/>
    <xf numFmtId="167" fontId="0" fillId="5" borderId="0" xfId="1" applyNumberFormat="1" applyFont="1" applyFill="1"/>
    <xf numFmtId="0" fontId="1" fillId="0" borderId="0" xfId="0" applyFont="1" applyFill="1" applyBorder="1"/>
    <xf numFmtId="0" fontId="0" fillId="0" borderId="0" xfId="0" applyFont="1" applyFill="1" applyBorder="1"/>
    <xf numFmtId="0" fontId="0" fillId="0" borderId="0" xfId="0" applyAlignment="1">
      <alignment vertical="center"/>
    </xf>
    <xf numFmtId="0" fontId="1" fillId="0" borderId="0" xfId="0" applyFont="1" applyAlignment="1">
      <alignment horizontal="left" vertical="center"/>
    </xf>
    <xf numFmtId="164" fontId="1" fillId="0" borderId="0" xfId="0" applyNumberFormat="1" applyFont="1" applyAlignment="1">
      <alignment horizontal="left" vertical="center"/>
    </xf>
    <xf numFmtId="0" fontId="0" fillId="0" borderId="0" xfId="0" applyAlignment="1">
      <alignment horizontal="left" vertical="center"/>
    </xf>
    <xf numFmtId="168" fontId="0" fillId="0" borderId="0" xfId="0" applyNumberFormat="1" applyAlignment="1">
      <alignment horizontal="left" vertical="center"/>
    </xf>
    <xf numFmtId="0" fontId="16" fillId="5" borderId="0" xfId="0" applyFont="1" applyFill="1" applyAlignment="1">
      <alignment horizontal="left" vertical="center" wrapText="1"/>
    </xf>
    <xf numFmtId="167" fontId="0" fillId="0" borderId="0" xfId="1" applyNumberFormat="1" applyFont="1" applyAlignment="1">
      <alignment horizontal="left" vertical="center"/>
    </xf>
    <xf numFmtId="0" fontId="1" fillId="5" borderId="0" xfId="0" applyFont="1" applyFill="1" applyBorder="1"/>
    <xf numFmtId="164" fontId="0" fillId="6" borderId="2" xfId="0" applyNumberFormat="1" applyFont="1" applyFill="1" applyBorder="1"/>
    <xf numFmtId="178" fontId="8" fillId="0" borderId="9" xfId="0" applyNumberFormat="1" applyFont="1" applyBorder="1"/>
    <xf numFmtId="0" fontId="1" fillId="0" borderId="2" xfId="0" applyFont="1" applyBorder="1" applyAlignment="1">
      <alignment horizontal="center" vertical="center" wrapText="1"/>
    </xf>
    <xf numFmtId="0" fontId="0" fillId="0" borderId="44" xfId="0" applyFill="1" applyBorder="1"/>
    <xf numFmtId="170" fontId="8" fillId="0" borderId="2" xfId="0" applyNumberFormat="1" applyFont="1" applyBorder="1"/>
    <xf numFmtId="0" fontId="0" fillId="0" borderId="0" xfId="0" applyAlignment="1">
      <alignment wrapText="1"/>
    </xf>
    <xf numFmtId="0" fontId="1" fillId="6" borderId="2" xfId="0" applyFont="1" applyFill="1" applyBorder="1" applyAlignment="1">
      <alignment wrapText="1"/>
    </xf>
    <xf numFmtId="179" fontId="0" fillId="0" borderId="0" xfId="0" applyNumberFormat="1"/>
    <xf numFmtId="43" fontId="0" fillId="3" borderId="0" xfId="1" applyFont="1" applyFill="1"/>
    <xf numFmtId="0" fontId="0" fillId="3" borderId="0" xfId="0" applyFill="1"/>
    <xf numFmtId="10" fontId="0" fillId="3" borderId="0" xfId="0" applyNumberFormat="1" applyFill="1"/>
    <xf numFmtId="0" fontId="0" fillId="3" borderId="2" xfId="0" applyFill="1" applyBorder="1"/>
    <xf numFmtId="179" fontId="0" fillId="3" borderId="2" xfId="0" applyNumberFormat="1" applyFill="1" applyBorder="1"/>
    <xf numFmtId="179" fontId="0" fillId="6" borderId="0" xfId="0" applyNumberFormat="1" applyFill="1" applyBorder="1"/>
    <xf numFmtId="43" fontId="0" fillId="6" borderId="0" xfId="1" applyFont="1" applyFill="1"/>
    <xf numFmtId="179" fontId="0" fillId="6" borderId="2" xfId="0" applyNumberFormat="1" applyFill="1" applyBorder="1"/>
    <xf numFmtId="43" fontId="0" fillId="6" borderId="2" xfId="1" applyFont="1" applyFill="1" applyBorder="1"/>
    <xf numFmtId="167" fontId="0" fillId="3" borderId="2" xfId="1" applyNumberFormat="1" applyFont="1" applyFill="1" applyBorder="1"/>
    <xf numFmtId="43" fontId="0" fillId="6" borderId="0" xfId="1" applyFont="1" applyFill="1" applyAlignment="1">
      <alignment horizontal="right"/>
    </xf>
    <xf numFmtId="43" fontId="0" fillId="3" borderId="0" xfId="1" applyFont="1" applyFill="1" applyAlignment="1">
      <alignment horizontal="right"/>
    </xf>
    <xf numFmtId="169" fontId="0" fillId="6" borderId="2" xfId="6" applyNumberFormat="1" applyFont="1" applyFill="1" applyBorder="1"/>
    <xf numFmtId="169" fontId="0" fillId="3" borderId="2" xfId="6" applyNumberFormat="1" applyFont="1" applyFill="1" applyBorder="1"/>
    <xf numFmtId="0" fontId="0" fillId="3" borderId="2" xfId="0" applyFill="1" applyBorder="1" applyAlignment="1">
      <alignment wrapText="1"/>
    </xf>
    <xf numFmtId="179" fontId="0" fillId="2" borderId="2" xfId="0" applyNumberFormat="1" applyFill="1" applyBorder="1"/>
    <xf numFmtId="179" fontId="0" fillId="20" borderId="2" xfId="0" applyNumberFormat="1" applyFill="1" applyBorder="1"/>
    <xf numFmtId="0" fontId="0" fillId="6" borderId="17" xfId="0" applyFill="1" applyBorder="1"/>
    <xf numFmtId="169" fontId="0" fillId="6" borderId="0" xfId="6" applyNumberFormat="1" applyFont="1" applyFill="1" applyBorder="1"/>
    <xf numFmtId="0" fontId="1" fillId="6" borderId="17" xfId="0" applyFont="1" applyFill="1" applyBorder="1"/>
    <xf numFmtId="179" fontId="1" fillId="6" borderId="2" xfId="0" applyNumberFormat="1" applyFont="1" applyFill="1" applyBorder="1"/>
    <xf numFmtId="169" fontId="1" fillId="6" borderId="2" xfId="6" applyNumberFormat="1" applyFont="1" applyFill="1" applyBorder="1"/>
    <xf numFmtId="169" fontId="1" fillId="6" borderId="0" xfId="6" applyNumberFormat="1" applyFont="1" applyFill="1" applyBorder="1"/>
    <xf numFmtId="0" fontId="1" fillId="6" borderId="0" xfId="0" applyFont="1" applyFill="1" applyBorder="1"/>
    <xf numFmtId="179" fontId="0" fillId="6" borderId="2" xfId="0" applyNumberFormat="1" applyFont="1" applyFill="1" applyBorder="1"/>
    <xf numFmtId="0" fontId="6" fillId="6" borderId="17" xfId="0" applyFont="1" applyFill="1" applyBorder="1"/>
    <xf numFmtId="179" fontId="6" fillId="6" borderId="2" xfId="0" applyNumberFormat="1" applyFont="1" applyFill="1" applyBorder="1"/>
    <xf numFmtId="0" fontId="6" fillId="6" borderId="2" xfId="0" applyFont="1" applyFill="1" applyBorder="1"/>
    <xf numFmtId="0" fontId="0" fillId="6" borderId="17" xfId="0" applyFont="1" applyFill="1" applyBorder="1" applyAlignment="1">
      <alignment wrapText="1"/>
    </xf>
    <xf numFmtId="0" fontId="6" fillId="6" borderId="0" xfId="0" applyFont="1" applyFill="1" applyBorder="1"/>
    <xf numFmtId="179" fontId="6" fillId="6" borderId="0" xfId="0" applyNumberFormat="1" applyFont="1" applyFill="1" applyBorder="1"/>
    <xf numFmtId="0" fontId="0" fillId="6" borderId="23" xfId="0" applyFont="1" applyFill="1" applyBorder="1" applyAlignment="1">
      <alignment wrapText="1"/>
    </xf>
    <xf numFmtId="43" fontId="1" fillId="0" borderId="0" xfId="1" applyFont="1"/>
    <xf numFmtId="167" fontId="1" fillId="0" borderId="0" xfId="1" applyNumberFormat="1" applyFont="1" applyBorder="1"/>
    <xf numFmtId="179" fontId="6" fillId="5" borderId="0" xfId="0" applyNumberFormat="1" applyFont="1" applyFill="1" applyBorder="1"/>
    <xf numFmtId="169" fontId="0" fillId="5" borderId="0" xfId="6" applyNumberFormat="1" applyFont="1" applyFill="1" applyBorder="1"/>
    <xf numFmtId="10" fontId="0" fillId="7" borderId="0" xfId="6" applyNumberFormat="1" applyFont="1" applyFill="1"/>
    <xf numFmtId="0" fontId="0" fillId="20" borderId="0" xfId="0" applyFill="1"/>
    <xf numFmtId="10" fontId="0" fillId="6" borderId="0" xfId="6" applyNumberFormat="1" applyFont="1" applyFill="1" applyBorder="1"/>
    <xf numFmtId="0" fontId="0" fillId="20" borderId="17" xfId="0" applyFont="1" applyFill="1" applyBorder="1"/>
    <xf numFmtId="0" fontId="0" fillId="20" borderId="17" xfId="0" applyFill="1" applyBorder="1"/>
    <xf numFmtId="0" fontId="0" fillId="3" borderId="17" xfId="0" applyFill="1" applyBorder="1"/>
    <xf numFmtId="0" fontId="36" fillId="6" borderId="2" xfId="2" applyFont="1" applyFill="1" applyBorder="1" applyAlignment="1">
      <alignment vertical="center"/>
    </xf>
    <xf numFmtId="0" fontId="36" fillId="6" borderId="2" xfId="2" applyFont="1" applyFill="1" applyBorder="1" applyAlignment="1">
      <alignment horizontal="center" vertical="center" wrapText="1"/>
    </xf>
    <xf numFmtId="0" fontId="36" fillId="6" borderId="2" xfId="0" applyFont="1" applyFill="1" applyBorder="1" applyAlignment="1">
      <alignment horizontal="center" vertical="center" wrapText="1"/>
    </xf>
    <xf numFmtId="0" fontId="36" fillId="6" borderId="2" xfId="0" applyFont="1" applyFill="1" applyBorder="1" applyAlignment="1">
      <alignment wrapText="1"/>
    </xf>
    <xf numFmtId="1" fontId="48" fillId="0" borderId="2" xfId="0" applyNumberFormat="1" applyFont="1" applyBorder="1"/>
    <xf numFmtId="0" fontId="0" fillId="2" borderId="2" xfId="0" applyFill="1" applyBorder="1"/>
    <xf numFmtId="0" fontId="0" fillId="21" borderId="2" xfId="0" applyFill="1" applyBorder="1"/>
    <xf numFmtId="0" fontId="0" fillId="22" borderId="2" xfId="0" applyFill="1" applyBorder="1"/>
    <xf numFmtId="164" fontId="8" fillId="6" borderId="2" xfId="0" applyNumberFormat="1" applyFont="1" applyFill="1" applyBorder="1"/>
    <xf numFmtId="0" fontId="49" fillId="0" borderId="0" xfId="0" applyFont="1" applyAlignment="1">
      <alignment horizontal="justify" vertical="center"/>
    </xf>
    <xf numFmtId="0" fontId="3" fillId="0" borderId="0" xfId="2" applyBorder="1"/>
    <xf numFmtId="0" fontId="0" fillId="22" borderId="2" xfId="0" applyFill="1" applyBorder="1" applyAlignment="1">
      <alignment wrapText="1"/>
    </xf>
    <xf numFmtId="167" fontId="0" fillId="0" borderId="0" xfId="1" applyNumberFormat="1" applyFont="1" applyBorder="1"/>
    <xf numFmtId="0" fontId="33" fillId="22" borderId="2" xfId="0" applyFont="1" applyFill="1" applyBorder="1" applyAlignment="1">
      <alignment horizontal="center" vertical="center" wrapText="1"/>
    </xf>
    <xf numFmtId="0" fontId="1" fillId="7" borderId="2" xfId="0" applyFont="1" applyFill="1" applyBorder="1"/>
    <xf numFmtId="0" fontId="0" fillId="7" borderId="2" xfId="0" applyFill="1" applyBorder="1"/>
    <xf numFmtId="0" fontId="0" fillId="5" borderId="2" xfId="0" applyFill="1" applyBorder="1"/>
    <xf numFmtId="164" fontId="7" fillId="5" borderId="2" xfId="0" applyNumberFormat="1" applyFont="1" applyFill="1" applyBorder="1"/>
    <xf numFmtId="0" fontId="0" fillId="6" borderId="2" xfId="0" applyFill="1" applyBorder="1" applyAlignment="1">
      <alignment wrapText="1"/>
    </xf>
    <xf numFmtId="0" fontId="42" fillId="17" borderId="40" xfId="18" applyFont="1" applyFill="1" applyBorder="1" applyAlignment="1">
      <alignment horizontal="center" vertical="top" wrapText="1"/>
    </xf>
    <xf numFmtId="0" fontId="46" fillId="18" borderId="40" xfId="18" applyFont="1" applyFill="1" applyBorder="1" applyAlignment="1">
      <alignment vertical="top" wrapText="1"/>
    </xf>
    <xf numFmtId="167" fontId="38" fillId="0" borderId="40" xfId="1" applyNumberFormat="1" applyFont="1" applyBorder="1" applyAlignment="1">
      <alignment horizontal="right"/>
    </xf>
    <xf numFmtId="167" fontId="38" fillId="24" borderId="40" xfId="1" applyNumberFormat="1" applyFont="1" applyFill="1" applyBorder="1" applyAlignment="1">
      <alignment horizontal="right"/>
    </xf>
    <xf numFmtId="167" fontId="53" fillId="24" borderId="40" xfId="1" applyNumberFormat="1" applyFont="1" applyFill="1" applyBorder="1" applyAlignment="1">
      <alignment horizontal="right"/>
    </xf>
    <xf numFmtId="167" fontId="53" fillId="0" borderId="40" xfId="1" applyNumberFormat="1" applyFont="1" applyBorder="1" applyAlignment="1">
      <alignment horizontal="right"/>
    </xf>
    <xf numFmtId="0" fontId="1" fillId="6" borderId="2" xfId="0" applyFont="1" applyFill="1" applyBorder="1" applyAlignment="1">
      <alignment horizontal="center" vertical="center"/>
    </xf>
    <xf numFmtId="0" fontId="1" fillId="6" borderId="17" xfId="0" applyFont="1" applyFill="1" applyBorder="1" applyAlignment="1">
      <alignment horizontal="center" vertical="center"/>
    </xf>
    <xf numFmtId="0" fontId="0" fillId="6" borderId="2" xfId="0" applyFill="1" applyBorder="1" applyAlignment="1">
      <alignment horizontal="left" vertical="center" wrapText="1"/>
    </xf>
    <xf numFmtId="167" fontId="0" fillId="6" borderId="2" xfId="1" applyNumberFormat="1" applyFont="1" applyFill="1" applyBorder="1" applyAlignment="1">
      <alignment horizontal="center" vertical="center"/>
    </xf>
    <xf numFmtId="167" fontId="0" fillId="6" borderId="17" xfId="1" applyNumberFormat="1" applyFont="1" applyFill="1" applyBorder="1" applyAlignment="1">
      <alignment horizontal="center" vertical="center"/>
    </xf>
    <xf numFmtId="167" fontId="1" fillId="6" borderId="2" xfId="1" applyNumberFormat="1" applyFont="1" applyFill="1" applyBorder="1" applyAlignment="1">
      <alignment horizontal="center" vertical="center"/>
    </xf>
    <xf numFmtId="164" fontId="0" fillId="6" borderId="2" xfId="0" applyNumberFormat="1" applyFill="1" applyBorder="1" applyAlignment="1">
      <alignment horizontal="right" vertical="center"/>
    </xf>
    <xf numFmtId="171" fontId="0" fillId="6" borderId="21" xfId="0" applyNumberFormat="1" applyFill="1" applyBorder="1" applyAlignment="1">
      <alignment horizontal="right" vertical="center"/>
    </xf>
    <xf numFmtId="172" fontId="0" fillId="6" borderId="2" xfId="0" applyNumberFormat="1" applyFill="1" applyBorder="1" applyAlignment="1">
      <alignment horizontal="right" vertical="center"/>
    </xf>
    <xf numFmtId="167" fontId="19" fillId="0" borderId="0" xfId="18" applyNumberFormat="1"/>
    <xf numFmtId="0" fontId="1" fillId="5" borderId="26" xfId="0" applyFont="1" applyFill="1" applyBorder="1" applyAlignment="1">
      <alignment horizontal="center" vertical="center" wrapText="1"/>
    </xf>
    <xf numFmtId="0" fontId="0" fillId="5" borderId="2" xfId="0" applyFill="1" applyBorder="1" applyAlignment="1">
      <alignment horizontal="center" vertical="center"/>
    </xf>
    <xf numFmtId="3" fontId="0" fillId="5" borderId="2" xfId="0" applyNumberFormat="1" applyFill="1" applyBorder="1"/>
    <xf numFmtId="3" fontId="8" fillId="5" borderId="9" xfId="0" applyNumberFormat="1" applyFont="1" applyFill="1" applyBorder="1"/>
    <xf numFmtId="0" fontId="36" fillId="6" borderId="2" xfId="2" applyFont="1" applyFill="1" applyBorder="1" applyAlignment="1">
      <alignment vertical="center" wrapText="1"/>
    </xf>
    <xf numFmtId="0" fontId="36" fillId="6" borderId="2" xfId="2" applyFont="1" applyFill="1" applyBorder="1" applyAlignment="1">
      <alignment horizontal="left" wrapText="1"/>
    </xf>
    <xf numFmtId="0" fontId="36" fillId="6" borderId="2" xfId="0" applyFont="1" applyFill="1" applyBorder="1" applyAlignment="1">
      <alignment horizontal="left" wrapText="1"/>
    </xf>
    <xf numFmtId="0" fontId="36" fillId="6" borderId="21" xfId="0" applyFont="1" applyFill="1" applyBorder="1" applyAlignment="1">
      <alignment horizontal="left" wrapText="1"/>
    </xf>
    <xf numFmtId="0" fontId="36" fillId="6" borderId="46" xfId="0" applyFont="1" applyFill="1" applyBorder="1" applyAlignment="1">
      <alignment wrapText="1"/>
    </xf>
    <xf numFmtId="1" fontId="48" fillId="0" borderId="46" xfId="0" applyNumberFormat="1" applyFont="1" applyBorder="1"/>
    <xf numFmtId="0" fontId="0" fillId="0" borderId="46" xfId="0" applyBorder="1"/>
    <xf numFmtId="0" fontId="36" fillId="0" borderId="2" xfId="2" applyFont="1" applyBorder="1" applyAlignment="1">
      <alignment horizontal="left" vertical="center" wrapText="1"/>
    </xf>
    <xf numFmtId="0" fontId="36" fillId="0" borderId="2" xfId="2" applyFont="1" applyBorder="1" applyAlignment="1">
      <alignment horizontal="center" vertical="center" wrapText="1"/>
    </xf>
    <xf numFmtId="0" fontId="36" fillId="0" borderId="2" xfId="0" applyFont="1" applyBorder="1" applyAlignment="1">
      <alignment horizontal="center" vertical="center" wrapText="1"/>
    </xf>
    <xf numFmtId="0" fontId="36" fillId="6" borderId="2" xfId="0" applyFont="1" applyFill="1" applyBorder="1" applyAlignment="1">
      <alignment vertical="center" wrapText="1"/>
    </xf>
    <xf numFmtId="164" fontId="48" fillId="6" borderId="2" xfId="2" applyNumberFormat="1" applyFont="1" applyFill="1" applyBorder="1" applyAlignment="1">
      <alignment vertical="center" wrapText="1"/>
    </xf>
    <xf numFmtId="0" fontId="1" fillId="6" borderId="0" xfId="0" applyFont="1" applyFill="1"/>
    <xf numFmtId="0" fontId="6" fillId="0" borderId="38" xfId="0" applyFont="1" applyFill="1" applyBorder="1"/>
    <xf numFmtId="0" fontId="0" fillId="0" borderId="0" xfId="0" applyAlignment="1">
      <alignment wrapText="1"/>
    </xf>
    <xf numFmtId="0" fontId="0" fillId="0" borderId="2" xfId="0" applyBorder="1" applyAlignment="1">
      <alignment vertical="center" wrapText="1"/>
    </xf>
    <xf numFmtId="169" fontId="1" fillId="5" borderId="0" xfId="6" applyNumberFormat="1" applyFont="1" applyFill="1"/>
    <xf numFmtId="2" fontId="36" fillId="5" borderId="25" xfId="0" applyNumberFormat="1" applyFont="1" applyFill="1" applyBorder="1"/>
    <xf numFmtId="0" fontId="1" fillId="0" borderId="0" xfId="0" applyFont="1" applyAlignment="1">
      <alignment wrapText="1"/>
    </xf>
    <xf numFmtId="165" fontId="3" fillId="6" borderId="2" xfId="4" applyNumberFormat="1" applyFont="1" applyFill="1" applyBorder="1"/>
    <xf numFmtId="165" fontId="3" fillId="6" borderId="2" xfId="4" applyNumberFormat="1" applyFont="1" applyFill="1" applyBorder="1" applyAlignment="1">
      <alignment wrapText="1"/>
    </xf>
    <xf numFmtId="0" fontId="1" fillId="0" borderId="14" xfId="0" applyFont="1" applyBorder="1" applyAlignment="1">
      <alignment horizontal="center" vertical="center" wrapText="1"/>
    </xf>
    <xf numFmtId="176" fontId="0" fillId="5" borderId="2" xfId="0" applyNumberFormat="1" applyFill="1" applyBorder="1"/>
    <xf numFmtId="164" fontId="1" fillId="5" borderId="2" xfId="0" applyNumberFormat="1" applyFont="1" applyFill="1" applyBorder="1"/>
    <xf numFmtId="0" fontId="36" fillId="0" borderId="2" xfId="2" applyFont="1" applyBorder="1" applyAlignment="1">
      <alignment wrapText="1"/>
    </xf>
    <xf numFmtId="0" fontId="36" fillId="6" borderId="2" xfId="0" applyFont="1" applyFill="1" applyBorder="1" applyAlignment="1">
      <alignment horizontal="left" vertical="center" wrapText="1"/>
    </xf>
    <xf numFmtId="0" fontId="36" fillId="6" borderId="24" xfId="0" applyFont="1" applyFill="1" applyBorder="1" applyAlignment="1">
      <alignment horizontal="left" vertical="center" wrapText="1"/>
    </xf>
    <xf numFmtId="0" fontId="7" fillId="0" borderId="2" xfId="2" applyFont="1" applyBorder="1" applyAlignment="1">
      <alignment vertical="center"/>
    </xf>
    <xf numFmtId="0" fontId="7" fillId="0" borderId="2" xfId="0" applyFont="1" applyBorder="1" applyAlignment="1">
      <alignment horizontal="left"/>
    </xf>
    <xf numFmtId="0" fontId="54" fillId="6" borderId="2"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2" xfId="0" applyFont="1" applyBorder="1"/>
    <xf numFmtId="0" fontId="54" fillId="6" borderId="2" xfId="0" applyFont="1" applyFill="1" applyBorder="1" applyAlignment="1">
      <alignment horizontal="center" vertical="center" wrapText="1"/>
    </xf>
    <xf numFmtId="0" fontId="7" fillId="0" borderId="2" xfId="0" applyFont="1" applyBorder="1" applyAlignment="1">
      <alignment horizontal="center" vertical="center" wrapText="1"/>
    </xf>
    <xf numFmtId="164" fontId="7" fillId="6" borderId="2" xfId="0" applyNumberFormat="1" applyFont="1" applyFill="1" applyBorder="1"/>
    <xf numFmtId="179" fontId="1" fillId="6" borderId="0" xfId="0" applyNumberFormat="1" applyFont="1" applyFill="1" applyBorder="1" applyAlignment="1">
      <alignment wrapText="1"/>
    </xf>
    <xf numFmtId="0" fontId="0" fillId="7" borderId="0" xfId="0" applyFill="1" applyAlignment="1">
      <alignment wrapText="1"/>
    </xf>
    <xf numFmtId="1" fontId="0" fillId="0" borderId="2" xfId="0" applyNumberFormat="1" applyBorder="1"/>
    <xf numFmtId="0" fontId="16" fillId="0" borderId="2" xfId="0" applyFont="1" applyBorder="1" applyAlignment="1">
      <alignment wrapText="1"/>
    </xf>
    <xf numFmtId="0" fontId="9" fillId="6" borderId="17" xfId="0" applyFont="1" applyFill="1" applyBorder="1"/>
    <xf numFmtId="164" fontId="0" fillId="0" borderId="2" xfId="0" applyNumberFormat="1" applyBorder="1" applyAlignment="1">
      <alignment horizontal="right" vertical="center"/>
    </xf>
    <xf numFmtId="1" fontId="0" fillId="0" borderId="2" xfId="0" applyNumberFormat="1" applyBorder="1" applyAlignment="1">
      <alignment horizontal="right" vertical="center"/>
    </xf>
    <xf numFmtId="1" fontId="0" fillId="0" borderId="2" xfId="0" applyNumberFormat="1" applyBorder="1" applyAlignment="1">
      <alignment horizontal="right"/>
    </xf>
    <xf numFmtId="164" fontId="0" fillId="0" borderId="2" xfId="0" applyNumberFormat="1" applyBorder="1" applyAlignment="1">
      <alignment horizontal="right"/>
    </xf>
    <xf numFmtId="167" fontId="1" fillId="2" borderId="0" xfId="0" applyNumberFormat="1" applyFont="1" applyFill="1"/>
    <xf numFmtId="0" fontId="1" fillId="2" borderId="0" xfId="0" applyFont="1" applyFill="1"/>
    <xf numFmtId="167" fontId="0" fillId="2" borderId="0" xfId="1" applyNumberFormat="1" applyFont="1" applyFill="1"/>
    <xf numFmtId="169" fontId="0" fillId="2" borderId="0" xfId="6" applyNumberFormat="1" applyFont="1" applyFill="1"/>
    <xf numFmtId="165" fontId="1" fillId="3" borderId="0" xfId="1" applyNumberFormat="1" applyFont="1" applyFill="1"/>
    <xf numFmtId="0" fontId="1" fillId="3" borderId="0" xfId="0" applyFont="1" applyFill="1"/>
    <xf numFmtId="167" fontId="0" fillId="3" borderId="0" xfId="1" applyNumberFormat="1" applyFont="1" applyFill="1"/>
    <xf numFmtId="165" fontId="0" fillId="5" borderId="0" xfId="1" applyNumberFormat="1" applyFont="1" applyFill="1"/>
    <xf numFmtId="0" fontId="19" fillId="7" borderId="2" xfId="18" applyFill="1" applyBorder="1"/>
    <xf numFmtId="167" fontId="19" fillId="7" borderId="2" xfId="18" applyNumberFormat="1" applyFill="1" applyBorder="1"/>
    <xf numFmtId="0" fontId="19" fillId="5" borderId="2" xfId="18" applyFill="1" applyBorder="1"/>
    <xf numFmtId="167" fontId="19" fillId="5" borderId="2" xfId="18" applyNumberFormat="1" applyFill="1" applyBorder="1"/>
    <xf numFmtId="43" fontId="0" fillId="0" borderId="0" xfId="19" applyFont="1"/>
    <xf numFmtId="0" fontId="19" fillId="25" borderId="2" xfId="18" applyFill="1" applyBorder="1"/>
    <xf numFmtId="167" fontId="19" fillId="3" borderId="2" xfId="18" applyNumberFormat="1" applyFill="1" applyBorder="1"/>
    <xf numFmtId="0" fontId="19" fillId="26" borderId="2" xfId="18" applyFill="1" applyBorder="1"/>
    <xf numFmtId="167" fontId="19" fillId="26" borderId="2" xfId="18" applyNumberFormat="1" applyFill="1" applyBorder="1"/>
    <xf numFmtId="167" fontId="19" fillId="26" borderId="0" xfId="18" applyNumberFormat="1" applyFill="1"/>
    <xf numFmtId="0" fontId="19" fillId="26" borderId="2" xfId="18" applyFill="1" applyBorder="1" applyAlignment="1">
      <alignment wrapText="1"/>
    </xf>
    <xf numFmtId="0" fontId="19" fillId="27" borderId="2" xfId="18" applyFill="1" applyBorder="1"/>
    <xf numFmtId="43" fontId="19" fillId="27" borderId="2" xfId="18" applyNumberFormat="1" applyFill="1" applyBorder="1"/>
    <xf numFmtId="0" fontId="19" fillId="28" borderId="2" xfId="18" applyFill="1" applyBorder="1"/>
    <xf numFmtId="167" fontId="19" fillId="28" borderId="2" xfId="18" applyNumberFormat="1" applyFill="1" applyBorder="1"/>
    <xf numFmtId="0" fontId="47" fillId="28" borderId="0" xfId="18" applyFont="1" applyFill="1"/>
    <xf numFmtId="0" fontId="19" fillId="3" borderId="2" xfId="18" applyFill="1" applyBorder="1"/>
    <xf numFmtId="167" fontId="0" fillId="3" borderId="2" xfId="19" applyNumberFormat="1" applyFont="1" applyFill="1" applyBorder="1"/>
    <xf numFmtId="167" fontId="19" fillId="3" borderId="0" xfId="19" applyNumberFormat="1" applyFont="1" applyFill="1"/>
    <xf numFmtId="0" fontId="19" fillId="23" borderId="2" xfId="18" applyFill="1" applyBorder="1"/>
    <xf numFmtId="167" fontId="0" fillId="23" borderId="2" xfId="19" applyNumberFormat="1" applyFont="1" applyFill="1" applyBorder="1"/>
    <xf numFmtId="0" fontId="19" fillId="15" borderId="2" xfId="18" applyFill="1" applyBorder="1"/>
    <xf numFmtId="167" fontId="0" fillId="15" borderId="2" xfId="19" applyNumberFormat="1" applyFont="1" applyFill="1" applyBorder="1"/>
    <xf numFmtId="167" fontId="0" fillId="0" borderId="0" xfId="19" applyNumberFormat="1" applyFont="1"/>
    <xf numFmtId="0" fontId="19" fillId="0" borderId="2" xfId="18" applyBorder="1"/>
    <xf numFmtId="179" fontId="47" fillId="0" borderId="2" xfId="18" applyNumberFormat="1" applyFont="1" applyBorder="1"/>
    <xf numFmtId="164" fontId="0" fillId="15" borderId="2" xfId="0" applyNumberFormat="1" applyFill="1" applyBorder="1"/>
    <xf numFmtId="1" fontId="36" fillId="0" borderId="2" xfId="0" applyNumberFormat="1" applyFont="1" applyBorder="1"/>
    <xf numFmtId="0" fontId="48" fillId="5" borderId="0" xfId="0" applyFont="1" applyFill="1"/>
    <xf numFmtId="0" fontId="36" fillId="5" borderId="2" xfId="0" applyFont="1" applyFill="1" applyBorder="1" applyAlignment="1">
      <alignment wrapText="1"/>
    </xf>
    <xf numFmtId="0" fontId="36" fillId="5" borderId="2" xfId="0" applyFont="1" applyFill="1" applyBorder="1" applyAlignment="1">
      <alignment horizontal="center" vertical="center" wrapText="1"/>
    </xf>
    <xf numFmtId="173" fontId="36" fillId="6" borderId="2" xfId="2" applyNumberFormat="1" applyFont="1" applyFill="1" applyBorder="1" applyAlignment="1">
      <alignment horizontal="right" vertical="center" wrapText="1"/>
    </xf>
    <xf numFmtId="181" fontId="0" fillId="5" borderId="2" xfId="0" applyNumberFormat="1" applyFill="1" applyBorder="1" applyAlignment="1">
      <alignment horizontal="right" vertical="center"/>
    </xf>
    <xf numFmtId="164" fontId="36" fillId="6" borderId="2" xfId="2" applyNumberFormat="1" applyFont="1" applyFill="1" applyBorder="1" applyAlignment="1">
      <alignment vertical="center" wrapText="1"/>
    </xf>
    <xf numFmtId="0" fontId="0" fillId="5" borderId="33" xfId="0" applyFill="1" applyBorder="1"/>
    <xf numFmtId="164" fontId="36" fillId="6" borderId="2" xfId="2" applyNumberFormat="1" applyFont="1" applyFill="1" applyBorder="1" applyAlignment="1">
      <alignment horizontal="center" vertical="center" wrapText="1"/>
    </xf>
    <xf numFmtId="0" fontId="36" fillId="0" borderId="2" xfId="0" applyFont="1" applyBorder="1" applyAlignment="1">
      <alignment horizontal="left" vertical="center" wrapText="1"/>
    </xf>
    <xf numFmtId="167" fontId="0" fillId="3" borderId="0" xfId="19" applyNumberFormat="1" applyFont="1" applyFill="1"/>
    <xf numFmtId="0" fontId="47" fillId="3" borderId="0" xfId="0" applyFont="1" applyFill="1"/>
    <xf numFmtId="167" fontId="3" fillId="0" borderId="0" xfId="1" applyNumberFormat="1"/>
    <xf numFmtId="0" fontId="2" fillId="6" borderId="0" xfId="0" applyFont="1" applyFill="1" applyBorder="1"/>
    <xf numFmtId="0" fontId="3" fillId="0" borderId="0" xfId="2" applyAlignment="1">
      <alignment wrapText="1"/>
    </xf>
    <xf numFmtId="0" fontId="1" fillId="0" borderId="0" xfId="2" applyFont="1" applyAlignment="1">
      <alignment wrapText="1"/>
    </xf>
    <xf numFmtId="9" fontId="3" fillId="0" borderId="0" xfId="6"/>
    <xf numFmtId="164" fontId="3" fillId="0" borderId="0" xfId="2" applyNumberFormat="1"/>
    <xf numFmtId="167" fontId="1" fillId="0" borderId="0" xfId="2" applyNumberFormat="1" applyFont="1"/>
    <xf numFmtId="164" fontId="1" fillId="0" borderId="0" xfId="2" applyNumberFormat="1" applyFont="1"/>
    <xf numFmtId="173" fontId="48" fillId="6" borderId="2" xfId="2" applyNumberFormat="1" applyFont="1" applyFill="1" applyBorder="1" applyAlignment="1">
      <alignment horizontal="center" vertical="center" wrapText="1"/>
    </xf>
    <xf numFmtId="164" fontId="48" fillId="6" borderId="2" xfId="2" applyNumberFormat="1" applyFont="1" applyFill="1" applyBorder="1" applyAlignment="1">
      <alignment horizontal="center" vertical="center" wrapText="1"/>
    </xf>
    <xf numFmtId="0" fontId="2" fillId="0" borderId="0" xfId="2" applyFont="1" applyBorder="1"/>
    <xf numFmtId="1" fontId="36" fillId="6" borderId="2" xfId="2" applyNumberFormat="1" applyFont="1" applyFill="1" applyBorder="1" applyAlignment="1">
      <alignment vertical="center" wrapText="1"/>
    </xf>
    <xf numFmtId="1" fontId="48" fillId="6" borderId="2" xfId="2" applyNumberFormat="1" applyFont="1" applyFill="1" applyBorder="1" applyAlignment="1">
      <alignment vertical="center" wrapText="1"/>
    </xf>
    <xf numFmtId="164" fontId="36" fillId="6" borderId="2" xfId="1" applyNumberFormat="1" applyFont="1" applyFill="1" applyBorder="1" applyAlignment="1">
      <alignment horizontal="center" vertical="center" wrapText="1"/>
    </xf>
    <xf numFmtId="1" fontId="48" fillId="0" borderId="2" xfId="1" applyNumberFormat="1" applyFont="1" applyBorder="1"/>
    <xf numFmtId="0" fontId="1" fillId="0" borderId="2" xfId="0" applyFont="1" applyBorder="1" applyAlignment="1">
      <alignment horizontal="center" vertical="center" wrapText="1"/>
    </xf>
    <xf numFmtId="164" fontId="0" fillId="5" borderId="2" xfId="0" applyNumberFormat="1" applyFill="1" applyBorder="1"/>
    <xf numFmtId="1" fontId="0" fillId="2" borderId="2" xfId="0" applyNumberFormat="1" applyFill="1" applyBorder="1"/>
    <xf numFmtId="1" fontId="0" fillId="2" borderId="2" xfId="0" applyNumberFormat="1" applyFill="1" applyBorder="1" applyAlignment="1">
      <alignment horizontal="right"/>
    </xf>
    <xf numFmtId="164" fontId="0" fillId="2" borderId="2" xfId="0" applyNumberFormat="1" applyFill="1" applyBorder="1" applyAlignment="1">
      <alignment horizontal="right"/>
    </xf>
    <xf numFmtId="0" fontId="1" fillId="0" borderId="2" xfId="0" applyFont="1" applyBorder="1" applyAlignment="1">
      <alignment horizontal="center" vertical="center" wrapText="1"/>
    </xf>
    <xf numFmtId="0" fontId="0" fillId="0" borderId="0" xfId="0" applyAlignment="1">
      <alignment wrapText="1"/>
    </xf>
    <xf numFmtId="0" fontId="1" fillId="0" borderId="2" xfId="0" applyFont="1" applyBorder="1" applyAlignment="1">
      <alignment horizontal="center" wrapText="1"/>
    </xf>
    <xf numFmtId="0" fontId="36" fillId="6" borderId="0" xfId="0" applyFont="1" applyFill="1" applyBorder="1" applyAlignment="1"/>
    <xf numFmtId="0" fontId="0" fillId="0" borderId="0" xfId="0" applyAlignment="1">
      <alignment horizontal="center" vertical="center" wrapText="1"/>
    </xf>
    <xf numFmtId="0" fontId="0" fillId="0" borderId="2" xfId="0" applyFill="1" applyBorder="1" applyAlignment="1">
      <alignment horizontal="center" vertical="center" wrapText="1"/>
    </xf>
    <xf numFmtId="1" fontId="1" fillId="0" borderId="2" xfId="0" applyNumberFormat="1" applyFont="1" applyBorder="1"/>
    <xf numFmtId="0" fontId="0" fillId="0" borderId="0" xfId="0" applyAlignment="1">
      <alignment wrapText="1"/>
    </xf>
    <xf numFmtId="0" fontId="55" fillId="0" borderId="0" xfId="0" applyFont="1" applyAlignment="1">
      <alignment vertical="center"/>
    </xf>
    <xf numFmtId="164" fontId="1" fillId="0" borderId="0" xfId="0" applyNumberFormat="1" applyFont="1"/>
    <xf numFmtId="2" fontId="1" fillId="0" borderId="0" xfId="0" applyNumberFormat="1" applyFont="1"/>
    <xf numFmtId="0" fontId="0" fillId="0" borderId="19" xfId="0" applyBorder="1" applyAlignment="1">
      <alignment horizontal="center" vertical="center" wrapText="1"/>
    </xf>
    <xf numFmtId="165" fontId="3" fillId="6" borderId="26" xfId="4" applyNumberFormat="1" applyFont="1" applyFill="1" applyBorder="1" applyAlignment="1">
      <alignment wrapText="1"/>
    </xf>
    <xf numFmtId="0" fontId="0" fillId="0" borderId="20" xfId="0" applyBorder="1" applyAlignment="1">
      <alignment horizontal="left" vertical="center"/>
    </xf>
    <xf numFmtId="0" fontId="0" fillId="0" borderId="6" xfId="0" applyBorder="1" applyAlignment="1">
      <alignment horizontal="center" vertical="center" wrapText="1"/>
    </xf>
    <xf numFmtId="165" fontId="3" fillId="6" borderId="2" xfId="4" applyNumberFormat="1" applyFont="1" applyFill="1" applyBorder="1" applyAlignment="1"/>
    <xf numFmtId="0" fontId="0" fillId="0" borderId="7" xfId="0" applyBorder="1" applyAlignment="1">
      <alignment horizontal="left" vertical="center"/>
    </xf>
    <xf numFmtId="178" fontId="0" fillId="0" borderId="2" xfId="0" applyNumberFormat="1" applyBorder="1"/>
    <xf numFmtId="0" fontId="0" fillId="0" borderId="8" xfId="0" applyBorder="1" applyAlignment="1">
      <alignment horizontal="center" vertical="center" wrapText="1"/>
    </xf>
    <xf numFmtId="178" fontId="0" fillId="0" borderId="9" xfId="0" applyNumberFormat="1" applyBorder="1"/>
    <xf numFmtId="0" fontId="0" fillId="0" borderId="10" xfId="0" applyBorder="1" applyAlignment="1">
      <alignment horizontal="left" vertical="center"/>
    </xf>
    <xf numFmtId="178" fontId="0" fillId="0" borderId="26" xfId="0" applyNumberFormat="1" applyBorder="1" applyAlignment="1">
      <alignment horizontal="center" vertical="center"/>
    </xf>
    <xf numFmtId="178" fontId="0" fillId="0" borderId="2" xfId="0" applyNumberFormat="1" applyBorder="1" applyAlignment="1">
      <alignment horizontal="center" vertical="center"/>
    </xf>
    <xf numFmtId="164" fontId="3" fillId="6" borderId="2" xfId="1" applyNumberFormat="1" applyFont="1" applyFill="1" applyBorder="1" applyAlignment="1">
      <alignment wrapText="1"/>
    </xf>
    <xf numFmtId="165" fontId="3" fillId="6" borderId="12" xfId="4" applyNumberFormat="1" applyFont="1" applyFill="1" applyBorder="1" applyAlignment="1">
      <alignment wrapText="1"/>
    </xf>
    <xf numFmtId="0" fontId="0" fillId="6" borderId="20" xfId="0" applyFill="1" applyBorder="1" applyAlignment="1">
      <alignment horizontal="left" vertical="center"/>
    </xf>
    <xf numFmtId="0" fontId="0" fillId="6" borderId="7" xfId="0" applyFill="1" applyBorder="1" applyAlignment="1">
      <alignment horizontal="left" vertical="center"/>
    </xf>
    <xf numFmtId="178" fontId="0" fillId="6" borderId="2" xfId="0" applyNumberFormat="1" applyFill="1" applyBorder="1"/>
    <xf numFmtId="178" fontId="0" fillId="0" borderId="21" xfId="0" applyNumberFormat="1" applyBorder="1"/>
    <xf numFmtId="0" fontId="0" fillId="0" borderId="11" xfId="0" applyBorder="1" applyAlignment="1">
      <alignment horizontal="center" vertical="center" wrapText="1"/>
    </xf>
    <xf numFmtId="0" fontId="0" fillId="0" borderId="47" xfId="0" applyBorder="1" applyAlignment="1">
      <alignment horizontal="left" vertical="center"/>
    </xf>
    <xf numFmtId="0" fontId="0" fillId="0" borderId="45" xfId="0" applyBorder="1" applyAlignment="1">
      <alignment horizontal="center" vertical="center" wrapText="1"/>
    </xf>
    <xf numFmtId="0" fontId="0" fillId="0" borderId="39" xfId="0" applyBorder="1" applyAlignment="1">
      <alignment horizontal="left" vertical="center"/>
    </xf>
    <xf numFmtId="0" fontId="0" fillId="0" borderId="0" xfId="0" applyAlignment="1">
      <alignment horizontal="left"/>
    </xf>
    <xf numFmtId="165" fontId="1" fillId="5" borderId="31" xfId="1" applyNumberFormat="1" applyFont="1" applyFill="1" applyBorder="1"/>
    <xf numFmtId="1" fontId="1" fillId="0" borderId="56" xfId="0" applyNumberFormat="1" applyFont="1" applyBorder="1"/>
    <xf numFmtId="0" fontId="0" fillId="0" borderId="45" xfId="0" applyBorder="1"/>
    <xf numFmtId="1" fontId="1" fillId="0" borderId="39" xfId="0" applyNumberFormat="1" applyFont="1" applyBorder="1"/>
    <xf numFmtId="0" fontId="0" fillId="0" borderId="21" xfId="0" applyBorder="1" applyAlignment="1">
      <alignment horizontal="center" vertical="center" wrapText="1"/>
    </xf>
    <xf numFmtId="164" fontId="3" fillId="6" borderId="21" xfId="1" applyNumberFormat="1" applyFont="1" applyFill="1" applyBorder="1" applyAlignment="1">
      <alignment wrapText="1"/>
    </xf>
    <xf numFmtId="0" fontId="0" fillId="0" borderId="9" xfId="0" applyBorder="1" applyAlignment="1">
      <alignment horizontal="center" vertical="center" wrapText="1"/>
    </xf>
    <xf numFmtId="0" fontId="56" fillId="0" borderId="0" xfId="20"/>
    <xf numFmtId="0" fontId="56" fillId="0" borderId="2" xfId="20" applyBorder="1" applyAlignment="1">
      <alignment wrapText="1"/>
    </xf>
    <xf numFmtId="0" fontId="56" fillId="0" borderId="2" xfId="20" applyBorder="1" applyAlignment="1">
      <alignment horizontal="left" vertical="center" wrapText="1"/>
    </xf>
    <xf numFmtId="0" fontId="56" fillId="0" borderId="2" xfId="20" applyBorder="1" applyAlignment="1">
      <alignment horizontal="center" vertical="center" wrapText="1"/>
    </xf>
    <xf numFmtId="0" fontId="57" fillId="0" borderId="0" xfId="20" applyFont="1"/>
    <xf numFmtId="0" fontId="19" fillId="0" borderId="0" xfId="20" applyFont="1"/>
    <xf numFmtId="169" fontId="0" fillId="0" borderId="2" xfId="21" applyNumberFormat="1" applyFont="1" applyBorder="1"/>
    <xf numFmtId="169" fontId="0" fillId="2" borderId="2" xfId="21" applyNumberFormat="1" applyFont="1" applyFill="1" applyBorder="1"/>
    <xf numFmtId="3" fontId="56" fillId="2" borderId="0" xfId="20" applyNumberFormat="1" applyFill="1"/>
    <xf numFmtId="3" fontId="19" fillId="2" borderId="57" xfId="20" applyNumberFormat="1" applyFont="1" applyFill="1" applyBorder="1"/>
    <xf numFmtId="0" fontId="19" fillId="2" borderId="57" xfId="20" applyFont="1" applyFill="1" applyBorder="1"/>
    <xf numFmtId="0" fontId="56" fillId="5" borderId="0" xfId="20" applyFill="1"/>
    <xf numFmtId="169" fontId="0" fillId="5" borderId="2" xfId="21" applyNumberFormat="1" applyFont="1" applyFill="1" applyBorder="1"/>
    <xf numFmtId="3" fontId="56" fillId="5" borderId="0" xfId="20" applyNumberFormat="1" applyFill="1"/>
    <xf numFmtId="3" fontId="19" fillId="5" borderId="57" xfId="20" applyNumberFormat="1" applyFont="1" applyFill="1" applyBorder="1"/>
    <xf numFmtId="0" fontId="19" fillId="5" borderId="57" xfId="20" applyFont="1" applyFill="1" applyBorder="1"/>
    <xf numFmtId="169" fontId="0" fillId="7" borderId="2" xfId="21" applyNumberFormat="1" applyFont="1" applyFill="1" applyBorder="1"/>
    <xf numFmtId="3" fontId="56" fillId="7" borderId="0" xfId="20" applyNumberFormat="1" applyFill="1"/>
    <xf numFmtId="3" fontId="19" fillId="7" borderId="57" xfId="20" applyNumberFormat="1" applyFont="1" applyFill="1" applyBorder="1"/>
    <xf numFmtId="0" fontId="19" fillId="7" borderId="57" xfId="20" applyFont="1" applyFill="1" applyBorder="1"/>
    <xf numFmtId="0" fontId="56" fillId="2" borderId="0" xfId="20" applyFill="1"/>
    <xf numFmtId="0" fontId="56" fillId="7" borderId="0" xfId="20" applyFill="1"/>
    <xf numFmtId="169" fontId="0" fillId="22" borderId="2" xfId="21" applyNumberFormat="1" applyFont="1" applyFill="1" applyBorder="1"/>
    <xf numFmtId="0" fontId="56" fillId="22" borderId="2" xfId="20" applyFill="1" applyBorder="1" applyAlignment="1">
      <alignment horizontal="center" vertical="center" wrapText="1"/>
    </xf>
    <xf numFmtId="0" fontId="19" fillId="22" borderId="2" xfId="20" applyFont="1" applyFill="1" applyBorder="1" applyAlignment="1">
      <alignment horizontal="center" vertical="center" wrapText="1"/>
    </xf>
    <xf numFmtId="0" fontId="56" fillId="22" borderId="0" xfId="20" applyFill="1" applyAlignment="1">
      <alignment horizontal="center" vertical="center"/>
    </xf>
    <xf numFmtId="0" fontId="19" fillId="22" borderId="57" xfId="20" applyFont="1" applyFill="1" applyBorder="1" applyAlignment="1">
      <alignment horizontal="center" vertical="center"/>
    </xf>
    <xf numFmtId="0" fontId="19" fillId="22" borderId="57" xfId="20" applyFont="1" applyFill="1" applyBorder="1"/>
    <xf numFmtId="182" fontId="19" fillId="0" borderId="0" xfId="20" applyNumberFormat="1" applyFont="1"/>
    <xf numFmtId="0" fontId="47" fillId="0" borderId="0" xfId="20" applyFont="1"/>
    <xf numFmtId="0" fontId="0" fillId="0" borderId="2" xfId="0" applyFont="1" applyBorder="1" applyAlignment="1">
      <alignment horizontal="center" vertical="center" wrapText="1"/>
    </xf>
    <xf numFmtId="0" fontId="0" fillId="0" borderId="2" xfId="0" applyBorder="1" applyAlignment="1">
      <alignment horizontal="right"/>
    </xf>
    <xf numFmtId="0" fontId="35" fillId="0" borderId="0" xfId="17"/>
    <xf numFmtId="0" fontId="41" fillId="17" borderId="41" xfId="18" applyFont="1" applyFill="1" applyBorder="1" applyAlignment="1">
      <alignment horizontal="center" vertical="top" wrapText="1"/>
    </xf>
    <xf numFmtId="0" fontId="33" fillId="0" borderId="0" xfId="17" applyFont="1"/>
    <xf numFmtId="0" fontId="38" fillId="0" borderId="40" xfId="18" applyFont="1" applyBorder="1" applyAlignment="1">
      <alignment horizontal="right"/>
    </xf>
    <xf numFmtId="0" fontId="38" fillId="24" borderId="40" xfId="18" applyFont="1" applyFill="1" applyBorder="1" applyAlignment="1">
      <alignment horizontal="right"/>
    </xf>
    <xf numFmtId="0" fontId="19" fillId="15" borderId="0" xfId="18" applyFill="1"/>
    <xf numFmtId="0" fontId="45" fillId="2" borderId="40" xfId="18" applyFont="1" applyFill="1" applyBorder="1" applyAlignment="1">
      <alignment vertical="top" wrapText="1"/>
    </xf>
    <xf numFmtId="0" fontId="44" fillId="60" borderId="40" xfId="18" applyFont="1" applyFill="1" applyBorder="1" applyAlignment="1">
      <alignment horizontal="center"/>
    </xf>
    <xf numFmtId="0" fontId="38" fillId="2" borderId="40" xfId="18" applyFont="1" applyFill="1" applyBorder="1" applyAlignment="1">
      <alignment horizontal="right"/>
    </xf>
    <xf numFmtId="0" fontId="45" fillId="5" borderId="40" xfId="18" applyFont="1" applyFill="1" applyBorder="1" applyAlignment="1">
      <alignment vertical="top" wrapText="1"/>
    </xf>
    <xf numFmtId="0" fontId="44" fillId="61" borderId="40" xfId="18" applyFont="1" applyFill="1" applyBorder="1" applyAlignment="1">
      <alignment horizontal="center"/>
    </xf>
    <xf numFmtId="0" fontId="38" fillId="5" borderId="40" xfId="18" applyFont="1" applyFill="1" applyBorder="1" applyAlignment="1">
      <alignment horizontal="right"/>
    </xf>
    <xf numFmtId="0" fontId="19" fillId="2" borderId="0" xfId="18" applyFill="1"/>
    <xf numFmtId="0" fontId="0" fillId="0" borderId="0" xfId="0" applyAlignment="1">
      <alignment horizontal="left" vertical="top"/>
    </xf>
    <xf numFmtId="0" fontId="35" fillId="0" borderId="0" xfId="17" applyAlignment="1">
      <alignment horizontal="left" vertical="center"/>
    </xf>
    <xf numFmtId="0" fontId="73" fillId="59" borderId="40" xfId="0" applyFont="1" applyFill="1" applyBorder="1" applyAlignment="1">
      <alignment horizontal="center"/>
    </xf>
    <xf numFmtId="167" fontId="47" fillId="62" borderId="40" xfId="1" applyNumberFormat="1" applyFont="1" applyFill="1" applyBorder="1" applyAlignment="1">
      <alignment horizontal="right"/>
    </xf>
    <xf numFmtId="167" fontId="19" fillId="62" borderId="40" xfId="1" applyNumberFormat="1" applyFont="1" applyFill="1" applyBorder="1" applyAlignment="1">
      <alignment horizontal="right"/>
    </xf>
    <xf numFmtId="0" fontId="38" fillId="62" borderId="40" xfId="0" applyFont="1" applyFill="1" applyBorder="1" applyAlignment="1">
      <alignment horizontal="right"/>
    </xf>
    <xf numFmtId="0" fontId="43" fillId="62" borderId="40" xfId="0" applyFont="1" applyFill="1" applyBorder="1" applyAlignment="1">
      <alignment vertical="center" wrapText="1"/>
    </xf>
    <xf numFmtId="167" fontId="38" fillId="0" borderId="40" xfId="18" applyNumberFormat="1" applyFont="1" applyBorder="1" applyAlignment="1">
      <alignment horizontal="right"/>
    </xf>
    <xf numFmtId="167" fontId="19" fillId="15" borderId="0" xfId="18" applyNumberFormat="1" applyFill="1"/>
    <xf numFmtId="0" fontId="43" fillId="63" borderId="40" xfId="0" applyFont="1" applyFill="1" applyBorder="1" applyAlignment="1">
      <alignment horizontal="right" vertical="center" wrapText="1"/>
    </xf>
    <xf numFmtId="0" fontId="75" fillId="62" borderId="40" xfId="0" applyFont="1" applyFill="1" applyBorder="1" applyAlignment="1">
      <alignment vertical="center" wrapText="1"/>
    </xf>
    <xf numFmtId="0" fontId="12" fillId="7" borderId="0" xfId="0" applyFont="1" applyFill="1" applyAlignment="1">
      <alignment vertical="center"/>
    </xf>
    <xf numFmtId="0" fontId="12" fillId="15" borderId="0" xfId="0" applyFont="1" applyFill="1" applyAlignment="1">
      <alignment vertical="center"/>
    </xf>
    <xf numFmtId="0" fontId="43" fillId="63" borderId="40" xfId="0" applyFont="1" applyFill="1" applyBorder="1" applyAlignment="1">
      <alignment vertical="center" wrapText="1"/>
    </xf>
    <xf numFmtId="9" fontId="47" fillId="62" borderId="40" xfId="6" applyFont="1" applyFill="1" applyBorder="1" applyAlignment="1">
      <alignment horizontal="right"/>
    </xf>
    <xf numFmtId="0" fontId="43" fillId="62" borderId="40" xfId="0" applyFont="1" applyFill="1" applyBorder="1" applyAlignment="1">
      <alignment horizontal="right" vertical="center" wrapText="1"/>
    </xf>
    <xf numFmtId="0" fontId="74" fillId="7" borderId="0" xfId="0" applyFont="1" applyFill="1" applyAlignment="1">
      <alignment vertical="center" wrapText="1"/>
    </xf>
    <xf numFmtId="0" fontId="35" fillId="0" borderId="24" xfId="17" applyFill="1" applyBorder="1"/>
    <xf numFmtId="9" fontId="1" fillId="0" borderId="2" xfId="0" applyNumberFormat="1" applyFont="1" applyBorder="1"/>
    <xf numFmtId="0" fontId="1" fillId="7" borderId="0" xfId="0" applyFont="1" applyFill="1" applyAlignment="1">
      <alignment vertical="center"/>
    </xf>
    <xf numFmtId="9" fontId="0" fillId="0" borderId="2" xfId="0" applyNumberFormat="1" applyBorder="1"/>
    <xf numFmtId="0" fontId="1" fillId="15" borderId="0" xfId="0" applyFont="1" applyFill="1" applyAlignment="1">
      <alignment vertical="center"/>
    </xf>
    <xf numFmtId="0" fontId="19" fillId="15" borderId="0" xfId="18" applyFill="1"/>
    <xf numFmtId="0" fontId="45" fillId="5" borderId="40" xfId="18" applyFont="1" applyFill="1" applyBorder="1" applyAlignment="1">
      <alignment vertical="top" wrapText="1"/>
    </xf>
    <xf numFmtId="0" fontId="44" fillId="61" borderId="40" xfId="18" applyFont="1" applyFill="1" applyBorder="1" applyAlignment="1">
      <alignment horizontal="center"/>
    </xf>
    <xf numFmtId="4" fontId="22" fillId="14" borderId="2" xfId="14" applyFont="1" applyFill="1" applyBorder="1" applyAlignment="1">
      <alignment horizontal="center" vertical="center"/>
    </xf>
    <xf numFmtId="4" fontId="22" fillId="14" borderId="2" xfId="14" applyFont="1" applyFill="1" applyBorder="1" applyAlignment="1">
      <alignment horizontal="center" vertical="center" wrapText="1"/>
    </xf>
    <xf numFmtId="4" fontId="22" fillId="14" borderId="17" xfId="14" applyFont="1" applyFill="1" applyBorder="1" applyAlignment="1">
      <alignment horizontal="center" vertical="center" wrapText="1"/>
    </xf>
    <xf numFmtId="4" fontId="22" fillId="14" borderId="2" xfId="15" applyFont="1" applyFill="1" applyBorder="1" applyAlignment="1">
      <alignment horizontal="center" vertical="center" wrapText="1"/>
    </xf>
    <xf numFmtId="0" fontId="22" fillId="14" borderId="2" xfId="14" applyNumberFormat="1" applyFont="1" applyFill="1" applyBorder="1" applyAlignment="1">
      <alignment horizontal="center" vertical="center" wrapText="1"/>
    </xf>
    <xf numFmtId="1" fontId="0" fillId="0" borderId="0" xfId="0" applyNumberFormat="1"/>
    <xf numFmtId="0" fontId="1" fillId="6" borderId="21" xfId="0" applyFont="1" applyFill="1" applyBorder="1"/>
    <xf numFmtId="183" fontId="47" fillId="0" borderId="12" xfId="18" applyNumberFormat="1" applyFont="1" applyBorder="1"/>
    <xf numFmtId="0" fontId="19" fillId="0" borderId="0" xfId="18" applyBorder="1"/>
    <xf numFmtId="0" fontId="19" fillId="2" borderId="17" xfId="18" applyFill="1" applyBorder="1"/>
    <xf numFmtId="0" fontId="47" fillId="0" borderId="22" xfId="18" applyFont="1" applyBorder="1"/>
    <xf numFmtId="0" fontId="37" fillId="0" borderId="0" xfId="18" applyFont="1" applyAlignment="1">
      <alignment horizontal="left"/>
    </xf>
    <xf numFmtId="0" fontId="19" fillId="6" borderId="0" xfId="18" applyFill="1"/>
    <xf numFmtId="183" fontId="47" fillId="6" borderId="12" xfId="18" applyNumberFormat="1" applyFont="1" applyFill="1" applyBorder="1"/>
    <xf numFmtId="0" fontId="47" fillId="6" borderId="0" xfId="18" applyFont="1" applyFill="1"/>
    <xf numFmtId="165" fontId="1" fillId="6" borderId="0" xfId="1" applyNumberFormat="1" applyFont="1" applyFill="1"/>
    <xf numFmtId="0" fontId="33" fillId="22" borderId="17" xfId="0" applyFont="1" applyFill="1" applyBorder="1" applyAlignment="1">
      <alignment horizontal="center" vertical="center" wrapText="1"/>
    </xf>
    <xf numFmtId="0" fontId="37" fillId="22" borderId="17" xfId="0" applyFont="1" applyFill="1" applyBorder="1" applyAlignment="1">
      <alignment horizontal="center" vertical="center" wrapText="1"/>
    </xf>
    <xf numFmtId="164" fontId="1" fillId="6" borderId="2" xfId="0" applyNumberFormat="1" applyFont="1" applyFill="1" applyBorder="1"/>
    <xf numFmtId="164" fontId="36" fillId="5" borderId="2" xfId="0" applyNumberFormat="1" applyFont="1" applyFill="1" applyBorder="1"/>
    <xf numFmtId="4" fontId="18" fillId="9" borderId="0" xfId="15" applyFont="1" applyFill="1" applyAlignment="1">
      <alignment horizontal="left" vertical="top"/>
    </xf>
    <xf numFmtId="4" fontId="20" fillId="9" borderId="0" xfId="15" applyFont="1" applyFill="1" applyAlignment="1">
      <alignment horizontal="left"/>
    </xf>
    <xf numFmtId="4" fontId="20" fillId="9" borderId="0" xfId="15" applyFont="1" applyFill="1"/>
    <xf numFmtId="49" fontId="20" fillId="9" borderId="0" xfId="64" applyNumberFormat="1" applyFont="1" applyFill="1" applyAlignment="1">
      <alignment horizontal="right"/>
    </xf>
    <xf numFmtId="4" fontId="20" fillId="0" borderId="0" xfId="15" applyFont="1"/>
    <xf numFmtId="2" fontId="20" fillId="9" borderId="0" xfId="64" applyNumberFormat="1" applyFont="1" applyFill="1" applyAlignment="1">
      <alignment horizontal="left"/>
    </xf>
    <xf numFmtId="2" fontId="20" fillId="9" borderId="0" xfId="64" applyNumberFormat="1" applyFont="1" applyFill="1" applyAlignment="1">
      <alignment horizontal="right"/>
    </xf>
    <xf numFmtId="4" fontId="18" fillId="9" borderId="0" xfId="15" applyFont="1" applyFill="1"/>
    <xf numFmtId="4" fontId="22" fillId="9" borderId="0" xfId="15" applyFont="1" applyFill="1"/>
    <xf numFmtId="4" fontId="20" fillId="9" borderId="0" xfId="15" applyFont="1" applyFill="1" applyAlignment="1">
      <alignment vertical="top"/>
    </xf>
    <xf numFmtId="4" fontId="20" fillId="0" borderId="0" xfId="15" applyFont="1" applyAlignment="1">
      <alignment vertical="top"/>
    </xf>
    <xf numFmtId="4" fontId="20" fillId="0" borderId="0" xfId="14" applyFont="1"/>
    <xf numFmtId="4" fontId="22" fillId="14" borderId="72" xfId="14" applyFont="1" applyFill="1" applyBorder="1" applyAlignment="1">
      <alignment horizontal="center" vertical="center" wrapText="1"/>
    </xf>
    <xf numFmtId="4" fontId="22" fillId="14" borderId="73" xfId="14" applyFont="1" applyFill="1" applyBorder="1" applyAlignment="1">
      <alignment horizontal="left" vertical="center" wrapText="1"/>
    </xf>
    <xf numFmtId="2" fontId="77" fillId="13" borderId="2" xfId="0" applyNumberFormat="1" applyFont="1" applyFill="1" applyBorder="1" applyAlignment="1">
      <alignment horizontal="right"/>
    </xf>
    <xf numFmtId="2" fontId="77" fillId="8" borderId="2" xfId="0" applyNumberFormat="1" applyFont="1" applyFill="1" applyBorder="1" applyAlignment="1">
      <alignment horizontal="right"/>
    </xf>
    <xf numFmtId="4" fontId="20" fillId="0" borderId="0" xfId="14" applyFont="1" applyAlignment="1">
      <alignment vertical="center"/>
    </xf>
    <xf numFmtId="4" fontId="22" fillId="14" borderId="2" xfId="14" applyFont="1" applyFill="1" applyBorder="1" applyAlignment="1">
      <alignment horizontal="left" vertical="center" wrapText="1" indent="1"/>
    </xf>
    <xf numFmtId="0" fontId="77" fillId="12" borderId="2" xfId="0" applyFont="1" applyFill="1" applyBorder="1" applyAlignment="1">
      <alignment horizontal="left" indent="4"/>
    </xf>
    <xf numFmtId="2" fontId="77" fillId="12" borderId="2" xfId="0" applyNumberFormat="1" applyFont="1" applyFill="1" applyBorder="1" applyAlignment="1">
      <alignment horizontal="right"/>
    </xf>
    <xf numFmtId="0" fontId="77" fillId="8" borderId="2" xfId="0" applyFont="1" applyFill="1" applyBorder="1" applyAlignment="1">
      <alignment horizontal="left" indent="6"/>
    </xf>
    <xf numFmtId="4" fontId="22" fillId="14" borderId="74" xfId="14" applyFont="1" applyFill="1" applyBorder="1" applyAlignment="1">
      <alignment horizontal="left" vertical="center"/>
    </xf>
    <xf numFmtId="4" fontId="22" fillId="14" borderId="73" xfId="14" applyFont="1" applyFill="1" applyBorder="1" applyAlignment="1">
      <alignment horizontal="left" vertical="center" wrapText="1" indent="1"/>
    </xf>
    <xf numFmtId="4" fontId="22" fillId="14" borderId="75" xfId="14" applyFont="1" applyFill="1" applyBorder="1" applyAlignment="1">
      <alignment horizontal="left" vertical="center" wrapText="1" indent="1"/>
    </xf>
    <xf numFmtId="4" fontId="26" fillId="9" borderId="0" xfId="15" applyFont="1" applyFill="1"/>
    <xf numFmtId="0" fontId="20" fillId="9" borderId="2" xfId="65" applyFont="1" applyFill="1" applyBorder="1" applyAlignment="1">
      <alignment horizontal="left" vertical="center"/>
    </xf>
    <xf numFmtId="0" fontId="24" fillId="9" borderId="0" xfId="0" applyFont="1" applyFill="1" applyAlignment="1">
      <alignment horizontal="left" vertical="top" wrapText="1"/>
    </xf>
    <xf numFmtId="2" fontId="20" fillId="5" borderId="0" xfId="0" applyNumberFormat="1" applyFont="1" applyFill="1" applyBorder="1" applyAlignment="1">
      <alignment horizontal="right"/>
    </xf>
    <xf numFmtId="4" fontId="22" fillId="14" borderId="0" xfId="14" applyFont="1" applyFill="1" applyBorder="1" applyAlignment="1">
      <alignment horizontal="left" vertical="center" wrapText="1"/>
    </xf>
    <xf numFmtId="4" fontId="22" fillId="6" borderId="0" xfId="14" applyFont="1" applyFill="1" applyBorder="1" applyAlignment="1">
      <alignment horizontal="left" vertical="center" wrapText="1"/>
    </xf>
    <xf numFmtId="2" fontId="20" fillId="6" borderId="0" xfId="0" applyNumberFormat="1" applyFont="1" applyFill="1" applyBorder="1" applyAlignment="1">
      <alignment horizontal="right"/>
    </xf>
    <xf numFmtId="0" fontId="32" fillId="6" borderId="0" xfId="0" applyFont="1" applyFill="1" applyBorder="1" applyAlignment="1"/>
    <xf numFmtId="2" fontId="20" fillId="6" borderId="0" xfId="0" applyNumberFormat="1" applyFont="1" applyFill="1" applyBorder="1" applyAlignment="1">
      <alignment horizontal="left"/>
    </xf>
    <xf numFmtId="1" fontId="20" fillId="6" borderId="0" xfId="0" applyNumberFormat="1" applyFont="1" applyFill="1" applyBorder="1" applyAlignment="1">
      <alignment horizontal="right"/>
    </xf>
    <xf numFmtId="2" fontId="31" fillId="6" borderId="0" xfId="0" applyNumberFormat="1" applyFont="1" applyFill="1" applyBorder="1" applyAlignment="1">
      <alignment horizontal="right"/>
    </xf>
    <xf numFmtId="168" fontId="31" fillId="6" borderId="0" xfId="0" applyNumberFormat="1" applyFont="1" applyFill="1" applyBorder="1" applyAlignment="1">
      <alignment horizontal="right"/>
    </xf>
    <xf numFmtId="4" fontId="22" fillId="5" borderId="0" xfId="14" applyFont="1" applyFill="1" applyBorder="1" applyAlignment="1">
      <alignment horizontal="left" vertical="center" wrapText="1"/>
    </xf>
    <xf numFmtId="2" fontId="20" fillId="5" borderId="0" xfId="0" applyNumberFormat="1" applyFont="1" applyFill="1" applyBorder="1" applyAlignment="1">
      <alignment horizontal="left"/>
    </xf>
    <xf numFmtId="1" fontId="20" fillId="5" borderId="2" xfId="0" applyNumberFormat="1" applyFont="1" applyFill="1" applyBorder="1" applyAlignment="1">
      <alignment horizontal="right"/>
    </xf>
    <xf numFmtId="2" fontId="31" fillId="5" borderId="2" xfId="0" applyNumberFormat="1" applyFont="1" applyFill="1" applyBorder="1" applyAlignment="1">
      <alignment horizontal="right"/>
    </xf>
    <xf numFmtId="1" fontId="20" fillId="5" borderId="21" xfId="0" applyNumberFormat="1" applyFont="1" applyFill="1" applyBorder="1" applyAlignment="1">
      <alignment horizontal="right"/>
    </xf>
    <xf numFmtId="2" fontId="20" fillId="5" borderId="21" xfId="0" applyNumberFormat="1" applyFont="1" applyFill="1" applyBorder="1" applyAlignment="1">
      <alignment horizontal="right"/>
    </xf>
    <xf numFmtId="2" fontId="20" fillId="13" borderId="2" xfId="0" applyNumberFormat="1" applyFont="1" applyFill="1" applyBorder="1" applyAlignment="1">
      <alignment horizontal="left"/>
    </xf>
    <xf numFmtId="2" fontId="20" fillId="5" borderId="2" xfId="0" applyNumberFormat="1" applyFont="1" applyFill="1" applyBorder="1" applyAlignment="1">
      <alignment horizontal="left"/>
    </xf>
    <xf numFmtId="2" fontId="20" fillId="6" borderId="2" xfId="0" applyNumberFormat="1" applyFont="1" applyFill="1" applyBorder="1" applyAlignment="1">
      <alignment horizontal="left"/>
    </xf>
    <xf numFmtId="2" fontId="22" fillId="15" borderId="2" xfId="0" applyNumberFormat="1" applyFont="1" applyFill="1" applyBorder="1" applyAlignment="1">
      <alignment horizontal="right"/>
    </xf>
    <xf numFmtId="1" fontId="22" fillId="15" borderId="2" xfId="0" applyNumberFormat="1" applyFont="1" applyFill="1" applyBorder="1" applyAlignment="1">
      <alignment horizontal="right"/>
    </xf>
    <xf numFmtId="2" fontId="22" fillId="15" borderId="17" xfId="0" applyNumberFormat="1" applyFont="1" applyFill="1" applyBorder="1" applyAlignment="1">
      <alignment horizontal="right"/>
    </xf>
    <xf numFmtId="2" fontId="22" fillId="15" borderId="2" xfId="0" applyNumberFormat="1" applyFont="1" applyFill="1" applyBorder="1" applyAlignment="1">
      <alignment horizontal="left"/>
    </xf>
    <xf numFmtId="4" fontId="22" fillId="21" borderId="38" xfId="14" applyFont="1" applyFill="1" applyBorder="1" applyAlignment="1">
      <alignment horizontal="center" vertical="center" wrapText="1"/>
    </xf>
    <xf numFmtId="0" fontId="3" fillId="21" borderId="0" xfId="2" applyFill="1"/>
    <xf numFmtId="0" fontId="0" fillId="0" borderId="12" xfId="0" applyBorder="1" applyAlignment="1">
      <alignment horizontal="center" vertical="center" wrapText="1"/>
    </xf>
    <xf numFmtId="178" fontId="0" fillId="0" borderId="9" xfId="0" applyNumberFormat="1" applyBorder="1" applyAlignment="1">
      <alignment horizontal="center" vertical="center"/>
    </xf>
    <xf numFmtId="165" fontId="3" fillId="6" borderId="9" xfId="4" applyNumberFormat="1" applyFont="1" applyFill="1" applyBorder="1" applyAlignment="1">
      <alignment wrapText="1"/>
    </xf>
    <xf numFmtId="164" fontId="3" fillId="6" borderId="12" xfId="1" applyNumberFormat="1" applyFont="1" applyFill="1" applyBorder="1" applyAlignment="1">
      <alignment wrapText="1"/>
    </xf>
    <xf numFmtId="4" fontId="22" fillId="6" borderId="2" xfId="14" applyFont="1" applyFill="1" applyBorder="1" applyAlignment="1">
      <alignment horizontal="center" vertical="center" wrapText="1"/>
    </xf>
    <xf numFmtId="4" fontId="22" fillId="6" borderId="38" xfId="14" applyFont="1" applyFill="1" applyBorder="1" applyAlignment="1">
      <alignment horizontal="center" vertical="center" wrapText="1"/>
    </xf>
    <xf numFmtId="4" fontId="22" fillId="6" borderId="2" xfId="14" applyFont="1" applyFill="1" applyBorder="1" applyAlignment="1">
      <alignment horizontal="left" vertical="center" wrapText="1"/>
    </xf>
    <xf numFmtId="2" fontId="31" fillId="6" borderId="2" xfId="0" applyNumberFormat="1" applyFont="1" applyFill="1" applyBorder="1" applyAlignment="1">
      <alignment horizontal="right"/>
    </xf>
    <xf numFmtId="4" fontId="22" fillId="6" borderId="2" xfId="14" applyFont="1" applyFill="1" applyBorder="1" applyAlignment="1">
      <alignment horizontal="center"/>
    </xf>
    <xf numFmtId="4" fontId="22" fillId="6" borderId="17" xfId="14" applyFont="1" applyFill="1" applyBorder="1" applyAlignment="1">
      <alignment horizontal="center" vertical="center"/>
    </xf>
    <xf numFmtId="4" fontId="22" fillId="6" borderId="2" xfId="14" applyFont="1" applyFill="1" applyBorder="1" applyAlignment="1">
      <alignment horizontal="center" vertical="center"/>
    </xf>
    <xf numFmtId="0" fontId="1" fillId="6" borderId="23" xfId="0" applyFont="1" applyFill="1" applyBorder="1" applyAlignment="1"/>
    <xf numFmtId="4" fontId="22" fillId="6" borderId="21" xfId="14" applyFont="1" applyFill="1" applyBorder="1" applyAlignment="1">
      <alignment horizontal="center" vertical="center"/>
    </xf>
    <xf numFmtId="4" fontId="22" fillId="6" borderId="56" xfId="14" applyFont="1" applyFill="1" applyBorder="1" applyAlignment="1">
      <alignment horizontal="center" vertical="center"/>
    </xf>
    <xf numFmtId="0" fontId="22" fillId="6" borderId="12" xfId="14" applyNumberFormat="1" applyFont="1" applyFill="1" applyBorder="1" applyAlignment="1">
      <alignment horizontal="center" vertical="center"/>
    </xf>
    <xf numFmtId="4" fontId="22" fillId="6" borderId="16" xfId="14" applyFont="1" applyFill="1" applyBorder="1" applyAlignment="1">
      <alignment horizontal="center" vertical="center" wrapText="1"/>
    </xf>
    <xf numFmtId="4" fontId="22" fillId="6" borderId="12" xfId="14" applyFont="1" applyFill="1" applyBorder="1" applyAlignment="1">
      <alignment horizontal="center" vertical="center" wrapText="1"/>
    </xf>
    <xf numFmtId="164" fontId="48" fillId="6" borderId="2" xfId="0" applyNumberFormat="1" applyFont="1" applyFill="1" applyBorder="1"/>
    <xf numFmtId="2" fontId="31" fillId="6" borderId="2" xfId="0" applyNumberFormat="1" applyFont="1" applyFill="1" applyBorder="1" applyAlignment="1">
      <alignment horizontal="left"/>
    </xf>
    <xf numFmtId="2" fontId="79" fillId="6" borderId="0" xfId="0" applyNumberFormat="1" applyFont="1" applyFill="1" applyBorder="1" applyAlignment="1">
      <alignment horizontal="left"/>
    </xf>
    <xf numFmtId="2" fontId="79" fillId="6" borderId="2" xfId="0" applyNumberFormat="1" applyFont="1" applyFill="1" applyBorder="1" applyAlignment="1">
      <alignment horizontal="left"/>
    </xf>
    <xf numFmtId="167" fontId="31" fillId="6" borderId="2" xfId="1" applyNumberFormat="1" applyFont="1" applyFill="1" applyBorder="1" applyAlignment="1">
      <alignment horizontal="right"/>
    </xf>
    <xf numFmtId="167" fontId="31" fillId="6" borderId="17" xfId="1" applyNumberFormat="1" applyFont="1" applyFill="1" applyBorder="1" applyAlignment="1">
      <alignment horizontal="right"/>
    </xf>
    <xf numFmtId="167" fontId="79" fillId="6" borderId="0" xfId="1" applyNumberFormat="1" applyFont="1" applyFill="1" applyBorder="1" applyAlignment="1">
      <alignment horizontal="right"/>
    </xf>
    <xf numFmtId="167" fontId="79" fillId="6" borderId="2" xfId="1" applyNumberFormat="1" applyFont="1" applyFill="1" applyBorder="1" applyAlignment="1">
      <alignment horizontal="right"/>
    </xf>
    <xf numFmtId="0" fontId="0" fillId="0" borderId="0" xfId="0" applyAlignment="1">
      <alignment wrapText="1"/>
    </xf>
    <xf numFmtId="0" fontId="36" fillId="0" borderId="0" xfId="0" applyFont="1" applyAlignment="1">
      <alignment wrapText="1"/>
    </xf>
    <xf numFmtId="0" fontId="0" fillId="2" borderId="0" xfId="0" applyFill="1" applyAlignment="1">
      <alignment wrapText="1"/>
    </xf>
    <xf numFmtId="0" fontId="0" fillId="0" borderId="0" xfId="0" applyAlignment="1">
      <alignment horizontal="left" vertical="center" wrapText="1"/>
    </xf>
    <xf numFmtId="0" fontId="0" fillId="0" borderId="0" xfId="0" applyAlignment="1">
      <alignment vertical="center" wrapText="1"/>
    </xf>
    <xf numFmtId="0" fontId="0" fillId="6" borderId="2" xfId="0" applyFill="1" applyBorder="1" applyAlignment="1">
      <alignment horizontal="center" vertical="center"/>
    </xf>
    <xf numFmtId="0" fontId="1" fillId="5" borderId="2" xfId="0" applyFont="1" applyFill="1" applyBorder="1"/>
    <xf numFmtId="0" fontId="1" fillId="6" borderId="2" xfId="0" applyFont="1" applyFill="1" applyBorder="1"/>
    <xf numFmtId="165" fontId="1" fillId="0" borderId="0" xfId="0" applyNumberFormat="1" applyFont="1"/>
    <xf numFmtId="0" fontId="0" fillId="6" borderId="2" xfId="0" applyFill="1" applyBorder="1" applyAlignment="1">
      <alignment horizontal="center" vertical="center" wrapText="1"/>
    </xf>
    <xf numFmtId="9" fontId="0" fillId="6" borderId="2" xfId="0" applyNumberFormat="1" applyFill="1" applyBorder="1" applyAlignment="1">
      <alignment horizontal="center" vertical="center" wrapText="1"/>
    </xf>
    <xf numFmtId="164" fontId="0" fillId="6" borderId="2" xfId="0" applyNumberFormat="1" applyFill="1" applyBorder="1"/>
    <xf numFmtId="0" fontId="40" fillId="17" borderId="40" xfId="18" applyFont="1" applyFill="1" applyBorder="1" applyAlignment="1">
      <alignment horizontal="center" vertical="top" wrapText="1"/>
    </xf>
    <xf numFmtId="0" fontId="53" fillId="0" borderId="40" xfId="18" applyFont="1" applyBorder="1" applyAlignment="1">
      <alignment horizontal="right"/>
    </xf>
    <xf numFmtId="0" fontId="53" fillId="24" borderId="40" xfId="18" applyFont="1" applyFill="1" applyBorder="1" applyAlignment="1">
      <alignment horizontal="right"/>
    </xf>
    <xf numFmtId="167" fontId="53" fillId="0" borderId="40" xfId="18" applyNumberFormat="1" applyFont="1" applyBorder="1" applyAlignment="1">
      <alignment horizontal="right"/>
    </xf>
    <xf numFmtId="0" fontId="53" fillId="2" borderId="40" xfId="18" applyFont="1" applyFill="1" applyBorder="1" applyAlignment="1">
      <alignment horizontal="right"/>
    </xf>
    <xf numFmtId="0" fontId="53" fillId="5" borderId="40" xfId="18" applyFont="1" applyFill="1" applyBorder="1" applyAlignment="1">
      <alignment horizontal="right"/>
    </xf>
    <xf numFmtId="0" fontId="19" fillId="0" borderId="0" xfId="18" applyFont="1"/>
    <xf numFmtId="0" fontId="80" fillId="19" borderId="40" xfId="18" applyFont="1" applyFill="1" applyBorder="1" applyAlignment="1">
      <alignment horizontal="center"/>
    </xf>
    <xf numFmtId="9" fontId="19" fillId="62" borderId="40" xfId="6" applyFont="1" applyFill="1" applyBorder="1" applyAlignment="1">
      <alignment horizontal="right"/>
    </xf>
    <xf numFmtId="164" fontId="0" fillId="6" borderId="2" xfId="0" applyNumberFormat="1" applyFill="1" applyBorder="1" applyAlignment="1">
      <alignment horizontal="center" vertical="center"/>
    </xf>
    <xf numFmtId="2" fontId="20" fillId="2" borderId="2" xfId="0" applyNumberFormat="1" applyFont="1" applyFill="1" applyBorder="1" applyAlignment="1">
      <alignment horizontal="left"/>
    </xf>
    <xf numFmtId="1" fontId="20" fillId="2" borderId="2" xfId="0" applyNumberFormat="1" applyFont="1" applyFill="1" applyBorder="1" applyAlignment="1">
      <alignment horizontal="right"/>
    </xf>
    <xf numFmtId="2" fontId="20" fillId="2" borderId="2" xfId="0" applyNumberFormat="1" applyFont="1" applyFill="1" applyBorder="1" applyAlignment="1">
      <alignment horizontal="right"/>
    </xf>
    <xf numFmtId="2" fontId="31" fillId="2" borderId="2" xfId="0" applyNumberFormat="1" applyFont="1" applyFill="1" applyBorder="1" applyAlignment="1">
      <alignment horizontal="right"/>
    </xf>
    <xf numFmtId="165" fontId="3" fillId="6" borderId="21" xfId="4" applyNumberFormat="1" applyFont="1" applyFill="1" applyBorder="1" applyAlignment="1">
      <alignment wrapText="1"/>
    </xf>
    <xf numFmtId="178" fontId="0" fillId="6" borderId="21" xfId="0" applyNumberFormat="1" applyFill="1" applyBorder="1"/>
    <xf numFmtId="178" fontId="0" fillId="0" borderId="21" xfId="0" applyNumberFormat="1" applyBorder="1" applyAlignment="1">
      <alignment horizontal="center" vertical="center"/>
    </xf>
    <xf numFmtId="0" fontId="0" fillId="2" borderId="24" xfId="0" applyFill="1" applyBorder="1" applyAlignment="1">
      <alignment horizontal="center" vertical="center" wrapText="1"/>
    </xf>
    <xf numFmtId="168" fontId="0" fillId="2" borderId="2" xfId="0" applyNumberFormat="1" applyFill="1" applyBorder="1"/>
    <xf numFmtId="0" fontId="1" fillId="2" borderId="2" xfId="0" applyFont="1" applyFill="1" applyBorder="1"/>
    <xf numFmtId="0" fontId="47" fillId="0" borderId="0" xfId="18" applyFont="1" applyAlignment="1">
      <alignment horizontal="left" vertical="center"/>
    </xf>
    <xf numFmtId="0" fontId="19" fillId="0" borderId="0" xfId="18" applyAlignment="1">
      <alignment horizontal="left" vertical="center"/>
    </xf>
    <xf numFmtId="0" fontId="19" fillId="0" borderId="0" xfId="18" applyAlignment="1">
      <alignment vertical="center"/>
    </xf>
    <xf numFmtId="0" fontId="19" fillId="0" borderId="23" xfId="18" applyBorder="1" applyAlignment="1">
      <alignment horizontal="center" vertical="center"/>
    </xf>
    <xf numFmtId="0" fontId="19" fillId="0" borderId="38" xfId="18" applyBorder="1" applyAlignment="1">
      <alignment horizontal="center" vertical="center"/>
    </xf>
    <xf numFmtId="0" fontId="19" fillId="0" borderId="80" xfId="18" applyBorder="1" applyAlignment="1">
      <alignment horizontal="center" vertical="center"/>
    </xf>
    <xf numFmtId="0" fontId="19" fillId="0" borderId="82" xfId="18" applyBorder="1" applyAlignment="1">
      <alignment horizontal="center" vertical="center"/>
    </xf>
    <xf numFmtId="0" fontId="19" fillId="0" borderId="83" xfId="18" applyBorder="1" applyAlignment="1">
      <alignment horizontal="center" vertical="center"/>
    </xf>
    <xf numFmtId="0" fontId="19" fillId="0" borderId="84" xfId="18" applyBorder="1" applyAlignment="1">
      <alignment horizontal="center" vertical="center"/>
    </xf>
    <xf numFmtId="0" fontId="19" fillId="0" borderId="85" xfId="18" applyBorder="1" applyAlignment="1">
      <alignment horizontal="center" vertical="center" wrapText="1"/>
    </xf>
    <xf numFmtId="3" fontId="19" fillId="0" borderId="86" xfId="18" applyNumberFormat="1" applyBorder="1" applyAlignment="1">
      <alignment horizontal="center" vertical="center"/>
    </xf>
    <xf numFmtId="164" fontId="19" fillId="0" borderId="87" xfId="18" applyNumberFormat="1" applyBorder="1" applyAlignment="1">
      <alignment horizontal="center" vertical="center"/>
    </xf>
    <xf numFmtId="164" fontId="19" fillId="0" borderId="88" xfId="18" applyNumberFormat="1" applyBorder="1" applyAlignment="1">
      <alignment horizontal="center" vertical="center"/>
    </xf>
    <xf numFmtId="164" fontId="19" fillId="0" borderId="87" xfId="18" quotePrefix="1" applyNumberFormat="1" applyBorder="1" applyAlignment="1">
      <alignment horizontal="center" vertical="center"/>
    </xf>
    <xf numFmtId="3" fontId="19" fillId="0" borderId="0" xfId="18" applyNumberFormat="1" applyAlignment="1">
      <alignment vertical="center"/>
    </xf>
    <xf numFmtId="164" fontId="19" fillId="0" borderId="89" xfId="18" applyNumberFormat="1" applyBorder="1" applyAlignment="1">
      <alignment horizontal="center" vertical="center"/>
    </xf>
    <xf numFmtId="0" fontId="19" fillId="0" borderId="90" xfId="18" applyBorder="1" applyAlignment="1">
      <alignment horizontal="center" vertical="center" wrapText="1"/>
    </xf>
    <xf numFmtId="3" fontId="19" fillId="0" borderId="91" xfId="18" applyNumberFormat="1" applyBorder="1" applyAlignment="1">
      <alignment horizontal="center" vertical="center"/>
    </xf>
    <xf numFmtId="164" fontId="19" fillId="0" borderId="92" xfId="18" applyNumberFormat="1" applyBorder="1" applyAlignment="1">
      <alignment horizontal="center" vertical="center"/>
    </xf>
    <xf numFmtId="164" fontId="19" fillId="0" borderId="93" xfId="18" quotePrefix="1" applyNumberFormat="1" applyBorder="1" applyAlignment="1">
      <alignment horizontal="center" vertical="center"/>
    </xf>
    <xf numFmtId="164" fontId="19" fillId="0" borderId="92" xfId="18" quotePrefix="1" applyNumberFormat="1" applyBorder="1" applyAlignment="1">
      <alignment horizontal="center" vertical="center"/>
    </xf>
    <xf numFmtId="164" fontId="19" fillId="0" borderId="93" xfId="18" applyNumberFormat="1" applyBorder="1" applyAlignment="1">
      <alignment horizontal="center" vertical="center"/>
    </xf>
    <xf numFmtId="164" fontId="19" fillId="0" borderId="94" xfId="18" applyNumberFormat="1" applyBorder="1" applyAlignment="1">
      <alignment horizontal="center" vertical="center"/>
    </xf>
    <xf numFmtId="164" fontId="19" fillId="0" borderId="94" xfId="18" quotePrefix="1" applyNumberFormat="1" applyBorder="1" applyAlignment="1">
      <alignment horizontal="center" vertical="center"/>
    </xf>
    <xf numFmtId="0" fontId="19" fillId="0" borderId="95" xfId="18" applyBorder="1" applyAlignment="1">
      <alignment horizontal="center" vertical="center" wrapText="1"/>
    </xf>
    <xf numFmtId="0" fontId="19" fillId="0" borderId="44" xfId="18" applyBorder="1" applyAlignment="1">
      <alignment horizontal="center" vertical="center" wrapText="1"/>
    </xf>
    <xf numFmtId="0" fontId="19" fillId="0" borderId="96" xfId="18" applyBorder="1" applyAlignment="1">
      <alignment horizontal="center" vertical="center" wrapText="1"/>
    </xf>
    <xf numFmtId="3" fontId="19" fillId="0" borderId="97" xfId="18" applyNumberFormat="1" applyBorder="1" applyAlignment="1">
      <alignment horizontal="center" vertical="center"/>
    </xf>
    <xf numFmtId="164" fontId="19" fillId="0" borderId="98" xfId="18" applyNumberFormat="1" applyBorder="1" applyAlignment="1">
      <alignment horizontal="center" vertical="center"/>
    </xf>
    <xf numFmtId="164" fontId="19" fillId="0" borderId="98" xfId="18" quotePrefix="1" applyNumberFormat="1" applyBorder="1" applyAlignment="1">
      <alignment horizontal="center" vertical="center"/>
    </xf>
    <xf numFmtId="164" fontId="19" fillId="0" borderId="99" xfId="18" applyNumberFormat="1" applyBorder="1" applyAlignment="1">
      <alignment horizontal="center" vertical="center"/>
    </xf>
    <xf numFmtId="164" fontId="19" fillId="0" borderId="99" xfId="18" quotePrefix="1" applyNumberFormat="1" applyBorder="1" applyAlignment="1">
      <alignment horizontal="center" vertical="center"/>
    </xf>
    <xf numFmtId="164" fontId="19" fillId="0" borderId="100" xfId="18" applyNumberFormat="1" applyBorder="1" applyAlignment="1">
      <alignment horizontal="center" vertical="center"/>
    </xf>
    <xf numFmtId="0" fontId="19" fillId="0" borderId="31" xfId="18" applyBorder="1" applyAlignment="1">
      <alignment horizontal="center" vertical="center" wrapText="1"/>
    </xf>
    <xf numFmtId="3" fontId="19" fillId="0" borderId="15" xfId="18" applyNumberFormat="1" applyBorder="1" applyAlignment="1">
      <alignment horizontal="center" vertical="center"/>
    </xf>
    <xf numFmtId="164" fontId="19" fillId="0" borderId="49" xfId="18" applyNumberFormat="1" applyBorder="1" applyAlignment="1">
      <alignment horizontal="center" vertical="center"/>
    </xf>
    <xf numFmtId="164" fontId="19" fillId="0" borderId="33" xfId="18" applyNumberFormat="1" applyBorder="1" applyAlignment="1">
      <alignment horizontal="center" vertical="center"/>
    </xf>
    <xf numFmtId="3" fontId="47" fillId="0" borderId="0" xfId="18" applyNumberFormat="1" applyFont="1" applyAlignment="1">
      <alignment vertical="center"/>
    </xf>
    <xf numFmtId="164" fontId="19" fillId="0" borderId="32" xfId="18" applyNumberFormat="1" applyBorder="1" applyAlignment="1">
      <alignment horizontal="center" vertical="center"/>
    </xf>
    <xf numFmtId="0" fontId="19" fillId="0" borderId="0" xfId="18" applyAlignment="1">
      <alignment horizontal="center" vertical="center"/>
    </xf>
    <xf numFmtId="0" fontId="81" fillId="0" borderId="0" xfId="18" applyFont="1" applyAlignment="1">
      <alignment vertical="center"/>
    </xf>
    <xf numFmtId="10" fontId="19" fillId="0" borderId="0" xfId="18" applyNumberFormat="1" applyAlignment="1">
      <alignment vertical="center"/>
    </xf>
    <xf numFmtId="0" fontId="19" fillId="5" borderId="23" xfId="18" applyFill="1" applyBorder="1" applyAlignment="1">
      <alignment horizontal="center" vertical="center"/>
    </xf>
    <xf numFmtId="0" fontId="19" fillId="5" borderId="38" xfId="18" applyFill="1" applyBorder="1" applyAlignment="1">
      <alignment horizontal="center" vertical="center"/>
    </xf>
    <xf numFmtId="0" fontId="19" fillId="5" borderId="82" xfId="18" applyFill="1" applyBorder="1" applyAlignment="1">
      <alignment horizontal="center" vertical="center"/>
    </xf>
    <xf numFmtId="0" fontId="19" fillId="5" borderId="83" xfId="18" applyFill="1" applyBorder="1" applyAlignment="1">
      <alignment horizontal="center" vertical="center"/>
    </xf>
    <xf numFmtId="3" fontId="19" fillId="5" borderId="86" xfId="18" applyNumberFormat="1" applyFill="1" applyBorder="1" applyAlignment="1">
      <alignment horizontal="center" vertical="center"/>
    </xf>
    <xf numFmtId="164" fontId="19" fillId="5" borderId="87" xfId="18" applyNumberFormat="1" applyFill="1" applyBorder="1" applyAlignment="1">
      <alignment horizontal="center" vertical="center"/>
    </xf>
    <xf numFmtId="3" fontId="19" fillId="5" borderId="91" xfId="18" applyNumberFormat="1" applyFill="1" applyBorder="1" applyAlignment="1">
      <alignment horizontal="center" vertical="center"/>
    </xf>
    <xf numFmtId="164" fontId="19" fillId="5" borderId="92" xfId="18" applyNumberFormat="1" applyFill="1" applyBorder="1" applyAlignment="1">
      <alignment horizontal="center" vertical="center"/>
    </xf>
    <xf numFmtId="164" fontId="19" fillId="5" borderId="92" xfId="18" quotePrefix="1" applyNumberFormat="1" applyFill="1" applyBorder="1" applyAlignment="1">
      <alignment horizontal="center" vertical="center"/>
    </xf>
    <xf numFmtId="3" fontId="19" fillId="5" borderId="97" xfId="18" applyNumberFormat="1" applyFill="1" applyBorder="1" applyAlignment="1">
      <alignment horizontal="center" vertical="center"/>
    </xf>
    <xf numFmtId="164" fontId="19" fillId="5" borderId="98" xfId="18" applyNumberFormat="1" applyFill="1" applyBorder="1" applyAlignment="1">
      <alignment horizontal="center" vertical="center"/>
    </xf>
    <xf numFmtId="164" fontId="19" fillId="5" borderId="98" xfId="18" quotePrefix="1" applyNumberFormat="1" applyFill="1" applyBorder="1" applyAlignment="1">
      <alignment horizontal="center" vertical="center"/>
    </xf>
    <xf numFmtId="3" fontId="19" fillId="5" borderId="15" xfId="18" applyNumberFormat="1" applyFill="1" applyBorder="1" applyAlignment="1">
      <alignment horizontal="center" vertical="center"/>
    </xf>
    <xf numFmtId="164" fontId="19" fillId="5" borderId="49" xfId="18" applyNumberFormat="1" applyFill="1" applyBorder="1" applyAlignment="1">
      <alignment horizontal="center" vertical="center"/>
    </xf>
    <xf numFmtId="0" fontId="0" fillId="5" borderId="0" xfId="0" applyFill="1" applyAlignment="1">
      <alignment wrapText="1"/>
    </xf>
    <xf numFmtId="164" fontId="19" fillId="5" borderId="87" xfId="18" quotePrefix="1" applyNumberFormat="1" applyFill="1" applyBorder="1" applyAlignment="1">
      <alignment horizontal="center" vertical="center"/>
    </xf>
    <xf numFmtId="0" fontId="19" fillId="5" borderId="80" xfId="18" applyFill="1" applyBorder="1" applyAlignment="1">
      <alignment horizontal="center" vertical="center"/>
    </xf>
    <xf numFmtId="0" fontId="19" fillId="5" borderId="84" xfId="18" applyFill="1" applyBorder="1" applyAlignment="1">
      <alignment horizontal="center" vertical="center"/>
    </xf>
    <xf numFmtId="164" fontId="19" fillId="5" borderId="88" xfId="18" applyNumberFormat="1" applyFill="1" applyBorder="1" applyAlignment="1">
      <alignment horizontal="center" vertical="center"/>
    </xf>
    <xf numFmtId="164" fontId="19" fillId="5" borderId="93" xfId="18" quotePrefix="1" applyNumberFormat="1" applyFill="1" applyBorder="1" applyAlignment="1">
      <alignment horizontal="center" vertical="center"/>
    </xf>
    <xf numFmtId="164" fontId="19" fillId="5" borderId="93" xfId="18" applyNumberFormat="1" applyFill="1" applyBorder="1" applyAlignment="1">
      <alignment horizontal="center" vertical="center"/>
    </xf>
    <xf numFmtId="164" fontId="19" fillId="5" borderId="99" xfId="18" applyNumberFormat="1" applyFill="1" applyBorder="1" applyAlignment="1">
      <alignment horizontal="center" vertical="center"/>
    </xf>
    <xf numFmtId="164" fontId="19" fillId="5" borderId="33" xfId="18" applyNumberFormat="1" applyFill="1" applyBorder="1" applyAlignment="1">
      <alignment horizontal="center" vertical="center"/>
    </xf>
    <xf numFmtId="164" fontId="19" fillId="5" borderId="89" xfId="18" quotePrefix="1" applyNumberFormat="1" applyFill="1" applyBorder="1" applyAlignment="1">
      <alignment horizontal="center" vertical="center"/>
    </xf>
    <xf numFmtId="164" fontId="19" fillId="5" borderId="94" xfId="18" quotePrefix="1" applyNumberFormat="1" applyFill="1" applyBorder="1" applyAlignment="1">
      <alignment horizontal="center" vertical="center"/>
    </xf>
    <xf numFmtId="164" fontId="19" fillId="5" borderId="94" xfId="18" applyNumberFormat="1" applyFill="1" applyBorder="1" applyAlignment="1">
      <alignment horizontal="center" vertical="center"/>
    </xf>
    <xf numFmtId="164" fontId="19" fillId="5" borderId="100" xfId="18" applyNumberFormat="1" applyFill="1" applyBorder="1" applyAlignment="1">
      <alignment horizontal="center" vertical="center"/>
    </xf>
    <xf numFmtId="0" fontId="19" fillId="0" borderId="0" xfId="18" applyBorder="1" applyAlignment="1">
      <alignment horizontal="center" vertical="center"/>
    </xf>
    <xf numFmtId="0" fontId="19" fillId="0" borderId="101" xfId="18" applyBorder="1" applyAlignment="1">
      <alignment horizontal="center" vertical="center"/>
    </xf>
    <xf numFmtId="0" fontId="19" fillId="0" borderId="2" xfId="18" applyBorder="1" applyAlignment="1">
      <alignment vertical="center" wrapText="1"/>
    </xf>
    <xf numFmtId="0" fontId="0" fillId="0" borderId="2" xfId="0" applyBorder="1" applyAlignment="1">
      <alignment vertical="center"/>
    </xf>
    <xf numFmtId="0" fontId="19" fillId="0" borderId="2" xfId="18" applyBorder="1" applyAlignment="1">
      <alignment vertical="center"/>
    </xf>
    <xf numFmtId="0" fontId="19" fillId="0" borderId="2" xfId="18" applyBorder="1" applyAlignment="1">
      <alignment horizontal="center" vertical="center"/>
    </xf>
    <xf numFmtId="0" fontId="19" fillId="0" borderId="2" xfId="18" applyBorder="1" applyAlignment="1">
      <alignment horizontal="center" vertical="center" wrapText="1"/>
    </xf>
    <xf numFmtId="3" fontId="19" fillId="0" borderId="2" xfId="18" applyNumberFormat="1" applyBorder="1" applyAlignment="1">
      <alignment vertical="center"/>
    </xf>
    <xf numFmtId="9" fontId="19" fillId="0" borderId="2" xfId="6" applyFont="1" applyBorder="1" applyAlignment="1">
      <alignment vertical="center"/>
    </xf>
    <xf numFmtId="0" fontId="29" fillId="0" borderId="2" xfId="18" applyFont="1" applyBorder="1" applyAlignment="1">
      <alignment horizontal="center" vertical="center" wrapText="1"/>
    </xf>
    <xf numFmtId="3" fontId="29" fillId="0" borderId="2" xfId="18" applyNumberFormat="1" applyFont="1" applyBorder="1" applyAlignment="1">
      <alignment vertical="center"/>
    </xf>
    <xf numFmtId="9" fontId="29" fillId="0" borderId="2" xfId="6" applyFont="1" applyBorder="1" applyAlignment="1">
      <alignment vertical="center"/>
    </xf>
    <xf numFmtId="164" fontId="48" fillId="0" borderId="2" xfId="0" applyNumberFormat="1" applyFont="1" applyBorder="1"/>
    <xf numFmtId="0" fontId="27" fillId="0" borderId="2" xfId="18" applyFont="1" applyBorder="1" applyAlignment="1">
      <alignment horizontal="center" vertical="center" wrapText="1"/>
    </xf>
    <xf numFmtId="3" fontId="27" fillId="0" borderId="2" xfId="18" applyNumberFormat="1" applyFont="1" applyBorder="1" applyAlignment="1">
      <alignment vertical="center"/>
    </xf>
    <xf numFmtId="9" fontId="27" fillId="0" borderId="2" xfId="6" applyFont="1" applyBorder="1" applyAlignment="1">
      <alignment vertical="center"/>
    </xf>
    <xf numFmtId="164" fontId="36" fillId="0" borderId="2" xfId="0" applyNumberFormat="1" applyFont="1" applyBorder="1"/>
    <xf numFmtId="0" fontId="27" fillId="0" borderId="2" xfId="18" applyFont="1" applyBorder="1" applyAlignment="1">
      <alignment horizontal="center" vertical="center"/>
    </xf>
    <xf numFmtId="0" fontId="27" fillId="0" borderId="2" xfId="18" applyFont="1" applyFill="1" applyBorder="1" applyAlignment="1">
      <alignment horizontal="center" vertical="center"/>
    </xf>
    <xf numFmtId="0" fontId="29" fillId="5" borderId="2" xfId="18" applyFont="1" applyFill="1" applyBorder="1" applyAlignment="1">
      <alignment horizontal="center" vertical="center" wrapText="1"/>
    </xf>
    <xf numFmtId="3" fontId="29" fillId="5" borderId="2" xfId="18" applyNumberFormat="1" applyFont="1" applyFill="1" applyBorder="1" applyAlignment="1">
      <alignment vertical="center"/>
    </xf>
    <xf numFmtId="9" fontId="29" fillId="5" borderId="2" xfId="6" applyFont="1" applyFill="1" applyBorder="1" applyAlignment="1">
      <alignment vertical="center"/>
    </xf>
    <xf numFmtId="164" fontId="48" fillId="5" borderId="2" xfId="0" applyNumberFormat="1" applyFont="1" applyFill="1" applyBorder="1"/>
    <xf numFmtId="0" fontId="1" fillId="0" borderId="13" xfId="0" applyFont="1" applyBorder="1" applyAlignment="1">
      <alignment horizontal="center" vertical="center" wrapText="1"/>
    </xf>
    <xf numFmtId="0" fontId="1" fillId="0" borderId="48" xfId="0" applyFont="1" applyBorder="1" applyAlignment="1">
      <alignment horizontal="left" vertical="center" wrapText="1"/>
    </xf>
    <xf numFmtId="0" fontId="0" fillId="0" borderId="0" xfId="0" applyAlignment="1">
      <alignment wrapText="1"/>
    </xf>
    <xf numFmtId="0" fontId="0" fillId="2" borderId="2" xfId="0" applyFill="1" applyBorder="1" applyAlignment="1">
      <alignment vertical="center" wrapText="1"/>
    </xf>
    <xf numFmtId="0" fontId="84" fillId="0" borderId="0" xfId="2" applyFont="1" applyAlignment="1">
      <alignment vertical="center"/>
    </xf>
    <xf numFmtId="0" fontId="1" fillId="0" borderId="19" xfId="2" applyFont="1" applyBorder="1" applyAlignment="1">
      <alignment horizontal="center" vertical="center" wrapText="1"/>
    </xf>
    <xf numFmtId="0" fontId="1" fillId="0" borderId="26" xfId="2" applyFont="1" applyBorder="1" applyAlignment="1">
      <alignment horizontal="center" vertical="center" wrapText="1"/>
    </xf>
    <xf numFmtId="0" fontId="1" fillId="0" borderId="20" xfId="2" applyFont="1" applyBorder="1" applyAlignment="1">
      <alignment horizontal="center" vertical="center" wrapText="1"/>
    </xf>
    <xf numFmtId="0" fontId="3" fillId="0" borderId="2" xfId="2" applyBorder="1" applyAlignment="1">
      <alignment vertical="center" wrapText="1"/>
    </xf>
    <xf numFmtId="167" fontId="3" fillId="0" borderId="0" xfId="19" applyNumberFormat="1" applyFont="1"/>
    <xf numFmtId="169" fontId="3" fillId="0" borderId="0" xfId="66" applyNumberFormat="1" applyFont="1"/>
    <xf numFmtId="0" fontId="3" fillId="3" borderId="2" xfId="2" applyFill="1" applyBorder="1" applyAlignment="1">
      <alignment vertical="center" wrapText="1"/>
    </xf>
    <xf numFmtId="167" fontId="1" fillId="0" borderId="0" xfId="19" applyNumberFormat="1" applyFont="1"/>
    <xf numFmtId="0" fontId="3" fillId="2" borderId="2" xfId="2" applyFill="1" applyBorder="1" applyAlignment="1">
      <alignment vertical="center" wrapText="1"/>
    </xf>
    <xf numFmtId="0" fontId="3" fillId="2" borderId="7" xfId="2" applyFill="1" applyBorder="1" applyAlignment="1">
      <alignment vertical="center" wrapText="1"/>
    </xf>
    <xf numFmtId="0" fontId="3" fillId="5" borderId="7" xfId="2" applyFill="1" applyBorder="1" applyAlignment="1">
      <alignment vertical="center" wrapText="1"/>
    </xf>
    <xf numFmtId="0" fontId="3" fillId="0" borderId="9" xfId="2" applyBorder="1" applyAlignment="1">
      <alignment vertical="center" wrapText="1"/>
    </xf>
    <xf numFmtId="0" fontId="3" fillId="0" borderId="10" xfId="2" applyBorder="1" applyAlignment="1">
      <alignment vertical="center" wrapText="1"/>
    </xf>
    <xf numFmtId="0" fontId="0" fillId="27" borderId="2" xfId="0" applyFill="1" applyBorder="1" applyAlignment="1">
      <alignment horizontal="center" vertical="center" wrapText="1"/>
    </xf>
    <xf numFmtId="169" fontId="0" fillId="6" borderId="2" xfId="6" applyNumberFormat="1" applyFont="1" applyFill="1" applyBorder="1" applyAlignment="1">
      <alignment horizontal="center" vertical="center" wrapText="1"/>
    </xf>
    <xf numFmtId="169" fontId="0" fillId="0" borderId="0" xfId="0" applyNumberFormat="1" applyAlignment="1">
      <alignment horizontal="left" vertical="top"/>
    </xf>
    <xf numFmtId="0" fontId="0" fillId="7" borderId="0" xfId="0" applyFill="1" applyAlignment="1">
      <alignment horizontal="center" vertical="center" wrapText="1"/>
    </xf>
    <xf numFmtId="169" fontId="0" fillId="0" borderId="0" xfId="0" applyNumberFormat="1" applyAlignment="1">
      <alignment horizontal="left" vertical="center"/>
    </xf>
    <xf numFmtId="169" fontId="0" fillId="0" borderId="0" xfId="0" applyNumberFormat="1" applyAlignment="1">
      <alignment horizontal="center" vertical="center"/>
    </xf>
    <xf numFmtId="0" fontId="1" fillId="0" borderId="0" xfId="0" applyFont="1" applyAlignment="1">
      <alignment horizontal="center" vertical="center"/>
    </xf>
    <xf numFmtId="43" fontId="0" fillId="6" borderId="2" xfId="1" applyFont="1" applyFill="1" applyBorder="1" applyAlignment="1">
      <alignment horizontal="center" vertical="center" wrapText="1"/>
    </xf>
    <xf numFmtId="10" fontId="0" fillId="6" borderId="2" xfId="0" applyNumberFormat="1" applyFill="1" applyBorder="1" applyAlignment="1">
      <alignment horizontal="center" vertical="center" wrapText="1"/>
    </xf>
    <xf numFmtId="164" fontId="0" fillId="6" borderId="0" xfId="0" applyNumberFormat="1" applyFill="1" applyBorder="1" applyAlignment="1">
      <alignment horizontal="center" vertical="center"/>
    </xf>
    <xf numFmtId="43" fontId="0" fillId="0" borderId="0" xfId="1" applyFont="1" applyAlignment="1">
      <alignment horizontal="center" vertical="center"/>
    </xf>
    <xf numFmtId="169" fontId="3" fillId="0" borderId="0" xfId="6" applyNumberFormat="1"/>
    <xf numFmtId="171" fontId="0" fillId="6" borderId="21" xfId="1" applyNumberFormat="1" applyFont="1" applyFill="1" applyBorder="1" applyAlignment="1">
      <alignment horizontal="center" vertical="center" wrapText="1"/>
    </xf>
    <xf numFmtId="43" fontId="0" fillId="6" borderId="21" xfId="1" applyFont="1" applyFill="1" applyBorder="1" applyAlignment="1">
      <alignment horizontal="center" vertical="center" wrapText="1"/>
    </xf>
    <xf numFmtId="169" fontId="0" fillId="6" borderId="21" xfId="6" applyNumberFormat="1" applyFont="1" applyFill="1" applyBorder="1" applyAlignment="1">
      <alignment horizontal="center" vertical="center" wrapText="1"/>
    </xf>
    <xf numFmtId="169" fontId="0" fillId="6" borderId="0" xfId="6" applyNumberFormat="1" applyFont="1" applyFill="1" applyBorder="1" applyAlignment="1">
      <alignment horizontal="center" vertical="center" wrapText="1"/>
    </xf>
    <xf numFmtId="10" fontId="0" fillId="20" borderId="21" xfId="6" applyNumberFormat="1" applyFont="1" applyFill="1" applyBorder="1" applyAlignment="1">
      <alignment horizontal="center" vertical="center" wrapText="1"/>
    </xf>
    <xf numFmtId="9" fontId="0" fillId="20" borderId="21" xfId="1" applyNumberFormat="1" applyFont="1" applyFill="1" applyBorder="1" applyAlignment="1">
      <alignment horizontal="center" vertical="center" wrapText="1"/>
    </xf>
    <xf numFmtId="9" fontId="0" fillId="20" borderId="21" xfId="6" applyFont="1" applyFill="1" applyBorder="1" applyAlignment="1">
      <alignment horizontal="center" vertical="center" wrapText="1"/>
    </xf>
    <xf numFmtId="43" fontId="0" fillId="20" borderId="21" xfId="1" applyFont="1" applyFill="1" applyBorder="1" applyAlignment="1">
      <alignment horizontal="center" vertical="center" wrapText="1"/>
    </xf>
    <xf numFmtId="174" fontId="0" fillId="0" borderId="0" xfId="0" applyNumberFormat="1"/>
    <xf numFmtId="0" fontId="0" fillId="6" borderId="2" xfId="0" applyFill="1" applyBorder="1" applyAlignment="1">
      <alignment horizontal="left" vertical="top" wrapText="1"/>
    </xf>
    <xf numFmtId="0" fontId="0" fillId="6" borderId="2" xfId="0" applyFill="1" applyBorder="1" applyAlignment="1">
      <alignment vertical="center" wrapText="1"/>
    </xf>
    <xf numFmtId="0" fontId="1" fillId="0" borderId="2" xfId="0" applyFont="1" applyBorder="1" applyAlignment="1">
      <alignment horizontal="center" vertical="center" wrapText="1"/>
    </xf>
    <xf numFmtId="4" fontId="0" fillId="0" borderId="0" xfId="0" applyNumberFormat="1"/>
    <xf numFmtId="4" fontId="1" fillId="0" borderId="0" xfId="0" applyNumberFormat="1" applyFont="1"/>
    <xf numFmtId="167" fontId="1" fillId="0" borderId="0" xfId="1" applyNumberFormat="1" applyFont="1"/>
    <xf numFmtId="0" fontId="3" fillId="3" borderId="0" xfId="2" applyFill="1"/>
    <xf numFmtId="167" fontId="3" fillId="3" borderId="0" xfId="19" applyNumberFormat="1" applyFont="1" applyFill="1"/>
    <xf numFmtId="167" fontId="3" fillId="3" borderId="0" xfId="2" applyNumberFormat="1" applyFill="1"/>
    <xf numFmtId="169" fontId="3" fillId="3" borderId="0" xfId="66" applyNumberFormat="1" applyFont="1" applyFill="1"/>
    <xf numFmtId="0" fontId="1" fillId="3" borderId="0" xfId="2" applyFont="1" applyFill="1"/>
    <xf numFmtId="167" fontId="1" fillId="3" borderId="0" xfId="19" applyNumberFormat="1" applyFont="1" applyFill="1"/>
    <xf numFmtId="167" fontId="1" fillId="3" borderId="0" xfId="2" applyNumberFormat="1" applyFont="1" applyFill="1"/>
    <xf numFmtId="0" fontId="6" fillId="0" borderId="0" xfId="2" applyFont="1"/>
    <xf numFmtId="0" fontId="1" fillId="0" borderId="2" xfId="0" applyFont="1" applyBorder="1" applyAlignment="1">
      <alignment horizontal="left" vertical="center" wrapText="1"/>
    </xf>
    <xf numFmtId="0" fontId="85" fillId="0" borderId="2" xfId="0" applyFont="1" applyBorder="1" applyAlignment="1">
      <alignment horizontal="center" vertical="center" wrapText="1"/>
    </xf>
    <xf numFmtId="2" fontId="85" fillId="0" borderId="2" xfId="0" applyNumberFormat="1" applyFont="1" applyBorder="1"/>
    <xf numFmtId="0" fontId="85" fillId="0" borderId="2" xfId="0" applyFont="1" applyBorder="1"/>
    <xf numFmtId="43" fontId="0" fillId="0" borderId="2" xfId="1" applyNumberFormat="1" applyFont="1" applyBorder="1"/>
    <xf numFmtId="43" fontId="0" fillId="0" borderId="2" xfId="0" applyNumberFormat="1" applyBorder="1"/>
    <xf numFmtId="43" fontId="1" fillId="0" borderId="2" xfId="0" applyNumberFormat="1" applyFont="1" applyBorder="1"/>
    <xf numFmtId="2" fontId="86" fillId="0" borderId="2" xfId="0" applyNumberFormat="1" applyFont="1" applyBorder="1"/>
    <xf numFmtId="2" fontId="1" fillId="0" borderId="2" xfId="1" applyNumberFormat="1" applyFont="1" applyBorder="1"/>
    <xf numFmtId="0" fontId="8" fillId="0" borderId="31" xfId="2" applyFont="1" applyBorder="1" applyAlignment="1">
      <alignment wrapText="1"/>
    </xf>
    <xf numFmtId="2" fontId="20" fillId="8" borderId="12" xfId="0" applyNumberFormat="1" applyFont="1" applyFill="1" applyBorder="1" applyAlignment="1">
      <alignment horizontal="right"/>
    </xf>
    <xf numFmtId="0" fontId="1" fillId="0" borderId="26" xfId="2" applyFont="1" applyBorder="1" applyAlignment="1">
      <alignment horizontal="center" vertical="center"/>
    </xf>
    <xf numFmtId="0" fontId="3" fillId="6" borderId="9" xfId="2" applyFill="1" applyBorder="1" applyAlignment="1">
      <alignment horizontal="center" vertical="center"/>
    </xf>
    <xf numFmtId="0" fontId="1" fillId="0" borderId="34" xfId="2" applyFont="1" applyBorder="1" applyAlignment="1">
      <alignment horizontal="center" vertical="center"/>
    </xf>
    <xf numFmtId="0" fontId="3" fillId="0" borderId="8" xfId="2" applyBorder="1" applyAlignment="1">
      <alignment horizontal="center" vertical="center"/>
    </xf>
    <xf numFmtId="0" fontId="3" fillId="0" borderId="9" xfId="2" applyBorder="1" applyAlignment="1">
      <alignment horizontal="center" vertical="center"/>
    </xf>
    <xf numFmtId="0" fontId="1" fillId="0" borderId="28" xfId="2" applyFont="1" applyBorder="1" applyAlignment="1">
      <alignment horizontal="center" vertical="center"/>
    </xf>
    <xf numFmtId="0" fontId="3" fillId="0" borderId="18" xfId="2" applyBorder="1" applyAlignment="1">
      <alignment horizontal="center" vertical="center"/>
    </xf>
    <xf numFmtId="0" fontId="3" fillId="0" borderId="18" xfId="2" applyBorder="1" applyAlignment="1">
      <alignment horizontal="center" vertical="center" wrapText="1"/>
    </xf>
    <xf numFmtId="0" fontId="1" fillId="0" borderId="28" xfId="2" applyFont="1" applyBorder="1" applyAlignment="1">
      <alignment horizontal="center" vertical="center" wrapText="1"/>
    </xf>
    <xf numFmtId="0" fontId="1" fillId="0" borderId="19" xfId="2" applyFont="1" applyBorder="1" applyAlignment="1">
      <alignment horizontal="center" vertical="center"/>
    </xf>
    <xf numFmtId="0" fontId="1" fillId="6" borderId="26" xfId="2" applyFont="1" applyFill="1" applyBorder="1" applyAlignment="1">
      <alignment horizontal="center" vertical="center"/>
    </xf>
    <xf numFmtId="0" fontId="1" fillId="0" borderId="34" xfId="2" applyFont="1" applyBorder="1" applyAlignment="1">
      <alignment horizontal="center" vertical="center" wrapText="1"/>
    </xf>
    <xf numFmtId="0" fontId="3" fillId="0" borderId="55" xfId="2" applyBorder="1" applyAlignment="1">
      <alignment vertical="center"/>
    </xf>
    <xf numFmtId="167" fontId="20" fillId="6" borderId="12" xfId="1" applyNumberFormat="1" applyFont="1" applyFill="1" applyBorder="1" applyAlignment="1">
      <alignment horizontal="right" vertical="center"/>
    </xf>
    <xf numFmtId="0" fontId="3" fillId="0" borderId="16" xfId="2" applyBorder="1" applyAlignment="1">
      <alignment vertical="center"/>
    </xf>
    <xf numFmtId="0" fontId="3" fillId="0" borderId="51" xfId="2" applyBorder="1" applyAlignment="1">
      <alignment vertical="center"/>
    </xf>
    <xf numFmtId="2" fontId="20" fillId="6" borderId="12" xfId="0" applyNumberFormat="1" applyFont="1" applyFill="1" applyBorder="1" applyAlignment="1">
      <alignment horizontal="right" vertical="center"/>
    </xf>
    <xf numFmtId="170" fontId="3" fillId="6" borderId="12" xfId="2" applyNumberFormat="1" applyFill="1" applyBorder="1" applyAlignment="1">
      <alignment vertical="center"/>
    </xf>
    <xf numFmtId="171" fontId="1" fillId="6" borderId="51" xfId="2" applyNumberFormat="1" applyFont="1" applyFill="1" applyBorder="1" applyAlignment="1">
      <alignment vertical="center"/>
    </xf>
    <xf numFmtId="167" fontId="20" fillId="6" borderId="2" xfId="1" applyNumberFormat="1" applyFont="1" applyFill="1" applyBorder="1" applyAlignment="1">
      <alignment horizontal="right" vertical="center"/>
    </xf>
    <xf numFmtId="0" fontId="3" fillId="0" borderId="29" xfId="2" applyBorder="1" applyAlignment="1">
      <alignment vertical="center"/>
    </xf>
    <xf numFmtId="170" fontId="3" fillId="6" borderId="2" xfId="2" applyNumberFormat="1" applyFill="1" applyBorder="1" applyAlignment="1">
      <alignment vertical="center"/>
    </xf>
    <xf numFmtId="170" fontId="3" fillId="6" borderId="2" xfId="16" applyNumberFormat="1" applyFont="1" applyFill="1" applyBorder="1" applyAlignment="1">
      <alignment vertical="center"/>
    </xf>
    <xf numFmtId="167" fontId="1" fillId="0" borderId="8" xfId="4" applyNumberFormat="1" applyFont="1" applyBorder="1" applyAlignment="1">
      <alignment horizontal="center" vertical="center"/>
    </xf>
    <xf numFmtId="167" fontId="36" fillId="6" borderId="9" xfId="1" applyNumberFormat="1" applyFont="1" applyFill="1" applyBorder="1" applyAlignment="1">
      <alignment horizontal="center" vertical="center"/>
    </xf>
    <xf numFmtId="168" fontId="1" fillId="0" borderId="8" xfId="2" applyNumberFormat="1" applyFont="1" applyBorder="1" applyAlignment="1">
      <alignment vertical="center"/>
    </xf>
    <xf numFmtId="168" fontId="1" fillId="6" borderId="9" xfId="2" applyNumberFormat="1" applyFont="1" applyFill="1" applyBorder="1" applyAlignment="1">
      <alignment vertical="center"/>
    </xf>
    <xf numFmtId="170" fontId="3" fillId="6" borderId="9" xfId="2" applyNumberFormat="1" applyFill="1" applyBorder="1" applyAlignment="1">
      <alignment vertical="center"/>
    </xf>
    <xf numFmtId="0" fontId="3" fillId="0" borderId="55" xfId="2" applyBorder="1" applyAlignment="1">
      <alignment horizontal="center" vertical="center" wrapText="1"/>
    </xf>
    <xf numFmtId="0" fontId="1" fillId="0" borderId="54" xfId="2" applyFont="1" applyBorder="1" applyAlignment="1">
      <alignment horizontal="center" vertical="center"/>
    </xf>
    <xf numFmtId="0" fontId="3" fillId="0" borderId="102" xfId="2" applyBorder="1" applyAlignment="1">
      <alignment horizontal="center" vertical="center" wrapText="1"/>
    </xf>
    <xf numFmtId="0" fontId="3" fillId="0" borderId="55" xfId="2" applyBorder="1" applyAlignment="1">
      <alignment horizontal="center" vertical="center"/>
    </xf>
    <xf numFmtId="0" fontId="0" fillId="0" borderId="0" xfId="0" applyAlignment="1">
      <alignment wrapText="1"/>
    </xf>
    <xf numFmtId="2" fontId="77" fillId="6" borderId="2" xfId="0" applyNumberFormat="1" applyFont="1" applyFill="1" applyBorder="1" applyAlignment="1">
      <alignment horizontal="right"/>
    </xf>
    <xf numFmtId="1" fontId="77" fillId="6" borderId="2" xfId="0" applyNumberFormat="1" applyFont="1" applyFill="1" applyBorder="1" applyAlignment="1">
      <alignment horizontal="right"/>
    </xf>
    <xf numFmtId="1" fontId="20" fillId="6" borderId="2" xfId="0" applyNumberFormat="1" applyFont="1" applyFill="1" applyBorder="1" applyAlignment="1">
      <alignment horizontal="right"/>
    </xf>
    <xf numFmtId="1" fontId="87" fillId="6" borderId="16" xfId="2" applyNumberFormat="1" applyFont="1" applyFill="1" applyBorder="1" applyAlignment="1">
      <alignment vertical="center"/>
    </xf>
    <xf numFmtId="2" fontId="20" fillId="6" borderId="2" xfId="0" applyNumberFormat="1" applyFont="1" applyFill="1" applyBorder="1" applyAlignment="1">
      <alignment horizontal="center" vertical="center"/>
    </xf>
    <xf numFmtId="0" fontId="87" fillId="0" borderId="17" xfId="2" applyFont="1" applyBorder="1" applyAlignment="1">
      <alignment horizontal="center" vertical="center"/>
    </xf>
    <xf numFmtId="168" fontId="87" fillId="6" borderId="6" xfId="2" applyNumberFormat="1" applyFont="1" applyFill="1" applyBorder="1" applyAlignment="1">
      <alignment horizontal="center" vertical="center"/>
    </xf>
    <xf numFmtId="168" fontId="87" fillId="6" borderId="2" xfId="2" applyNumberFormat="1" applyFont="1" applyFill="1" applyBorder="1" applyAlignment="1">
      <alignment horizontal="center" vertical="center"/>
    </xf>
    <xf numFmtId="171" fontId="1" fillId="7" borderId="51" xfId="2" applyNumberFormat="1" applyFont="1" applyFill="1" applyBorder="1" applyAlignment="1">
      <alignment vertical="center"/>
    </xf>
    <xf numFmtId="175" fontId="3" fillId="7" borderId="2" xfId="2" applyNumberFormat="1" applyFill="1" applyBorder="1"/>
    <xf numFmtId="171" fontId="0" fillId="7" borderId="17" xfId="4" applyNumberFormat="1" applyFont="1" applyFill="1" applyBorder="1"/>
    <xf numFmtId="175" fontId="1" fillId="7" borderId="2" xfId="2" applyNumberFormat="1" applyFont="1" applyFill="1" applyBorder="1"/>
    <xf numFmtId="170" fontId="3" fillId="5" borderId="2" xfId="2" applyNumberFormat="1" applyFill="1" applyBorder="1"/>
    <xf numFmtId="165" fontId="3" fillId="6" borderId="2" xfId="2" applyNumberFormat="1" applyFill="1" applyBorder="1"/>
    <xf numFmtId="165" fontId="0" fillId="6" borderId="17" xfId="4" applyNumberFormat="1" applyFont="1" applyFill="1" applyBorder="1"/>
    <xf numFmtId="165" fontId="1" fillId="6" borderId="2" xfId="2" applyNumberFormat="1" applyFont="1" applyFill="1" applyBorder="1"/>
    <xf numFmtId="165" fontId="3" fillId="6" borderId="2" xfId="1" applyNumberFormat="1" applyFill="1" applyBorder="1"/>
    <xf numFmtId="0" fontId="1" fillId="5" borderId="0" xfId="2" applyFont="1" applyFill="1"/>
    <xf numFmtId="0" fontId="3" fillId="5" borderId="0" xfId="2" applyFill="1"/>
    <xf numFmtId="0" fontId="1" fillId="5" borderId="0" xfId="2" applyFont="1" applyFill="1" applyAlignment="1"/>
    <xf numFmtId="164" fontId="48" fillId="6" borderId="0" xfId="2" applyNumberFormat="1" applyFont="1" applyFill="1" applyBorder="1" applyAlignment="1">
      <alignment vertical="center" wrapText="1"/>
    </xf>
    <xf numFmtId="164" fontId="48" fillId="6" borderId="0" xfId="2" applyNumberFormat="1" applyFont="1" applyFill="1" applyBorder="1" applyAlignment="1">
      <alignment horizontal="center" vertical="center" wrapText="1"/>
    </xf>
    <xf numFmtId="164" fontId="48" fillId="0" borderId="2" xfId="2" applyNumberFormat="1" applyFont="1" applyFill="1" applyBorder="1" applyAlignment="1">
      <alignment vertical="center" wrapText="1"/>
    </xf>
    <xf numFmtId="164" fontId="36" fillId="0" borderId="2" xfId="2" applyNumberFormat="1" applyFont="1" applyFill="1" applyBorder="1" applyAlignment="1">
      <alignment vertical="center" wrapText="1"/>
    </xf>
    <xf numFmtId="0" fontId="36" fillId="0" borderId="16" xfId="2" applyFont="1" applyBorder="1" applyAlignment="1">
      <alignment horizontal="left" vertical="center" wrapText="1"/>
    </xf>
    <xf numFmtId="165" fontId="3" fillId="6" borderId="2" xfId="2" applyNumberFormat="1" applyFont="1" applyFill="1" applyBorder="1"/>
    <xf numFmtId="0" fontId="3" fillId="0" borderId="0" xfId="2" applyFont="1"/>
    <xf numFmtId="0" fontId="3" fillId="0" borderId="2" xfId="2" applyFont="1" applyBorder="1"/>
    <xf numFmtId="165" fontId="3" fillId="6" borderId="17" xfId="4" applyNumberFormat="1" applyFont="1" applyFill="1" applyBorder="1"/>
    <xf numFmtId="164" fontId="36" fillId="6" borderId="2" xfId="2" applyNumberFormat="1" applyFont="1" applyFill="1" applyBorder="1" applyAlignment="1">
      <alignment horizontal="right" vertical="center" wrapText="1"/>
    </xf>
    <xf numFmtId="164" fontId="48" fillId="6" borderId="2" xfId="2" applyNumberFormat="1" applyFont="1" applyFill="1" applyBorder="1" applyAlignment="1">
      <alignment horizontal="right" vertical="center" wrapText="1"/>
    </xf>
    <xf numFmtId="173" fontId="48" fillId="6" borderId="2" xfId="2" applyNumberFormat="1" applyFont="1" applyFill="1" applyBorder="1" applyAlignment="1">
      <alignment horizontal="right" vertical="center" wrapText="1"/>
    </xf>
    <xf numFmtId="164" fontId="48" fillId="0" borderId="2" xfId="2" applyNumberFormat="1" applyFont="1" applyFill="1" applyBorder="1" applyAlignment="1">
      <alignment horizontal="right" vertical="center" wrapText="1"/>
    </xf>
    <xf numFmtId="0" fontId="1" fillId="7" borderId="0" xfId="2" applyFont="1" applyFill="1"/>
    <xf numFmtId="2" fontId="1" fillId="0" borderId="2" xfId="0" applyNumberFormat="1" applyFont="1" applyBorder="1" applyAlignment="1">
      <alignment horizontal="center" vertical="center"/>
    </xf>
    <xf numFmtId="1" fontId="3" fillId="0" borderId="0" xfId="2" applyNumberFormat="1"/>
    <xf numFmtId="165" fontId="0" fillId="20" borderId="2" xfId="1" applyNumberFormat="1" applyFont="1" applyFill="1" applyBorder="1" applyAlignment="1">
      <alignment horizontal="right" vertical="center"/>
    </xf>
    <xf numFmtId="165" fontId="1" fillId="20" borderId="2" xfId="0" applyNumberFormat="1" applyFont="1" applyFill="1" applyBorder="1"/>
    <xf numFmtId="165" fontId="0" fillId="22" borderId="2" xfId="0" applyNumberFormat="1" applyFill="1" applyBorder="1"/>
    <xf numFmtId="0" fontId="0" fillId="5" borderId="2" xfId="0" applyFill="1" applyBorder="1" applyAlignment="1">
      <alignment wrapText="1"/>
    </xf>
    <xf numFmtId="167" fontId="1" fillId="5" borderId="2" xfId="1" applyNumberFormat="1" applyFont="1" applyFill="1" applyBorder="1"/>
    <xf numFmtId="173" fontId="0" fillId="2" borderId="2" xfId="0" applyNumberFormat="1" applyFill="1" applyBorder="1"/>
    <xf numFmtId="173" fontId="1" fillId="2" borderId="2" xfId="0" applyNumberFormat="1" applyFont="1" applyFill="1" applyBorder="1"/>
    <xf numFmtId="165" fontId="0" fillId="2" borderId="2" xfId="1" applyNumberFormat="1" applyFont="1" applyFill="1" applyBorder="1"/>
    <xf numFmtId="165" fontId="1" fillId="2" borderId="2" xfId="1" applyNumberFormat="1" applyFont="1" applyFill="1" applyBorder="1"/>
    <xf numFmtId="171" fontId="0" fillId="64" borderId="0" xfId="0" applyNumberFormat="1" applyFill="1" applyAlignment="1">
      <alignment horizontal="right" vertical="center"/>
    </xf>
    <xf numFmtId="165" fontId="0" fillId="64" borderId="17" xfId="1" applyNumberFormat="1" applyFont="1" applyFill="1" applyBorder="1" applyAlignment="1">
      <alignment horizontal="right" vertical="center"/>
    </xf>
    <xf numFmtId="168" fontId="0" fillId="6" borderId="2" xfId="0" applyNumberFormat="1" applyFill="1" applyBorder="1" applyAlignment="1">
      <alignment horizontal="right" vertical="center"/>
    </xf>
    <xf numFmtId="173" fontId="1" fillId="0" borderId="2" xfId="0" applyNumberFormat="1" applyFont="1" applyBorder="1" applyAlignment="1">
      <alignment horizontal="center" vertical="center"/>
    </xf>
    <xf numFmtId="0" fontId="8" fillId="5" borderId="0" xfId="0" applyFont="1" applyFill="1"/>
    <xf numFmtId="1" fontId="0" fillId="6" borderId="2" xfId="0" applyNumberFormat="1" applyFill="1" applyBorder="1"/>
    <xf numFmtId="0" fontId="0" fillId="26" borderId="2" xfId="0" applyFill="1" applyBorder="1"/>
    <xf numFmtId="0" fontId="0" fillId="0" borderId="2" xfId="0" applyBorder="1" applyAlignment="1">
      <alignment vertical="center"/>
    </xf>
    <xf numFmtId="0" fontId="36" fillId="0" borderId="0" xfId="2" applyFont="1" applyFill="1" applyBorder="1" applyAlignment="1">
      <alignment horizontal="left" vertical="center" wrapText="1"/>
    </xf>
    <xf numFmtId="0" fontId="0" fillId="5" borderId="2" xfId="0" applyFill="1" applyBorder="1" applyAlignment="1">
      <alignment horizontal="center" vertical="center" wrapText="1"/>
    </xf>
    <xf numFmtId="0" fontId="36" fillId="5" borderId="2" xfId="2" applyFont="1" applyFill="1" applyBorder="1" applyAlignment="1">
      <alignment horizontal="left" vertical="center" wrapText="1"/>
    </xf>
    <xf numFmtId="165" fontId="0" fillId="5" borderId="2" xfId="0" applyNumberFormat="1" applyFill="1" applyBorder="1"/>
    <xf numFmtId="0" fontId="36" fillId="5" borderId="2" xfId="0" applyFont="1" applyFill="1" applyBorder="1" applyAlignment="1">
      <alignment horizontal="left" vertical="center" wrapText="1"/>
    </xf>
    <xf numFmtId="167" fontId="0" fillId="5" borderId="2" xfId="1" applyNumberFormat="1" applyFont="1" applyFill="1" applyBorder="1" applyAlignment="1">
      <alignment horizontal="right"/>
    </xf>
    <xf numFmtId="167" fontId="0" fillId="5" borderId="2" xfId="0" applyNumberFormat="1" applyFill="1" applyBorder="1" applyAlignment="1">
      <alignment horizontal="center" vertical="center"/>
    </xf>
    <xf numFmtId="0" fontId="0" fillId="22" borderId="0" xfId="0" applyFill="1"/>
    <xf numFmtId="0" fontId="0" fillId="22" borderId="2" xfId="0" applyFill="1" applyBorder="1" applyAlignment="1">
      <alignment horizontal="center" vertical="center" wrapText="1"/>
    </xf>
    <xf numFmtId="0" fontId="1" fillId="22" borderId="2" xfId="0" applyFont="1" applyFill="1" applyBorder="1" applyAlignment="1">
      <alignment horizontal="center" vertical="center" wrapText="1"/>
    </xf>
    <xf numFmtId="0" fontId="1" fillId="22" borderId="2" xfId="0" applyFont="1" applyFill="1" applyBorder="1"/>
    <xf numFmtId="2" fontId="0" fillId="22" borderId="2" xfId="0" applyNumberFormat="1" applyFill="1" applyBorder="1"/>
    <xf numFmtId="2" fontId="0" fillId="22" borderId="2" xfId="1" applyNumberFormat="1" applyFont="1" applyFill="1" applyBorder="1" applyAlignment="1">
      <alignment horizontal="right"/>
    </xf>
    <xf numFmtId="0" fontId="0" fillId="22" borderId="2" xfId="0" applyFill="1" applyBorder="1" applyAlignment="1">
      <alignment horizontal="right"/>
    </xf>
    <xf numFmtId="0" fontId="9" fillId="7" borderId="0" xfId="0" applyFont="1" applyFill="1"/>
    <xf numFmtId="0" fontId="36" fillId="0" borderId="0" xfId="2" applyFont="1" applyBorder="1" applyAlignment="1">
      <alignment horizontal="center" vertical="center" wrapText="1"/>
    </xf>
    <xf numFmtId="0" fontId="36" fillId="0" borderId="0" xfId="0" applyFont="1" applyBorder="1" applyAlignment="1">
      <alignment horizontal="center" vertical="center" wrapText="1"/>
    </xf>
    <xf numFmtId="0" fontId="9" fillId="5" borderId="0" xfId="0" applyFont="1" applyFill="1"/>
    <xf numFmtId="167" fontId="36" fillId="0" borderId="2" xfId="2" applyNumberFormat="1" applyFont="1" applyBorder="1" applyAlignment="1">
      <alignment horizontal="center" vertical="center" wrapText="1"/>
    </xf>
    <xf numFmtId="167" fontId="36" fillId="0" borderId="2" xfId="0" applyNumberFormat="1" applyFont="1" applyBorder="1" applyAlignment="1">
      <alignment horizontal="center" vertical="center" wrapText="1"/>
    </xf>
    <xf numFmtId="167" fontId="48" fillId="0" borderId="2" xfId="2" applyNumberFormat="1" applyFont="1" applyBorder="1" applyAlignment="1">
      <alignment horizontal="center" vertical="center" wrapText="1"/>
    </xf>
    <xf numFmtId="168" fontId="1" fillId="0" borderId="0" xfId="0" applyNumberFormat="1" applyFont="1"/>
    <xf numFmtId="167" fontId="48" fillId="0" borderId="2" xfId="0" applyNumberFormat="1" applyFont="1" applyBorder="1" applyAlignment="1">
      <alignment horizontal="center" vertical="center" wrapText="1"/>
    </xf>
    <xf numFmtId="0" fontId="36" fillId="0" borderId="2" xfId="0" applyFont="1" applyBorder="1" applyAlignment="1">
      <alignment vertical="center"/>
    </xf>
    <xf numFmtId="165" fontId="0" fillId="5" borderId="2" xfId="0" applyNumberFormat="1" applyFill="1" applyBorder="1" applyAlignment="1">
      <alignment horizontal="center" vertical="center"/>
    </xf>
    <xf numFmtId="0" fontId="36" fillId="6" borderId="0" xfId="2" applyFont="1" applyFill="1" applyBorder="1" applyAlignment="1">
      <alignment horizontal="left" vertical="center" wrapText="1"/>
    </xf>
    <xf numFmtId="2" fontId="0" fillId="6" borderId="0" xfId="0" applyNumberFormat="1" applyFill="1" applyBorder="1" applyAlignment="1">
      <alignment horizontal="center" vertical="center"/>
    </xf>
    <xf numFmtId="167" fontId="0" fillId="0" borderId="0" xfId="0" applyNumberFormat="1" applyBorder="1"/>
    <xf numFmtId="164" fontId="0" fillId="6" borderId="2" xfId="0" applyNumberFormat="1" applyFill="1" applyBorder="1" applyAlignment="1">
      <alignment horizontal="center" vertical="center" wrapText="1"/>
    </xf>
    <xf numFmtId="2" fontId="0" fillId="6" borderId="2" xfId="0" applyNumberFormat="1" applyFill="1" applyBorder="1" applyAlignment="1">
      <alignment horizontal="center" vertical="center"/>
    </xf>
    <xf numFmtId="0" fontId="0" fillId="0" borderId="12" xfId="0" applyBorder="1" applyAlignment="1">
      <alignment wrapText="1"/>
    </xf>
    <xf numFmtId="0" fontId="0" fillId="0" borderId="16" xfId="0" applyBorder="1" applyAlignment="1">
      <alignment wrapText="1"/>
    </xf>
    <xf numFmtId="0" fontId="0" fillId="0" borderId="11" xfId="0" applyBorder="1" applyAlignment="1">
      <alignment wrapText="1"/>
    </xf>
    <xf numFmtId="0" fontId="1" fillId="7" borderId="0" xfId="0" applyFont="1" applyFill="1" applyAlignment="1">
      <alignment wrapText="1"/>
    </xf>
    <xf numFmtId="167" fontId="0" fillId="0" borderId="0" xfId="0" applyNumberFormat="1" applyBorder="1" applyAlignment="1">
      <alignment horizontal="center" vertical="center"/>
    </xf>
    <xf numFmtId="167" fontId="0" fillId="0" borderId="0" xfId="1" applyNumberFormat="1" applyFont="1" applyBorder="1" applyAlignment="1">
      <alignment horizontal="center" vertical="center"/>
    </xf>
    <xf numFmtId="167" fontId="0" fillId="6" borderId="2" xfId="1" applyNumberFormat="1" applyFont="1" applyFill="1" applyBorder="1" applyAlignment="1">
      <alignment horizontal="right" vertical="center"/>
    </xf>
    <xf numFmtId="0" fontId="1" fillId="0" borderId="2" xfId="0" applyFont="1" applyBorder="1" applyAlignment="1">
      <alignment horizontal="center" vertical="center" wrapText="1"/>
    </xf>
    <xf numFmtId="0" fontId="88" fillId="0" borderId="0" xfId="0" applyFont="1" applyAlignment="1">
      <alignment horizontal="left" vertical="center" readingOrder="1"/>
    </xf>
    <xf numFmtId="167" fontId="0" fillId="5" borderId="2" xfId="0" applyNumberFormat="1" applyFill="1" applyBorder="1"/>
    <xf numFmtId="0" fontId="51" fillId="6" borderId="0" xfId="2" applyFont="1" applyFill="1" applyBorder="1" applyAlignment="1">
      <alignment horizontal="left" vertical="center" wrapText="1"/>
    </xf>
    <xf numFmtId="167" fontId="7" fillId="0" borderId="0" xfId="0" applyNumberFormat="1" applyFont="1" applyBorder="1"/>
    <xf numFmtId="0" fontId="7" fillId="0" borderId="0" xfId="0" applyFont="1" applyBorder="1"/>
    <xf numFmtId="167" fontId="7" fillId="0" borderId="0" xfId="1" applyNumberFormat="1" applyFont="1" applyBorder="1"/>
    <xf numFmtId="167" fontId="0" fillId="5" borderId="17" xfId="0" applyNumberFormat="1" applyFill="1" applyBorder="1"/>
    <xf numFmtId="165" fontId="0" fillId="5" borderId="17" xfId="0" applyNumberFormat="1" applyFill="1" applyBorder="1"/>
    <xf numFmtId="173" fontId="0" fillId="5" borderId="2" xfId="0" applyNumberFormat="1" applyFill="1" applyBorder="1"/>
    <xf numFmtId="176" fontId="0" fillId="0" borderId="0" xfId="0" applyNumberFormat="1"/>
    <xf numFmtId="2" fontId="0" fillId="7" borderId="2" xfId="0" applyNumberFormat="1" applyFill="1" applyBorder="1" applyAlignment="1">
      <alignment horizontal="center" vertical="center"/>
    </xf>
    <xf numFmtId="164" fontId="0" fillId="5" borderId="31" xfId="0" applyNumberFormat="1" applyFill="1" applyBorder="1"/>
    <xf numFmtId="173" fontId="7" fillId="5" borderId="17" xfId="0" applyNumberFormat="1" applyFont="1" applyFill="1" applyBorder="1"/>
    <xf numFmtId="173" fontId="7" fillId="5" borderId="22" xfId="0" applyNumberFormat="1" applyFont="1" applyFill="1" applyBorder="1"/>
    <xf numFmtId="0" fontId="0" fillId="5" borderId="38" xfId="0" applyFill="1" applyBorder="1" applyAlignment="1">
      <alignment horizontal="center" vertical="center"/>
    </xf>
    <xf numFmtId="167" fontId="1" fillId="0" borderId="2" xfId="0" applyNumberFormat="1" applyFont="1" applyBorder="1" applyAlignment="1">
      <alignment horizontal="center" vertical="center" wrapText="1"/>
    </xf>
    <xf numFmtId="2" fontId="1" fillId="6" borderId="2" xfId="0" applyNumberFormat="1" applyFont="1" applyFill="1" applyBorder="1" applyAlignment="1">
      <alignment horizontal="center" vertical="center" wrapText="1"/>
    </xf>
    <xf numFmtId="167" fontId="1" fillId="0" borderId="2" xfId="1" applyNumberFormat="1" applyFont="1" applyBorder="1" applyAlignment="1">
      <alignment horizontal="center" vertical="center" wrapText="1"/>
    </xf>
    <xf numFmtId="0" fontId="36" fillId="6" borderId="2" xfId="2" applyFont="1" applyFill="1" applyBorder="1" applyAlignment="1">
      <alignment horizontal="left" vertical="center" wrapText="1"/>
    </xf>
    <xf numFmtId="167" fontId="0" fillId="0" borderId="2" xfId="1" applyNumberFormat="1" applyFont="1" applyBorder="1" applyAlignment="1">
      <alignment horizontal="center" vertical="center"/>
    </xf>
    <xf numFmtId="173" fontId="0" fillId="0" borderId="2" xfId="0" applyNumberFormat="1" applyBorder="1" applyAlignment="1">
      <alignment horizontal="center" vertical="center"/>
    </xf>
    <xf numFmtId="174" fontId="0" fillId="0" borderId="2" xfId="0" applyNumberFormat="1" applyBorder="1" applyAlignment="1">
      <alignment horizontal="center" vertical="center"/>
    </xf>
    <xf numFmtId="173" fontId="1" fillId="0" borderId="2" xfId="0" applyNumberFormat="1" applyFont="1" applyBorder="1"/>
    <xf numFmtId="167" fontId="1" fillId="0" borderId="2" xfId="1" applyNumberFormat="1" applyFont="1" applyBorder="1" applyAlignment="1">
      <alignment horizontal="center" vertical="center"/>
    </xf>
    <xf numFmtId="164" fontId="1" fillId="6" borderId="2" xfId="0" applyNumberFormat="1" applyFont="1" applyFill="1" applyBorder="1" applyAlignment="1">
      <alignment horizontal="center" vertical="center"/>
    </xf>
    <xf numFmtId="165" fontId="1" fillId="0" borderId="2" xfId="0" applyNumberFormat="1" applyFont="1" applyBorder="1" applyAlignment="1">
      <alignment horizontal="center" vertical="center"/>
    </xf>
    <xf numFmtId="165" fontId="0" fillId="0" borderId="2" xfId="0" applyNumberFormat="1" applyBorder="1" applyAlignment="1">
      <alignment horizontal="center" vertical="center"/>
    </xf>
    <xf numFmtId="176" fontId="1" fillId="5" borderId="25" xfId="0" applyNumberFormat="1" applyFont="1" applyFill="1" applyBorder="1"/>
    <xf numFmtId="173" fontId="36" fillId="65" borderId="2" xfId="2" applyNumberFormat="1" applyFont="1" applyFill="1" applyBorder="1" applyAlignment="1">
      <alignment horizontal="right" vertical="center" wrapText="1"/>
    </xf>
    <xf numFmtId="1" fontId="48" fillId="65" borderId="2" xfId="0" applyNumberFormat="1" applyFont="1" applyFill="1" applyBorder="1" applyAlignment="1">
      <alignment horizontal="right" vertical="center"/>
    </xf>
    <xf numFmtId="173" fontId="48" fillId="65" borderId="2" xfId="0" applyNumberFormat="1" applyFont="1" applyFill="1" applyBorder="1" applyAlignment="1">
      <alignment horizontal="right" vertical="center" wrapText="1"/>
    </xf>
    <xf numFmtId="1" fontId="36" fillId="65" borderId="2" xfId="0" applyNumberFormat="1" applyFont="1" applyFill="1" applyBorder="1" applyAlignment="1">
      <alignment horizontal="right" vertical="center"/>
    </xf>
    <xf numFmtId="1" fontId="48" fillId="65" borderId="21" xfId="0" applyNumberFormat="1" applyFont="1" applyFill="1" applyBorder="1" applyAlignment="1">
      <alignment horizontal="right" vertical="center"/>
    </xf>
    <xf numFmtId="1" fontId="36" fillId="65" borderId="21" xfId="0" applyNumberFormat="1" applyFont="1" applyFill="1" applyBorder="1" applyAlignment="1">
      <alignment horizontal="right" vertical="center" wrapText="1"/>
    </xf>
    <xf numFmtId="0" fontId="36" fillId="5" borderId="2" xfId="2" applyFont="1" applyFill="1" applyBorder="1" applyAlignment="1">
      <alignment horizontal="center" vertical="center" wrapText="1"/>
    </xf>
    <xf numFmtId="173" fontId="1" fillId="5" borderId="2" xfId="0" applyNumberFormat="1" applyFont="1" applyFill="1" applyBorder="1" applyAlignment="1">
      <alignment horizontal="center" vertical="center"/>
    </xf>
    <xf numFmtId="173" fontId="0" fillId="5" borderId="2" xfId="0" applyNumberFormat="1" applyFont="1" applyFill="1" applyBorder="1" applyAlignment="1">
      <alignment horizontal="center" vertical="center"/>
    </xf>
    <xf numFmtId="164" fontId="0" fillId="5" borderId="2" xfId="0" applyNumberFormat="1" applyFont="1" applyFill="1" applyBorder="1" applyAlignment="1">
      <alignment horizontal="center" vertical="center"/>
    </xf>
    <xf numFmtId="167" fontId="0" fillId="7" borderId="0" xfId="1" applyNumberFormat="1" applyFont="1" applyFill="1"/>
    <xf numFmtId="167" fontId="0" fillId="7" borderId="0" xfId="0" applyNumberFormat="1" applyFill="1"/>
    <xf numFmtId="167" fontId="1" fillId="7" borderId="25" xfId="0" applyNumberFormat="1" applyFont="1" applyFill="1" applyBorder="1"/>
    <xf numFmtId="0" fontId="1" fillId="7" borderId="0" xfId="0" applyFont="1" applyFill="1"/>
    <xf numFmtId="0" fontId="1" fillId="0" borderId="0" xfId="0" applyFont="1" applyAlignment="1">
      <alignment horizontal="center" vertical="center" wrapText="1"/>
    </xf>
    <xf numFmtId="0" fontId="48" fillId="0" borderId="2" xfId="0" applyFont="1" applyBorder="1" applyAlignment="1">
      <alignment horizontal="left" vertical="center" wrapText="1"/>
    </xf>
    <xf numFmtId="0" fontId="48" fillId="0" borderId="2" xfId="0" applyFont="1" applyBorder="1" applyAlignment="1">
      <alignment horizontal="center" vertical="center" wrapText="1"/>
    </xf>
    <xf numFmtId="0" fontId="51" fillId="0" borderId="2" xfId="0" applyFont="1" applyBorder="1" applyAlignment="1">
      <alignment horizontal="left" vertical="center" wrapText="1"/>
    </xf>
    <xf numFmtId="0" fontId="51" fillId="0" borderId="2" xfId="0" applyFont="1" applyBorder="1" applyAlignment="1">
      <alignment horizontal="left" vertical="center"/>
    </xf>
    <xf numFmtId="0" fontId="89" fillId="0" borderId="2" xfId="0" applyFont="1" applyBorder="1" applyAlignment="1">
      <alignment horizontal="left" vertical="center" wrapText="1"/>
    </xf>
    <xf numFmtId="0" fontId="7" fillId="0" borderId="0" xfId="0" applyFont="1" applyAlignment="1">
      <alignment horizontal="left" vertical="center" wrapText="1"/>
    </xf>
    <xf numFmtId="0" fontId="7" fillId="0" borderId="0" xfId="0" applyFont="1" applyAlignment="1">
      <alignment horizontal="left"/>
    </xf>
    <xf numFmtId="0" fontId="79" fillId="0" borderId="2" xfId="0" applyFont="1" applyBorder="1" applyAlignment="1">
      <alignment horizontal="left" vertical="center" wrapText="1"/>
    </xf>
    <xf numFmtId="164" fontId="3" fillId="15" borderId="0" xfId="2" applyNumberFormat="1" applyFill="1"/>
    <xf numFmtId="0" fontId="90" fillId="0" borderId="2" xfId="17" applyFont="1" applyBorder="1" applyAlignment="1">
      <alignment horizontal="left" vertical="center" wrapText="1"/>
    </xf>
    <xf numFmtId="0" fontId="1" fillId="66" borderId="2" xfId="0" applyFont="1" applyFill="1" applyBorder="1" applyAlignment="1">
      <alignment horizontal="center" vertical="center"/>
    </xf>
    <xf numFmtId="165" fontId="1" fillId="66" borderId="2" xfId="0" applyNumberFormat="1" applyFont="1" applyFill="1" applyBorder="1" applyAlignment="1">
      <alignment horizontal="center" vertical="center"/>
    </xf>
    <xf numFmtId="165" fontId="0" fillId="66" borderId="2" xfId="0" applyNumberFormat="1" applyFill="1" applyBorder="1" applyAlignment="1">
      <alignment horizontal="center" vertical="center"/>
    </xf>
    <xf numFmtId="0" fontId="0" fillId="66" borderId="2" xfId="0" applyFill="1" applyBorder="1" applyAlignment="1">
      <alignment horizontal="center" vertical="center"/>
    </xf>
    <xf numFmtId="0" fontId="1" fillId="66" borderId="0" xfId="0" applyFont="1" applyFill="1" applyAlignment="1">
      <alignment horizontal="center" wrapText="1"/>
    </xf>
    <xf numFmtId="0" fontId="7" fillId="5" borderId="0" xfId="0" applyFont="1" applyFill="1"/>
    <xf numFmtId="164" fontId="0" fillId="5" borderId="0" xfId="0" applyNumberFormat="1" applyFill="1" applyBorder="1" applyAlignment="1">
      <alignment horizontal="center" vertical="center"/>
    </xf>
    <xf numFmtId="0" fontId="50" fillId="0" borderId="2" xfId="0" applyFont="1" applyBorder="1" applyAlignment="1">
      <alignment horizontal="left" vertical="center" wrapText="1"/>
    </xf>
    <xf numFmtId="0" fontId="91" fillId="0" borderId="2" xfId="0" applyFont="1" applyBorder="1" applyAlignment="1">
      <alignment horizontal="left" vertical="center" wrapText="1"/>
    </xf>
    <xf numFmtId="0" fontId="0" fillId="5" borderId="32" xfId="0" applyFill="1" applyBorder="1"/>
    <xf numFmtId="0" fontId="0" fillId="5" borderId="25" xfId="0" applyFill="1" applyBorder="1"/>
    <xf numFmtId="0" fontId="40" fillId="16" borderId="41" xfId="18" applyFont="1" applyFill="1" applyBorder="1" applyAlignment="1">
      <alignment horizontal="right" vertical="top" wrapText="1"/>
    </xf>
    <xf numFmtId="0" fontId="40" fillId="16" borderId="42" xfId="18" applyFont="1" applyFill="1" applyBorder="1" applyAlignment="1">
      <alignment horizontal="right" vertical="top" wrapText="1"/>
    </xf>
    <xf numFmtId="0" fontId="41" fillId="16" borderId="41" xfId="18" applyFont="1" applyFill="1" applyBorder="1" applyAlignment="1">
      <alignment vertical="top" wrapText="1"/>
    </xf>
    <xf numFmtId="0" fontId="41" fillId="16" borderId="43" xfId="18" applyFont="1" applyFill="1" applyBorder="1" applyAlignment="1">
      <alignment vertical="top" wrapText="1"/>
    </xf>
    <xf numFmtId="0" fontId="41" fillId="16" borderId="42" xfId="18" applyFont="1" applyFill="1" applyBorder="1" applyAlignment="1">
      <alignment vertical="top" wrapText="1"/>
    </xf>
    <xf numFmtId="0" fontId="40" fillId="17" borderId="41" xfId="18" applyFont="1" applyFill="1" applyBorder="1" applyAlignment="1">
      <alignment horizontal="right" vertical="center" wrapText="1"/>
    </xf>
    <xf numFmtId="0" fontId="40" fillId="17" borderId="42" xfId="18" applyFont="1" applyFill="1" applyBorder="1" applyAlignment="1">
      <alignment horizontal="right" vertical="center" wrapText="1"/>
    </xf>
    <xf numFmtId="0" fontId="42" fillId="16" borderId="41" xfId="18" applyFont="1" applyFill="1" applyBorder="1" applyAlignment="1">
      <alignment vertical="top" wrapText="1"/>
    </xf>
    <xf numFmtId="0" fontId="42" fillId="16" borderId="43" xfId="18" applyFont="1" applyFill="1" applyBorder="1" applyAlignment="1">
      <alignment vertical="top" wrapText="1"/>
    </xf>
    <xf numFmtId="0" fontId="42" fillId="16" borderId="42" xfId="18" applyFont="1" applyFill="1" applyBorder="1" applyAlignment="1">
      <alignment vertical="top" wrapText="1"/>
    </xf>
    <xf numFmtId="179" fontId="0" fillId="3" borderId="23" xfId="0" applyNumberFormat="1" applyFill="1" applyBorder="1" applyAlignment="1">
      <alignment horizontal="center" vertical="center" wrapText="1"/>
    </xf>
    <xf numFmtId="0" fontId="0" fillId="0" borderId="23" xfId="0" applyBorder="1" applyAlignment="1">
      <alignment horizontal="center" vertical="center" wrapText="1"/>
    </xf>
    <xf numFmtId="0" fontId="3" fillId="0" borderId="6" xfId="2" applyBorder="1" applyAlignment="1">
      <alignment vertical="center" wrapText="1"/>
    </xf>
    <xf numFmtId="0" fontId="3" fillId="0" borderId="2" xfId="2" applyBorder="1" applyAlignment="1">
      <alignment vertical="center" wrapText="1"/>
    </xf>
    <xf numFmtId="0" fontId="3" fillId="0" borderId="7" xfId="2" applyBorder="1" applyAlignment="1">
      <alignment vertical="center" wrapText="1"/>
    </xf>
    <xf numFmtId="0" fontId="3" fillId="23" borderId="7" xfId="2" applyFill="1" applyBorder="1" applyAlignment="1">
      <alignment vertical="center" wrapText="1"/>
    </xf>
    <xf numFmtId="0" fontId="3" fillId="0" borderId="8" xfId="2" applyBorder="1" applyAlignment="1">
      <alignment vertical="center" wrapText="1"/>
    </xf>
    <xf numFmtId="0" fontId="3" fillId="0" borderId="9" xfId="2" applyBorder="1" applyAlignment="1">
      <alignment vertical="center" wrapText="1"/>
    </xf>
    <xf numFmtId="0" fontId="3" fillId="0" borderId="21" xfId="2" applyBorder="1" applyAlignment="1">
      <alignment vertical="center" wrapText="1"/>
    </xf>
    <xf numFmtId="0" fontId="3" fillId="0" borderId="24" xfId="2" applyBorder="1" applyAlignment="1">
      <alignment vertical="center" wrapText="1"/>
    </xf>
    <xf numFmtId="0" fontId="3" fillId="0" borderId="12" xfId="2" applyBorder="1" applyAlignment="1">
      <alignment vertical="center" wrapText="1"/>
    </xf>
    <xf numFmtId="0" fontId="3" fillId="5" borderId="7" xfId="2" applyFill="1" applyBorder="1" applyAlignment="1">
      <alignment vertical="center" wrapText="1"/>
    </xf>
    <xf numFmtId="0" fontId="3" fillId="26" borderId="7" xfId="2" applyFill="1" applyBorder="1" applyAlignment="1">
      <alignment vertical="center" wrapText="1"/>
    </xf>
    <xf numFmtId="0" fontId="1" fillId="0" borderId="2" xfId="0" applyFont="1" applyBorder="1" applyAlignment="1">
      <alignment horizontal="center" vertical="center" wrapText="1"/>
    </xf>
    <xf numFmtId="0" fontId="0" fillId="0" borderId="0" xfId="0" applyFont="1" applyAlignment="1">
      <alignment wrapText="1"/>
    </xf>
    <xf numFmtId="0" fontId="0" fillId="0" borderId="0" xfId="0" applyAlignment="1">
      <alignment wrapText="1"/>
    </xf>
    <xf numFmtId="0" fontId="0" fillId="0" borderId="0" xfId="0" applyFont="1" applyAlignment="1"/>
    <xf numFmtId="0" fontId="1" fillId="0" borderId="0" xfId="0" applyFont="1" applyAlignment="1">
      <alignment wrapText="1"/>
    </xf>
    <xf numFmtId="0" fontId="24" fillId="9" borderId="0" xfId="11" applyFont="1" applyFill="1" applyBorder="1" applyAlignment="1">
      <alignment horizontal="left" vertical="center" wrapText="1"/>
    </xf>
    <xf numFmtId="0" fontId="22" fillId="10" borderId="2" xfId="8" applyFont="1" applyFill="1" applyBorder="1" applyAlignment="1">
      <alignment horizontal="center"/>
    </xf>
    <xf numFmtId="0" fontId="22" fillId="10" borderId="35" xfId="8" applyFont="1" applyFill="1" applyBorder="1" applyAlignment="1">
      <alignment horizontal="center"/>
    </xf>
    <xf numFmtId="0" fontId="22" fillId="10" borderId="2" xfId="9" applyFont="1" applyFill="1" applyBorder="1" applyAlignment="1">
      <alignment horizontal="center" vertical="center" wrapText="1"/>
    </xf>
    <xf numFmtId="0" fontId="20" fillId="9" borderId="0" xfId="7" applyFont="1" applyFill="1" applyAlignment="1">
      <alignment horizontal="left" vertical="top" wrapText="1"/>
    </xf>
    <xf numFmtId="0" fontId="24" fillId="9" borderId="36" xfId="8" applyFont="1" applyFill="1" applyBorder="1" applyAlignment="1">
      <alignment horizontal="left" wrapText="1"/>
    </xf>
    <xf numFmtId="0" fontId="22" fillId="10" borderId="17" xfId="13" applyFont="1" applyFill="1" applyBorder="1" applyAlignment="1">
      <alignment horizontal="left" vertical="center" wrapText="1"/>
    </xf>
    <xf numFmtId="0" fontId="22" fillId="10" borderId="37" xfId="13" applyFont="1" applyFill="1" applyBorder="1" applyAlignment="1">
      <alignment horizontal="left" vertical="center" wrapText="1"/>
    </xf>
    <xf numFmtId="0" fontId="22" fillId="10" borderId="22" xfId="13" applyFont="1" applyFill="1" applyBorder="1" applyAlignment="1">
      <alignment horizontal="left" vertical="center" wrapText="1"/>
    </xf>
    <xf numFmtId="2" fontId="20" fillId="12" borderId="2" xfId="0" applyNumberFormat="1" applyFont="1" applyFill="1" applyBorder="1" applyAlignment="1">
      <alignment horizontal="right"/>
    </xf>
    <xf numFmtId="0" fontId="20" fillId="9" borderId="2" xfId="8" applyFont="1" applyFill="1" applyBorder="1" applyAlignment="1">
      <alignment horizontal="left" vertical="center"/>
    </xf>
    <xf numFmtId="0" fontId="0" fillId="7" borderId="0" xfId="0" applyFill="1" applyBorder="1" applyAlignment="1">
      <alignment horizontal="left" vertical="center" wrapText="1"/>
    </xf>
    <xf numFmtId="0" fontId="0" fillId="0" borderId="0" xfId="0" applyAlignment="1"/>
    <xf numFmtId="0" fontId="52" fillId="16" borderId="41" xfId="18" applyFont="1" applyFill="1" applyBorder="1" applyAlignment="1">
      <alignment vertical="top" wrapText="1"/>
    </xf>
    <xf numFmtId="0" fontId="52" fillId="16" borderId="42" xfId="18" applyFont="1" applyFill="1" applyBorder="1" applyAlignment="1">
      <alignment vertical="top" wrapText="1"/>
    </xf>
    <xf numFmtId="0" fontId="41" fillId="17" borderId="41" xfId="18" applyFont="1" applyFill="1" applyBorder="1" applyAlignment="1">
      <alignment horizontal="center" vertical="top" wrapText="1"/>
    </xf>
    <xf numFmtId="0" fontId="41" fillId="17" borderId="42" xfId="18" applyFont="1" applyFill="1" applyBorder="1" applyAlignment="1">
      <alignment horizontal="center" vertical="top" wrapText="1"/>
    </xf>
    <xf numFmtId="0" fontId="3" fillId="0" borderId="77" xfId="2" applyBorder="1" applyAlignment="1">
      <alignment horizontal="center" vertical="center" wrapText="1"/>
    </xf>
    <xf numFmtId="0" fontId="13" fillId="0" borderId="53" xfId="3" applyBorder="1" applyAlignment="1">
      <alignment horizontal="center" vertical="center" wrapText="1"/>
    </xf>
    <xf numFmtId="0" fontId="0" fillId="0" borderId="78" xfId="0" applyBorder="1" applyAlignment="1">
      <alignment vertical="center"/>
    </xf>
    <xf numFmtId="0" fontId="0" fillId="0" borderId="53" xfId="0" applyBorder="1" applyAlignment="1">
      <alignment vertical="center"/>
    </xf>
    <xf numFmtId="0" fontId="3" fillId="0" borderId="31" xfId="2"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4" fontId="22" fillId="14" borderId="2" xfId="14" applyFont="1" applyFill="1" applyBorder="1" applyAlignment="1">
      <alignment horizontal="center" wrapText="1"/>
    </xf>
    <xf numFmtId="4" fontId="22" fillId="14" borderId="2" xfId="14" applyFont="1" applyFill="1" applyBorder="1" applyAlignment="1">
      <alignment horizontal="center" vertical="center"/>
    </xf>
    <xf numFmtId="4" fontId="22" fillId="14" borderId="2" xfId="14" applyFont="1" applyFill="1" applyBorder="1" applyAlignment="1">
      <alignment horizontal="center" vertical="center" wrapText="1"/>
    </xf>
    <xf numFmtId="4" fontId="22" fillId="14" borderId="17" xfId="14" applyFont="1" applyFill="1" applyBorder="1" applyAlignment="1">
      <alignment horizontal="center" vertical="center" wrapText="1"/>
    </xf>
    <xf numFmtId="4" fontId="22" fillId="14" borderId="2" xfId="15" applyFont="1" applyFill="1" applyBorder="1" applyAlignment="1">
      <alignment horizontal="center" vertical="center" wrapText="1"/>
    </xf>
    <xf numFmtId="0" fontId="0" fillId="3" borderId="0" xfId="0" applyFill="1" applyBorder="1" applyAlignment="1">
      <alignment wrapText="1"/>
    </xf>
    <xf numFmtId="0" fontId="22" fillId="14" borderId="2" xfId="14" applyNumberFormat="1" applyFont="1" applyFill="1" applyBorder="1" applyAlignment="1">
      <alignment horizontal="center" vertical="center"/>
    </xf>
    <xf numFmtId="0" fontId="22" fillId="14" borderId="2" xfId="14" applyNumberFormat="1" applyFont="1" applyFill="1" applyBorder="1" applyAlignment="1">
      <alignment horizontal="center" vertical="center" wrapText="1"/>
    </xf>
    <xf numFmtId="0" fontId="1" fillId="21" borderId="23" xfId="0" applyFont="1" applyFill="1" applyBorder="1" applyAlignment="1">
      <alignment wrapText="1"/>
    </xf>
    <xf numFmtId="4" fontId="22" fillId="6" borderId="2" xfId="14" applyFont="1" applyFill="1" applyBorder="1" applyAlignment="1">
      <alignment horizontal="center" vertical="center" wrapText="1"/>
    </xf>
    <xf numFmtId="4" fontId="20" fillId="9" borderId="0" xfId="14" applyFont="1" applyFill="1" applyAlignment="1">
      <alignment horizontal="left" vertical="top" wrapText="1"/>
    </xf>
    <xf numFmtId="4" fontId="24" fillId="9" borderId="0" xfId="0" applyNumberFormat="1" applyFont="1" applyFill="1" applyAlignment="1">
      <alignment horizontal="left" vertical="top" wrapText="1"/>
    </xf>
    <xf numFmtId="0" fontId="24" fillId="9" borderId="0" xfId="0" applyFont="1" applyFill="1" applyAlignment="1">
      <alignment horizontal="left" vertical="top" wrapText="1"/>
    </xf>
    <xf numFmtId="4" fontId="20" fillId="9" borderId="0" xfId="15" applyFont="1" applyFill="1" applyAlignment="1">
      <alignment horizontal="left" vertical="top"/>
    </xf>
    <xf numFmtId="2" fontId="77" fillId="12" borderId="2" xfId="0" applyNumberFormat="1" applyFont="1" applyFill="1" applyBorder="1" applyAlignment="1">
      <alignment horizontal="right"/>
    </xf>
    <xf numFmtId="4" fontId="20" fillId="0" borderId="2" xfId="15" applyFont="1" applyBorder="1" applyAlignment="1">
      <alignment horizontal="left" vertical="center"/>
    </xf>
    <xf numFmtId="4" fontId="22" fillId="14" borderId="21" xfId="15" applyFont="1" applyFill="1" applyBorder="1" applyAlignment="1">
      <alignment horizontal="center" vertical="center" wrapText="1"/>
    </xf>
    <xf numFmtId="4" fontId="22" fillId="14" borderId="12" xfId="15" applyFont="1" applyFill="1" applyBorder="1" applyAlignment="1">
      <alignment horizontal="center" vertical="center" wrapText="1"/>
    </xf>
    <xf numFmtId="0" fontId="22" fillId="14" borderId="70" xfId="14" applyNumberFormat="1" applyFont="1" applyFill="1" applyBorder="1" applyAlignment="1">
      <alignment horizontal="center" vertical="center"/>
    </xf>
    <xf numFmtId="0" fontId="22" fillId="14" borderId="71" xfId="14" applyNumberFormat="1" applyFont="1" applyFill="1" applyBorder="1" applyAlignment="1">
      <alignment horizontal="center" vertical="center"/>
    </xf>
    <xf numFmtId="0" fontId="22" fillId="14" borderId="72" xfId="14" applyNumberFormat="1" applyFont="1" applyFill="1" applyBorder="1" applyAlignment="1">
      <alignment horizontal="center" vertical="center"/>
    </xf>
    <xf numFmtId="0" fontId="22" fillId="14" borderId="70" xfId="14" applyNumberFormat="1" applyFont="1" applyFill="1" applyBorder="1" applyAlignment="1">
      <alignment horizontal="center" vertical="center" wrapText="1"/>
    </xf>
    <xf numFmtId="0" fontId="22" fillId="14" borderId="71" xfId="14" applyNumberFormat="1" applyFont="1" applyFill="1" applyBorder="1" applyAlignment="1">
      <alignment horizontal="center" vertical="center" wrapText="1"/>
    </xf>
    <xf numFmtId="0" fontId="22" fillId="14" borderId="72" xfId="14" applyNumberFormat="1" applyFont="1" applyFill="1" applyBorder="1" applyAlignment="1">
      <alignment horizontal="center" vertical="center" wrapText="1"/>
    </xf>
    <xf numFmtId="4" fontId="22" fillId="14" borderId="70" xfId="14" applyFont="1" applyFill="1" applyBorder="1" applyAlignment="1">
      <alignment horizontal="center" vertical="center" wrapText="1"/>
    </xf>
    <xf numFmtId="4" fontId="22" fillId="14" borderId="71" xfId="14" applyFont="1" applyFill="1" applyBorder="1" applyAlignment="1">
      <alignment horizontal="center" vertical="center" wrapText="1"/>
    </xf>
    <xf numFmtId="4" fontId="22" fillId="14" borderId="72" xfId="14" applyFont="1" applyFill="1" applyBorder="1" applyAlignment="1">
      <alignment horizontal="center" vertical="center" wrapText="1"/>
    </xf>
    <xf numFmtId="4" fontId="22" fillId="14" borderId="56" xfId="15" applyFont="1" applyFill="1" applyBorder="1" applyAlignment="1">
      <alignment horizontal="left" vertical="top"/>
    </xf>
    <xf numFmtId="4" fontId="22" fillId="14" borderId="46" xfId="15" applyFont="1" applyFill="1" applyBorder="1" applyAlignment="1">
      <alignment horizontal="left" vertical="top"/>
    </xf>
    <xf numFmtId="4" fontId="22" fillId="14" borderId="67" xfId="15" applyFont="1" applyFill="1" applyBorder="1" applyAlignment="1">
      <alignment horizontal="left" vertical="top"/>
    </xf>
    <xf numFmtId="0" fontId="20" fillId="14" borderId="16" xfId="0" applyFont="1" applyFill="1" applyBorder="1" applyAlignment="1">
      <alignment horizontal="left" vertical="top" wrapText="1"/>
    </xf>
    <xf numFmtId="0" fontId="20" fillId="14" borderId="36" xfId="0" applyFont="1" applyFill="1" applyBorder="1" applyAlignment="1">
      <alignment horizontal="left" vertical="top" wrapText="1"/>
    </xf>
    <xf numFmtId="0" fontId="20" fillId="14" borderId="50" xfId="0" applyFont="1" applyFill="1" applyBorder="1" applyAlignment="1">
      <alignment horizontal="left" vertical="top" wrapText="1"/>
    </xf>
    <xf numFmtId="4" fontId="22" fillId="14" borderId="21" xfId="14" applyFont="1" applyFill="1" applyBorder="1" applyAlignment="1">
      <alignment horizontal="center" vertical="center" wrapText="1"/>
    </xf>
    <xf numFmtId="4" fontId="22" fillId="14" borderId="12" xfId="14" applyFont="1" applyFill="1" applyBorder="1" applyAlignment="1">
      <alignment horizontal="center" vertical="center" wrapText="1"/>
    </xf>
    <xf numFmtId="4" fontId="22" fillId="14" borderId="37" xfId="14" applyFont="1" applyFill="1" applyBorder="1" applyAlignment="1">
      <alignment horizontal="center" vertical="center" wrapText="1"/>
    </xf>
    <xf numFmtId="4" fontId="22" fillId="14" borderId="22" xfId="14" applyFont="1" applyFill="1" applyBorder="1" applyAlignment="1">
      <alignment horizontal="center" vertical="center" wrapText="1"/>
    </xf>
    <xf numFmtId="4" fontId="22" fillId="14" borderId="24" xfId="14" applyFont="1" applyFill="1" applyBorder="1" applyAlignment="1">
      <alignment horizontal="center" vertical="center" wrapText="1"/>
    </xf>
    <xf numFmtId="4" fontId="22" fillId="14" borderId="17" xfId="14" applyFont="1" applyFill="1" applyBorder="1" applyAlignment="1">
      <alignment horizontal="center" wrapText="1"/>
    </xf>
    <xf numFmtId="4" fontId="22" fillId="14" borderId="37" xfId="14" applyFont="1" applyFill="1" applyBorder="1" applyAlignment="1">
      <alignment horizontal="center" wrapText="1"/>
    </xf>
    <xf numFmtId="4" fontId="22" fillId="14" borderId="22" xfId="14" applyFont="1" applyFill="1" applyBorder="1" applyAlignment="1">
      <alignment horizontal="center" wrapText="1"/>
    </xf>
    <xf numFmtId="4" fontId="22" fillId="14" borderId="17" xfId="14" applyFont="1" applyFill="1" applyBorder="1" applyAlignment="1">
      <alignment horizontal="center" vertical="center"/>
    </xf>
    <xf numFmtId="4" fontId="22" fillId="14" borderId="37" xfId="14" applyFont="1" applyFill="1" applyBorder="1" applyAlignment="1">
      <alignment horizontal="center" vertical="center"/>
    </xf>
    <xf numFmtId="4" fontId="22" fillId="14" borderId="22" xfId="14" applyFont="1" applyFill="1" applyBorder="1" applyAlignment="1">
      <alignment horizontal="center" vertical="center"/>
    </xf>
    <xf numFmtId="4" fontId="22" fillId="14" borderId="67" xfId="14" applyFont="1" applyFill="1" applyBorder="1" applyAlignment="1">
      <alignment horizontal="center" vertical="center" wrapText="1"/>
    </xf>
    <xf numFmtId="4" fontId="22" fillId="14" borderId="38" xfId="14" applyFont="1" applyFill="1" applyBorder="1" applyAlignment="1">
      <alignment horizontal="center" vertical="center" wrapText="1"/>
    </xf>
    <xf numFmtId="4" fontId="22" fillId="14" borderId="50" xfId="14" applyFont="1" applyFill="1" applyBorder="1" applyAlignment="1">
      <alignment horizontal="center" vertical="center" wrapText="1"/>
    </xf>
    <xf numFmtId="4" fontId="22" fillId="14" borderId="68" xfId="14" applyFont="1" applyFill="1" applyBorder="1" applyAlignment="1">
      <alignment horizontal="center" vertical="center" wrapText="1"/>
    </xf>
    <xf numFmtId="4" fontId="22" fillId="14" borderId="69" xfId="14" applyFont="1" applyFill="1" applyBorder="1" applyAlignment="1">
      <alignment horizontal="center" vertical="center" wrapText="1"/>
    </xf>
    <xf numFmtId="0" fontId="3" fillId="0" borderId="31" xfId="2" applyBorder="1" applyAlignment="1">
      <alignment horizontal="center" wrapText="1"/>
    </xf>
    <xf numFmtId="0" fontId="13" fillId="0" borderId="32" xfId="3" applyBorder="1" applyAlignment="1">
      <alignment horizontal="center" wrapText="1"/>
    </xf>
    <xf numFmtId="0" fontId="13" fillId="0" borderId="33" xfId="3" applyBorder="1" applyAlignment="1">
      <alignment horizontal="center" wrapText="1"/>
    </xf>
    <xf numFmtId="0" fontId="2" fillId="6" borderId="0" xfId="2" applyFont="1" applyFill="1" applyAlignment="1">
      <alignment wrapText="1"/>
    </xf>
    <xf numFmtId="0" fontId="0" fillId="6" borderId="0" xfId="0" applyFill="1" applyAlignment="1">
      <alignment wrapText="1"/>
    </xf>
    <xf numFmtId="0" fontId="0" fillId="3" borderId="23" xfId="0" applyFill="1" applyBorder="1" applyAlignment="1">
      <alignment horizontal="center" vertical="center" wrapText="1"/>
    </xf>
    <xf numFmtId="0" fontId="0" fillId="5" borderId="16" xfId="0" applyFill="1" applyBorder="1" applyAlignment="1">
      <alignment horizontal="center" wrapText="1"/>
    </xf>
    <xf numFmtId="0" fontId="0" fillId="5" borderId="36" xfId="0" applyFill="1" applyBorder="1" applyAlignment="1">
      <alignment horizontal="center" wrapText="1"/>
    </xf>
    <xf numFmtId="0" fontId="0" fillId="0" borderId="50" xfId="0" applyBorder="1" applyAlignment="1">
      <alignment wrapText="1"/>
    </xf>
    <xf numFmtId="0" fontId="7" fillId="0" borderId="0" xfId="0" applyFont="1" applyAlignment="1">
      <alignment wrapText="1"/>
    </xf>
    <xf numFmtId="0" fontId="9" fillId="0" borderId="0" xfId="0" applyFont="1" applyAlignment="1">
      <alignment wrapText="1"/>
    </xf>
    <xf numFmtId="0" fontId="36" fillId="6" borderId="0" xfId="0" applyFont="1" applyFill="1" applyBorder="1" applyAlignment="1">
      <alignment wrapText="1"/>
    </xf>
    <xf numFmtId="0" fontId="27" fillId="0" borderId="2" xfId="18" applyFont="1" applyBorder="1" applyAlignment="1">
      <alignment horizontal="center" vertical="center" wrapText="1"/>
    </xf>
    <xf numFmtId="0" fontId="27" fillId="0" borderId="21" xfId="18" applyFont="1" applyBorder="1" applyAlignment="1">
      <alignment horizontal="center" vertical="center" wrapText="1"/>
    </xf>
    <xf numFmtId="0" fontId="36" fillId="0" borderId="24" xfId="0" applyFont="1" applyBorder="1" applyAlignment="1">
      <alignment horizontal="center" vertical="center" wrapText="1"/>
    </xf>
    <xf numFmtId="0" fontId="36" fillId="0" borderId="12" xfId="0" applyFont="1" applyBorder="1" applyAlignment="1">
      <alignment horizontal="center" vertical="center"/>
    </xf>
    <xf numFmtId="0" fontId="27" fillId="0" borderId="56" xfId="18" applyFont="1" applyBorder="1" applyAlignment="1">
      <alignment horizontal="center" vertical="center" wrapText="1"/>
    </xf>
    <xf numFmtId="0" fontId="36" fillId="0" borderId="67" xfId="0" applyFont="1" applyBorder="1" applyAlignment="1">
      <alignment horizontal="center" vertical="center" wrapText="1"/>
    </xf>
    <xf numFmtId="0" fontId="36" fillId="0" borderId="23" xfId="0" applyFont="1" applyBorder="1" applyAlignment="1">
      <alignment horizontal="center" vertical="center" wrapText="1"/>
    </xf>
    <xf numFmtId="0" fontId="36" fillId="0" borderId="38" xfId="0" applyFont="1" applyBorder="1" applyAlignment="1">
      <alignment horizontal="center" vertical="center" wrapText="1"/>
    </xf>
    <xf numFmtId="0" fontId="36" fillId="0" borderId="16" xfId="0" applyFont="1" applyBorder="1" applyAlignment="1">
      <alignment horizontal="center" vertical="center" wrapText="1"/>
    </xf>
    <xf numFmtId="0" fontId="36" fillId="0" borderId="50" xfId="0" applyFont="1" applyBorder="1" applyAlignment="1">
      <alignment horizontal="center" vertical="center" wrapText="1"/>
    </xf>
    <xf numFmtId="0" fontId="36" fillId="0" borderId="2" xfId="0" applyFont="1" applyBorder="1" applyAlignment="1">
      <alignment horizontal="center" wrapText="1"/>
    </xf>
    <xf numFmtId="0" fontId="19" fillId="0" borderId="78" xfId="18" applyBorder="1" applyAlignment="1">
      <alignment horizontal="center" vertical="center" wrapText="1"/>
    </xf>
    <xf numFmtId="0" fontId="19" fillId="0" borderId="52" xfId="18" applyBorder="1" applyAlignment="1">
      <alignment horizontal="center" vertical="center" wrapText="1"/>
    </xf>
    <xf numFmtId="0" fontId="19" fillId="0" borderId="23" xfId="18" applyBorder="1" applyAlignment="1">
      <alignment horizontal="center" vertical="center" wrapText="1"/>
    </xf>
    <xf numFmtId="0" fontId="19" fillId="0" borderId="38" xfId="18" applyBorder="1" applyAlignment="1">
      <alignment horizontal="center" vertical="center" wrapText="1"/>
    </xf>
    <xf numFmtId="0" fontId="19" fillId="5" borderId="78" xfId="18" applyFill="1" applyBorder="1" applyAlignment="1">
      <alignment horizontal="center" vertical="center" wrapText="1"/>
    </xf>
    <xf numFmtId="0" fontId="19" fillId="5" borderId="52" xfId="18" applyFill="1" applyBorder="1" applyAlignment="1">
      <alignment horizontal="center" vertical="center" wrapText="1"/>
    </xf>
    <xf numFmtId="0" fontId="19" fillId="5" borderId="23" xfId="18" applyFill="1" applyBorder="1" applyAlignment="1">
      <alignment horizontal="center" vertical="center" wrapText="1"/>
    </xf>
    <xf numFmtId="0" fontId="19" fillId="5" borderId="38" xfId="18" applyFill="1" applyBorder="1" applyAlignment="1">
      <alignment horizontal="center" vertical="center" wrapText="1"/>
    </xf>
    <xf numFmtId="0" fontId="19" fillId="0" borderId="76" xfId="18" applyBorder="1" applyAlignment="1">
      <alignment horizontal="center" vertical="center" wrapText="1"/>
    </xf>
    <xf numFmtId="0" fontId="19" fillId="0" borderId="0" xfId="18" applyBorder="1" applyAlignment="1">
      <alignment horizontal="center" vertical="center" wrapText="1"/>
    </xf>
    <xf numFmtId="0" fontId="19" fillId="0" borderId="2" xfId="18" applyBorder="1" applyAlignment="1">
      <alignment horizontal="center" vertical="center" wrapText="1"/>
    </xf>
    <xf numFmtId="0" fontId="19" fillId="0" borderId="2" xfId="18" applyBorder="1" applyAlignment="1">
      <alignment vertical="center" wrapText="1"/>
    </xf>
    <xf numFmtId="0" fontId="0" fillId="0" borderId="2" xfId="0" applyBorder="1" applyAlignment="1">
      <alignment vertical="center" wrapText="1"/>
    </xf>
    <xf numFmtId="0" fontId="0" fillId="0" borderId="2" xfId="0" applyBorder="1" applyAlignment="1">
      <alignment vertical="center"/>
    </xf>
    <xf numFmtId="0" fontId="19" fillId="0" borderId="79" xfId="18" applyBorder="1" applyAlignment="1">
      <alignment horizontal="center" vertical="center" wrapText="1"/>
    </xf>
    <xf numFmtId="0" fontId="19" fillId="0" borderId="80" xfId="18" applyBorder="1" applyAlignment="1">
      <alignment horizontal="center" vertical="center" wrapText="1"/>
    </xf>
    <xf numFmtId="0" fontId="19" fillId="0" borderId="0" xfId="18" applyAlignment="1">
      <alignment vertical="center"/>
    </xf>
    <xf numFmtId="0" fontId="19" fillId="0" borderId="77" xfId="18" applyBorder="1" applyAlignment="1">
      <alignment horizontal="center" vertical="center" wrapText="1"/>
    </xf>
    <xf numFmtId="0" fontId="19" fillId="0" borderId="44" xfId="18" applyBorder="1" applyAlignment="1">
      <alignment horizontal="center" vertical="center" wrapText="1"/>
    </xf>
    <xf numFmtId="0" fontId="19" fillId="0" borderId="81" xfId="18" applyBorder="1" applyAlignment="1">
      <alignment horizontal="center" vertical="center" wrapText="1"/>
    </xf>
    <xf numFmtId="0" fontId="19" fillId="5" borderId="79" xfId="18" applyFill="1" applyBorder="1" applyAlignment="1">
      <alignment horizontal="center" vertical="center" wrapText="1"/>
    </xf>
    <xf numFmtId="0" fontId="19" fillId="5" borderId="80" xfId="18" applyFill="1" applyBorder="1" applyAlignment="1">
      <alignment horizontal="center" vertical="center" wrapText="1"/>
    </xf>
    <xf numFmtId="0" fontId="0" fillId="0" borderId="2" xfId="0" applyBorder="1" applyAlignment="1">
      <alignment horizontal="center" vertical="center" wrapText="1"/>
    </xf>
    <xf numFmtId="0" fontId="0" fillId="7" borderId="36" xfId="0" applyFill="1" applyBorder="1" applyAlignment="1">
      <alignment wrapText="1"/>
    </xf>
    <xf numFmtId="0" fontId="1" fillId="5" borderId="31" xfId="0" applyFont="1" applyFill="1" applyBorder="1" applyAlignment="1">
      <alignment wrapText="1"/>
    </xf>
    <xf numFmtId="0" fontId="1" fillId="5" borderId="32" xfId="0" applyFont="1" applyFill="1" applyBorder="1" applyAlignment="1">
      <alignment wrapText="1"/>
    </xf>
    <xf numFmtId="0" fontId="1" fillId="5" borderId="33" xfId="0" applyFont="1" applyFill="1" applyBorder="1" applyAlignment="1">
      <alignment wrapText="1"/>
    </xf>
    <xf numFmtId="0" fontId="0" fillId="5" borderId="23" xfId="0" applyFill="1"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left" vertical="top" wrapText="1"/>
    </xf>
    <xf numFmtId="0" fontId="33" fillId="0" borderId="0" xfId="17" applyFont="1" applyAlignment="1">
      <alignment wrapText="1"/>
    </xf>
    <xf numFmtId="0" fontId="33" fillId="0" borderId="0" xfId="0" applyFont="1" applyAlignment="1">
      <alignment wrapText="1"/>
    </xf>
    <xf numFmtId="0" fontId="36" fillId="2" borderId="0" xfId="2" applyFont="1" applyFill="1" applyBorder="1" applyAlignment="1">
      <alignment horizontal="left" vertical="center" wrapText="1"/>
    </xf>
    <xf numFmtId="0" fontId="0" fillId="2" borderId="0" xfId="0" applyFill="1" applyAlignment="1">
      <alignment wrapText="1"/>
    </xf>
    <xf numFmtId="1" fontId="0" fillId="6" borderId="2" xfId="0" applyNumberFormat="1" applyFill="1" applyBorder="1" applyAlignment="1">
      <alignment horizontal="center" vertical="center" wrapText="1"/>
    </xf>
    <xf numFmtId="0" fontId="0" fillId="0" borderId="2" xfId="0" applyBorder="1" applyAlignment="1">
      <alignment wrapText="1"/>
    </xf>
    <xf numFmtId="0" fontId="41" fillId="17" borderId="43" xfId="18" applyFont="1" applyFill="1" applyBorder="1" applyAlignment="1">
      <alignment horizontal="center" vertical="top" wrapText="1"/>
    </xf>
  </cellXfs>
  <cellStyles count="69">
    <cellStyle name="20% - Colore 1" xfId="40" builtinId="30" customBuiltin="1"/>
    <cellStyle name="20% - Colore 2" xfId="44" builtinId="34" customBuiltin="1"/>
    <cellStyle name="20% - Colore 3" xfId="48" builtinId="38" customBuiltin="1"/>
    <cellStyle name="20% - Colore 4" xfId="52" builtinId="42" customBuiltin="1"/>
    <cellStyle name="20% - Colore 5" xfId="56" builtinId="46" customBuiltin="1"/>
    <cellStyle name="20% - Colore 6" xfId="60" builtinId="50" customBuiltin="1"/>
    <cellStyle name="40% - Colore 1" xfId="41" builtinId="31" customBuiltin="1"/>
    <cellStyle name="40% - Colore 2" xfId="45" builtinId="35" customBuiltin="1"/>
    <cellStyle name="40% - Colore 3" xfId="49" builtinId="39" customBuiltin="1"/>
    <cellStyle name="40% - Colore 4" xfId="53" builtinId="43" customBuiltin="1"/>
    <cellStyle name="40% - Colore 5" xfId="57" builtinId="47" customBuiltin="1"/>
    <cellStyle name="40% - Colore 6" xfId="61" builtinId="51" customBuiltin="1"/>
    <cellStyle name="60% - Colore 1" xfId="42" builtinId="32" customBuiltin="1"/>
    <cellStyle name="60% - Colore 2" xfId="46" builtinId="36" customBuiltin="1"/>
    <cellStyle name="60% - Colore 3" xfId="50" builtinId="40" customBuiltin="1"/>
    <cellStyle name="60% - Colore 4" xfId="54" builtinId="44" customBuiltin="1"/>
    <cellStyle name="60% - Colore 5" xfId="58" builtinId="48" customBuiltin="1"/>
    <cellStyle name="60% - Colore 6" xfId="62" builtinId="52" customBuiltin="1"/>
    <cellStyle name="AggOrange_LR_Left" xfId="11" xr:uid="{72153518-C200-4D2C-954D-7026F96F2B11}"/>
    <cellStyle name="AggOrange9" xfId="10" xr:uid="{2EC5B375-8F25-48FE-B9FB-09624B26D7DE}"/>
    <cellStyle name="Calcolo" xfId="32" builtinId="22" customBuiltin="1"/>
    <cellStyle name="Cella collegata" xfId="33" builtinId="24" customBuiltin="1"/>
    <cellStyle name="Cella da controllare" xfId="34" builtinId="23" customBuiltin="1"/>
    <cellStyle name="Collegamento ipertestuale" xfId="17" builtinId="8"/>
    <cellStyle name="Colore 1" xfId="39" builtinId="29" customBuiltin="1"/>
    <cellStyle name="Colore 2" xfId="43" builtinId="33" customBuiltin="1"/>
    <cellStyle name="Colore 3" xfId="47" builtinId="37" customBuiltin="1"/>
    <cellStyle name="Colore 4" xfId="51" builtinId="41" customBuiltin="1"/>
    <cellStyle name="Colore 5" xfId="55" builtinId="45" customBuiltin="1"/>
    <cellStyle name="Colore 6" xfId="59" builtinId="49" customBuiltin="1"/>
    <cellStyle name="Constants" xfId="67" xr:uid="{2A50B917-9D0C-4C3C-A096-75175C7E1E3A}"/>
    <cellStyle name="Empty_L_border" xfId="68" xr:uid="{5ECE4F2F-B69A-4AEC-B308-641D49C52654}"/>
    <cellStyle name="Empty_TBorder" xfId="65" xr:uid="{3AFF9E06-872C-4280-AFF5-90A1D33B9A13}"/>
    <cellStyle name="Headline" xfId="7" xr:uid="{ED2E86F6-6363-4C4B-92C7-A5603388662F}"/>
    <cellStyle name="Input" xfId="30" builtinId="20" customBuiltin="1"/>
    <cellStyle name="Migliaia" xfId="1" builtinId="3"/>
    <cellStyle name="Migliaia 2" xfId="4" xr:uid="{03EF4E74-39B7-4F4E-9587-A64E69415D41}"/>
    <cellStyle name="Migliaia 3" xfId="16" xr:uid="{5DD42333-C15D-4F51-B892-C2B8481430F2}"/>
    <cellStyle name="Migliaia 4" xfId="19" xr:uid="{FE2222B8-9BC4-4451-9485-A35222DE809C}"/>
    <cellStyle name="Migliaia 5" xfId="63" xr:uid="{7ACECC9B-1B7A-4345-9F15-20B87E620FA9}"/>
    <cellStyle name="Neutrale" xfId="29" builtinId="28" customBuiltin="1"/>
    <cellStyle name="Normal 2" xfId="8" xr:uid="{0D665156-BC44-4C46-A589-0E1CE628BF6C}"/>
    <cellStyle name="Normal_Biomass Burning draft CRF FCCC table 4 Dec" xfId="9" xr:uid="{4245ADBE-3F62-46E8-A34A-51EDF1E7F262}"/>
    <cellStyle name="Normal_CRFReport-templateKP" xfId="15" xr:uid="{9D52A964-1FFF-4A2B-97E2-4A094A584689}"/>
    <cellStyle name="Normal_INF 11 kyoto CRF_LDR 311003_CRFReport-templateKP" xfId="64" xr:uid="{0DAE9325-9C41-4CE8-919D-7737C2261ABA}"/>
    <cellStyle name="Normal_KP_LULUCF_Last_for discussion3 2" xfId="14" xr:uid="{EB66FB3F-BEB9-4F29-87E8-D8C9EF7AB4E1}"/>
    <cellStyle name="Normale" xfId="0" builtinId="0"/>
    <cellStyle name="Normale 2" xfId="2" xr:uid="{4E92C9C2-601A-4625-94B8-4FAD2086A10B}"/>
    <cellStyle name="Normale 3" xfId="3" xr:uid="{9657E777-3BEC-47CF-93BF-41E929D7156A}"/>
    <cellStyle name="Normale 3 2" xfId="18" xr:uid="{FE97B345-3ECD-445A-9C1B-D21BE9FC0179}"/>
    <cellStyle name="Normale 4" xfId="20" xr:uid="{361983C5-3CB2-4A5B-ABD4-F9F802EE53C3}"/>
    <cellStyle name="Nota" xfId="36" builtinId="10" customBuiltin="1"/>
    <cellStyle name="Output" xfId="31" builtinId="21" customBuiltin="1"/>
    <cellStyle name="Percentuale" xfId="6" builtinId="5"/>
    <cellStyle name="Percentuale 2" xfId="5" xr:uid="{AE9B7C01-ABCE-4308-B749-9E303642F8CD}"/>
    <cellStyle name="Percentuale 3" xfId="21" xr:uid="{62006000-8DB5-435B-896D-1BBC7274A147}"/>
    <cellStyle name="Percentuale 4" xfId="66" xr:uid="{E862593D-E8A3-431B-9DA4-4580AF590AE6}"/>
    <cellStyle name="Testo avviso" xfId="35" builtinId="11" customBuiltin="1"/>
    <cellStyle name="Testo descrittivo" xfId="37" builtinId="53" customBuiltin="1"/>
    <cellStyle name="Titolo" xfId="22" builtinId="15" customBuiltin="1"/>
    <cellStyle name="Titolo 1" xfId="23" builtinId="16" customBuiltin="1"/>
    <cellStyle name="Titolo 2" xfId="24" builtinId="17" customBuiltin="1"/>
    <cellStyle name="Titolo 3" xfId="25" builtinId="18" customBuiltin="1"/>
    <cellStyle name="Titolo 4" xfId="26" builtinId="19" customBuiltin="1"/>
    <cellStyle name="Totale" xfId="38" builtinId="25" customBuiltin="1"/>
    <cellStyle name="Valore non valido" xfId="28" builtinId="27" customBuiltin="1"/>
    <cellStyle name="Valore valido" xfId="27" builtinId="26" customBuiltin="1"/>
    <cellStyle name="Обычный_CRF2002 (1)" xfId="12" xr:uid="{BF7B5581-8A16-405A-94A9-0CFE4E0314FE}"/>
    <cellStyle name="Обычный_LULUCF module - v 1.0" xfId="13" xr:uid="{13402256-FB7F-4CA5-8997-C10F56EE0F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412860892388454"/>
          <c:y val="6.9444444444444448E-2"/>
          <c:w val="0.85998818897637797"/>
          <c:h val="0.73996135899679205"/>
        </c:manualLayout>
      </c:layout>
      <c:barChart>
        <c:barDir val="col"/>
        <c:grouping val="clustered"/>
        <c:varyColors val="0"/>
        <c:ser>
          <c:idx val="0"/>
          <c:order val="0"/>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'SE9 mitig erosione'!$A$33:$A$38</c:f>
              <c:strCache>
                <c:ptCount val="6"/>
                <c:pt idx="0">
                  <c:v>Woodland and forest</c:v>
                </c:pt>
                <c:pt idx="1">
                  <c:v>Cropland</c:v>
                </c:pt>
                <c:pt idx="2">
                  <c:v>Grassland</c:v>
                </c:pt>
                <c:pt idx="3">
                  <c:v>Heathland and shrub</c:v>
                </c:pt>
                <c:pt idx="4">
                  <c:v>Sparsely vegetated land</c:v>
                </c:pt>
                <c:pt idx="5">
                  <c:v>Urban </c:v>
                </c:pt>
              </c:strCache>
            </c:strRef>
          </c:cat>
          <c:val>
            <c:numRef>
              <c:f>'SE9 mitig erosione'!$L$33:$L$38</c:f>
              <c:numCache>
                <c:formatCode>_-* #,##0_-;\-* #,##0_-;_-* "-"??_-;_-@_-</c:formatCode>
                <c:ptCount val="6"/>
                <c:pt idx="0">
                  <c:v>157.18639804035001</c:v>
                </c:pt>
                <c:pt idx="1">
                  <c:v>27.633444658134803</c:v>
                </c:pt>
                <c:pt idx="2">
                  <c:v>96.12687473105052</c:v>
                </c:pt>
                <c:pt idx="3">
                  <c:v>103.33957982042661</c:v>
                </c:pt>
                <c:pt idx="4">
                  <c:v>39.935335787762646</c:v>
                </c:pt>
                <c:pt idx="5" formatCode="_-* #,##0.0_-;\-* #,##0.0_-;_-* &quot;-&quot;??_-;_-@_-">
                  <c:v>0.21759316877740065</c:v>
                </c:pt>
              </c:numCache>
            </c:numRef>
          </c:val>
          <c:extLst>
            <c:ext xmlns:c16="http://schemas.microsoft.com/office/drawing/2014/chart" uri="{C3380CC4-5D6E-409C-BE32-E72D297353CC}">
              <c16:uniqueId val="{00000000-06F0-4C28-A56A-E06DD8C79AEC}"/>
            </c:ext>
          </c:extLst>
        </c:ser>
        <c:dLbls>
          <c:showLegendKey val="0"/>
          <c:showVal val="0"/>
          <c:showCatName val="0"/>
          <c:showSerName val="0"/>
          <c:showPercent val="0"/>
          <c:showBubbleSize val="0"/>
        </c:dLbls>
        <c:gapWidth val="219"/>
        <c:overlap val="-27"/>
        <c:axId val="1587311151"/>
        <c:axId val="1587316143"/>
      </c:barChart>
      <c:catAx>
        <c:axId val="158731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16143"/>
        <c:crosses val="autoZero"/>
        <c:auto val="1"/>
        <c:lblAlgn val="ctr"/>
        <c:lblOffset val="100"/>
        <c:noMultiLvlLbl val="0"/>
      </c:catAx>
      <c:valAx>
        <c:axId val="1587316143"/>
        <c:scaling>
          <c:orientation val="minMax"/>
          <c:max val="1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t/ha-anno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11151"/>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4.emf"/></Relationships>
</file>

<file path=xl/drawings/_rels/drawing4.xml.rels><?xml version="1.0" encoding="UTF-8" standalone="yes"?>
<Relationships xmlns="http://schemas.openxmlformats.org/package/2006/relationships"><Relationship Id="rId1" Type="http://schemas.openxmlformats.org/officeDocument/2006/relationships/image" Target="../media/image5.emf"/></Relationships>
</file>

<file path=xl/drawings/_rels/drawing5.xml.rels><?xml version="1.0" encoding="UTF-8" standalone="yes"?>
<Relationships xmlns="http://schemas.openxmlformats.org/package/2006/relationships"><Relationship Id="rId1" Type="http://schemas.openxmlformats.org/officeDocument/2006/relationships/image" Target="../media/image5.emf"/></Relationships>
</file>

<file path=xl/drawings/_rels/drawing6.xml.rels><?xml version="1.0" encoding="UTF-8" standalone="yes"?>
<Relationships xmlns="http://schemas.openxmlformats.org/package/2006/relationships"><Relationship Id="rId1" Type="http://schemas.openxmlformats.org/officeDocument/2006/relationships/image" Target="../media/image6.emf"/></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10</xdr:col>
      <xdr:colOff>123825</xdr:colOff>
      <xdr:row>2</xdr:row>
      <xdr:rowOff>133350</xdr:rowOff>
    </xdr:from>
    <xdr:to>
      <xdr:col>18</xdr:col>
      <xdr:colOff>76200</xdr:colOff>
      <xdr:row>16</xdr:row>
      <xdr:rowOff>219075</xdr:rowOff>
    </xdr:to>
    <xdr:pic>
      <xdr:nvPicPr>
        <xdr:cNvPr id="2" name="Immagine 1">
          <a:extLst>
            <a:ext uri="{FF2B5EF4-FFF2-40B4-BE49-F238E27FC236}">
              <a16:creationId xmlns:a16="http://schemas.microsoft.com/office/drawing/2014/main" id="{1BCD4963-8B6B-44EB-B6E7-7135BD0FC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29975" y="514350"/>
          <a:ext cx="4829175" cy="3152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781050</xdr:colOff>
      <xdr:row>47</xdr:row>
      <xdr:rowOff>161925</xdr:rowOff>
    </xdr:from>
    <xdr:to>
      <xdr:col>9</xdr:col>
      <xdr:colOff>666750</xdr:colOff>
      <xdr:row>59</xdr:row>
      <xdr:rowOff>57150</xdr:rowOff>
    </xdr:to>
    <xdr:pic>
      <xdr:nvPicPr>
        <xdr:cNvPr id="4" name="Immagine 3">
          <a:extLst>
            <a:ext uri="{FF2B5EF4-FFF2-40B4-BE49-F238E27FC236}">
              <a16:creationId xmlns:a16="http://schemas.microsoft.com/office/drawing/2014/main" id="{82F15BED-E39D-4EF4-8237-AFD2317F7E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34150" y="9925050"/>
          <a:ext cx="4829175" cy="3152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476250</xdr:colOff>
      <xdr:row>24</xdr:row>
      <xdr:rowOff>95250</xdr:rowOff>
    </xdr:from>
    <xdr:to>
      <xdr:col>16</xdr:col>
      <xdr:colOff>104775</xdr:colOff>
      <xdr:row>33</xdr:row>
      <xdr:rowOff>175859</xdr:rowOff>
    </xdr:to>
    <xdr:pic>
      <xdr:nvPicPr>
        <xdr:cNvPr id="3" name="Immagine 2">
          <a:extLst>
            <a:ext uri="{FF2B5EF4-FFF2-40B4-BE49-F238E27FC236}">
              <a16:creationId xmlns:a16="http://schemas.microsoft.com/office/drawing/2014/main" id="{FB2F0D49-84F5-4A7F-AA65-241D4A391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48800" y="5676900"/>
          <a:ext cx="5210175" cy="40239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438150</xdr:colOff>
      <xdr:row>38</xdr:row>
      <xdr:rowOff>152400</xdr:rowOff>
    </xdr:from>
    <xdr:to>
      <xdr:col>24</xdr:col>
      <xdr:colOff>200025</xdr:colOff>
      <xdr:row>56</xdr:row>
      <xdr:rowOff>323850</xdr:rowOff>
    </xdr:to>
    <xdr:pic>
      <xdr:nvPicPr>
        <xdr:cNvPr id="2" name="Immagine 1">
          <a:extLst>
            <a:ext uri="{FF2B5EF4-FFF2-40B4-BE49-F238E27FC236}">
              <a16:creationId xmlns:a16="http://schemas.microsoft.com/office/drawing/2014/main" id="{FD7F895D-5059-4306-9B1E-9AD0B3FE60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11175" y="10391775"/>
          <a:ext cx="5248275" cy="531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11</xdr:row>
      <xdr:rowOff>342900</xdr:rowOff>
    </xdr:from>
    <xdr:to>
      <xdr:col>24</xdr:col>
      <xdr:colOff>257175</xdr:colOff>
      <xdr:row>21</xdr:row>
      <xdr:rowOff>18566</xdr:rowOff>
    </xdr:to>
    <xdr:pic>
      <xdr:nvPicPr>
        <xdr:cNvPr id="3" name="Immagine 2">
          <a:extLst>
            <a:ext uri="{FF2B5EF4-FFF2-40B4-BE49-F238E27FC236}">
              <a16:creationId xmlns:a16="http://schemas.microsoft.com/office/drawing/2014/main" id="{2C651613-3EC1-47C4-ACAB-4A0362181AF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953750" y="3505200"/>
          <a:ext cx="7562850" cy="27617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769620</xdr:colOff>
      <xdr:row>79</xdr:row>
      <xdr:rowOff>175260</xdr:rowOff>
    </xdr:from>
    <xdr:to>
      <xdr:col>8</xdr:col>
      <xdr:colOff>723900</xdr:colOff>
      <xdr:row>115</xdr:row>
      <xdr:rowOff>114300</xdr:rowOff>
    </xdr:to>
    <xdr:pic>
      <xdr:nvPicPr>
        <xdr:cNvPr id="3" name="Immagine 2">
          <a:extLst>
            <a:ext uri="{FF2B5EF4-FFF2-40B4-BE49-F238E27FC236}">
              <a16:creationId xmlns:a16="http://schemas.microsoft.com/office/drawing/2014/main" id="{C51747F4-6339-4BCE-A82E-A3D5F51F1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6780" y="20673060"/>
          <a:ext cx="5143500" cy="6522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190500</xdr:colOff>
      <xdr:row>15</xdr:row>
      <xdr:rowOff>142875</xdr:rowOff>
    </xdr:from>
    <xdr:to>
      <xdr:col>19</xdr:col>
      <xdr:colOff>457200</xdr:colOff>
      <xdr:row>34</xdr:row>
      <xdr:rowOff>55548</xdr:rowOff>
    </xdr:to>
    <xdr:pic>
      <xdr:nvPicPr>
        <xdr:cNvPr id="2" name="Immagine 1">
          <a:extLst>
            <a:ext uri="{FF2B5EF4-FFF2-40B4-BE49-F238E27FC236}">
              <a16:creationId xmlns:a16="http://schemas.microsoft.com/office/drawing/2014/main" id="{048283B2-FE9E-4B5E-83E2-72631B858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53425" y="3429000"/>
          <a:ext cx="4533900" cy="46084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190500</xdr:colOff>
      <xdr:row>35</xdr:row>
      <xdr:rowOff>142875</xdr:rowOff>
    </xdr:from>
    <xdr:to>
      <xdr:col>19</xdr:col>
      <xdr:colOff>457200</xdr:colOff>
      <xdr:row>54</xdr:row>
      <xdr:rowOff>55548</xdr:rowOff>
    </xdr:to>
    <xdr:pic>
      <xdr:nvPicPr>
        <xdr:cNvPr id="2" name="Immagine 1">
          <a:extLst>
            <a:ext uri="{FF2B5EF4-FFF2-40B4-BE49-F238E27FC236}">
              <a16:creationId xmlns:a16="http://schemas.microsoft.com/office/drawing/2014/main" id="{5FB62E2F-36CE-4BFA-8416-0008A51702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2480" y="3701415"/>
          <a:ext cx="4533900" cy="44770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13335</xdr:colOff>
      <xdr:row>1</xdr:row>
      <xdr:rowOff>60960</xdr:rowOff>
    </xdr:from>
    <xdr:to>
      <xdr:col>29</xdr:col>
      <xdr:colOff>441960</xdr:colOff>
      <xdr:row>14</xdr:row>
      <xdr:rowOff>179337</xdr:rowOff>
    </xdr:to>
    <xdr:pic>
      <xdr:nvPicPr>
        <xdr:cNvPr id="2" name="Immagine 1">
          <a:extLst>
            <a:ext uri="{FF2B5EF4-FFF2-40B4-BE49-F238E27FC236}">
              <a16:creationId xmlns:a16="http://schemas.microsoft.com/office/drawing/2014/main" id="{008458D5-85B2-4053-87ED-02982E43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495895" y="289560"/>
          <a:ext cx="6524625" cy="3608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13</xdr:col>
      <xdr:colOff>304800</xdr:colOff>
      <xdr:row>5</xdr:row>
      <xdr:rowOff>76200</xdr:rowOff>
    </xdr:from>
    <xdr:ext cx="11492510" cy="5594879"/>
    <xdr:pic>
      <xdr:nvPicPr>
        <xdr:cNvPr id="2" name="Immagine 1">
          <a:extLst>
            <a:ext uri="{FF2B5EF4-FFF2-40B4-BE49-F238E27FC236}">
              <a16:creationId xmlns:a16="http://schemas.microsoft.com/office/drawing/2014/main" id="{08517569-0C46-4AD7-95A4-7BE7D03DD240}"/>
            </a:ext>
          </a:extLst>
        </xdr:cNvPr>
        <xdr:cNvPicPr>
          <a:picLocks noChangeAspect="1"/>
        </xdr:cNvPicPr>
      </xdr:nvPicPr>
      <xdr:blipFill>
        <a:blip xmlns:r="http://schemas.openxmlformats.org/officeDocument/2006/relationships" r:embed="rId1"/>
        <a:stretch>
          <a:fillRect/>
        </a:stretch>
      </xdr:blipFill>
      <xdr:spPr>
        <a:xfrm>
          <a:off x="9022080" y="952500"/>
          <a:ext cx="11492510" cy="559487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editAs="oneCell">
    <xdr:from>
      <xdr:col>6</xdr:col>
      <xdr:colOff>922020</xdr:colOff>
      <xdr:row>45</xdr:row>
      <xdr:rowOff>22860</xdr:rowOff>
    </xdr:from>
    <xdr:to>
      <xdr:col>11</xdr:col>
      <xdr:colOff>575310</xdr:colOff>
      <xdr:row>78</xdr:row>
      <xdr:rowOff>109855</xdr:rowOff>
    </xdr:to>
    <xdr:pic>
      <xdr:nvPicPr>
        <xdr:cNvPr id="2" name="Immagine 1">
          <a:extLst>
            <a:ext uri="{FF2B5EF4-FFF2-40B4-BE49-F238E27FC236}">
              <a16:creationId xmlns:a16="http://schemas.microsoft.com/office/drawing/2014/main" id="{3A27E982-01A0-40AF-8FBC-68EF95EDB51E}"/>
            </a:ext>
          </a:extLst>
        </xdr:cNvPr>
        <xdr:cNvPicPr/>
      </xdr:nvPicPr>
      <xdr:blipFill rotWithShape="1">
        <a:blip xmlns:r="http://schemas.openxmlformats.org/officeDocument/2006/relationships" r:embed="rId1"/>
        <a:srcRect r="1063"/>
        <a:stretch/>
      </xdr:blipFill>
      <xdr:spPr bwMode="auto">
        <a:xfrm>
          <a:off x="7917180" y="12275820"/>
          <a:ext cx="4972050" cy="721931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11</xdr:col>
      <xdr:colOff>777240</xdr:colOff>
      <xdr:row>45</xdr:row>
      <xdr:rowOff>0</xdr:rowOff>
    </xdr:from>
    <xdr:to>
      <xdr:col>19</xdr:col>
      <xdr:colOff>504825</xdr:colOff>
      <xdr:row>66</xdr:row>
      <xdr:rowOff>15240</xdr:rowOff>
    </xdr:to>
    <xdr:pic>
      <xdr:nvPicPr>
        <xdr:cNvPr id="3" name="Immagine 2">
          <a:extLst>
            <a:ext uri="{FF2B5EF4-FFF2-40B4-BE49-F238E27FC236}">
              <a16:creationId xmlns:a16="http://schemas.microsoft.com/office/drawing/2014/main" id="{019AAE50-0337-4C98-BB1B-A0BAA9993D57}"/>
            </a:ext>
          </a:extLst>
        </xdr:cNvPr>
        <xdr:cNvPicPr>
          <a:picLocks noChangeAspect="1"/>
        </xdr:cNvPicPr>
      </xdr:nvPicPr>
      <xdr:blipFill>
        <a:blip xmlns:r="http://schemas.openxmlformats.org/officeDocument/2006/relationships" r:embed="rId2"/>
        <a:stretch>
          <a:fillRect/>
        </a:stretch>
      </xdr:blipFill>
      <xdr:spPr>
        <a:xfrm>
          <a:off x="13091160" y="12252960"/>
          <a:ext cx="5000625" cy="4953000"/>
        </a:xfrm>
        <a:prstGeom prst="rect">
          <a:avLst/>
        </a:prstGeom>
        <a:effectLst>
          <a:reflection stA="0" endPos="65000" dist="50800" dir="5400000" sy="-100000" algn="bl" rotWithShape="0"/>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14</xdr:col>
      <xdr:colOff>68580</xdr:colOff>
      <xdr:row>5</xdr:row>
      <xdr:rowOff>76200</xdr:rowOff>
    </xdr:from>
    <xdr:to>
      <xdr:col>19</xdr:col>
      <xdr:colOff>574032</xdr:colOff>
      <xdr:row>12</xdr:row>
      <xdr:rowOff>137007</xdr:rowOff>
    </xdr:to>
    <xdr:pic>
      <xdr:nvPicPr>
        <xdr:cNvPr id="3" name="Immagine 2">
          <a:extLst>
            <a:ext uri="{FF2B5EF4-FFF2-40B4-BE49-F238E27FC236}">
              <a16:creationId xmlns:a16="http://schemas.microsoft.com/office/drawing/2014/main" id="{E0990FD4-5EEA-46BF-BE30-4BC473E3F5A7}"/>
            </a:ext>
          </a:extLst>
        </xdr:cNvPr>
        <xdr:cNvPicPr>
          <a:picLocks noChangeAspect="1"/>
        </xdr:cNvPicPr>
      </xdr:nvPicPr>
      <xdr:blipFill>
        <a:blip xmlns:r="http://schemas.openxmlformats.org/officeDocument/2006/relationships" r:embed="rId1"/>
        <a:stretch>
          <a:fillRect/>
        </a:stretch>
      </xdr:blipFill>
      <xdr:spPr>
        <a:xfrm>
          <a:off x="12839700" y="1036320"/>
          <a:ext cx="3923022" cy="2529687"/>
        </a:xfrm>
        <a:prstGeom prst="rect">
          <a:avLst/>
        </a:prstGeom>
      </xdr:spPr>
    </xdr:pic>
    <xdr:clientData/>
  </xdr:twoCellAnchor>
  <xdr:twoCellAnchor>
    <xdr:from>
      <xdr:col>15</xdr:col>
      <xdr:colOff>106680</xdr:colOff>
      <xdr:row>31</xdr:row>
      <xdr:rowOff>567690</xdr:rowOff>
    </xdr:from>
    <xdr:to>
      <xdr:col>22</xdr:col>
      <xdr:colOff>411480</xdr:colOff>
      <xdr:row>38</xdr:row>
      <xdr:rowOff>255270</xdr:rowOff>
    </xdr:to>
    <xdr:graphicFrame macro="">
      <xdr:nvGraphicFramePr>
        <xdr:cNvPr id="2" name="Grafico 1">
          <a:extLst>
            <a:ext uri="{FF2B5EF4-FFF2-40B4-BE49-F238E27FC236}">
              <a16:creationId xmlns:a16="http://schemas.microsoft.com/office/drawing/2014/main" id="{5E77EF0C-6592-4DB2-93D7-B61704472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RSE S.p.a" id="{27E2D88C-B3B4-4DC7-B80C-E4C32AB7CBC1}" userId="RSE S.p.a" providerId="None"/>
  <person displayName="Molocchi Andrea (RSE)" id="{C6FAE376-DFB6-49DA-ABC8-490911DDE19D}" userId="S::MOLOCCHI@rse-web.it::65ef036d-f055-43c0-a053-0bac0e1a8fd6" providerId="AD"/>
</personList>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8" dT="2022-10-31T18:32:42.18" personId="{C6FAE376-DFB6-49DA-ABC8-490911DDE19D}" id="{8E0241C8-F9A6-4C84-B32E-EBCDC306D60F}">
    <text>Coste: superficie ottenuta sommando le aree scarsamente vegetate con le marine inlets and transitional waters</text>
  </threadedComment>
  <threadedComment ref="F28" dT="2022-10-31T18:32:56.02" personId="{C6FAE376-DFB6-49DA-ABC8-490911DDE19D}" id="{D8A06739-C4C4-4C5D-AEA7-862FC3DAA4D5}">
    <text>Coste: superficie ottenuta sommando le aree scarsamente vegetate con le marine inlets and transitional waters</text>
  </threadedComment>
  <threadedComment ref="F38" dT="2022-09-12T16:57:44.08" personId="{C6FAE376-DFB6-49DA-ABC8-490911DDE19D}" id="{AD36DE29-8E14-4252-B0CC-30C31A94AD03}">
    <text>corretto in base al 4° RCN 2021</text>
  </threadedComment>
  <threadedComment ref="M48" dT="2022-11-01T13:26:49.14" personId="{C6FAE376-DFB6-49DA-ABC8-490911DDE19D}" id="{56AC2078-0577-40DC-999F-1E563597BEC2}">
    <text>E' stata tolta la componente di servizio di fornitura idrica dovuta alle saline e alle lagune (acque salate) che era implicita nelle "coste"</text>
  </threadedComment>
</ThreadedComments>
</file>

<file path=xl/threadedComments/threadedComment2.xml><?xml version="1.0" encoding="utf-8"?>
<ThreadedComments xmlns="http://schemas.microsoft.com/office/spreadsheetml/2018/threadedcomments" xmlns:x="http://schemas.openxmlformats.org/spreadsheetml/2006/main">
  <threadedComment ref="B28" dT="2021-09-23T14:35:09.01" personId="{27E2D88C-B3B4-4DC7-B80C-E4C32AB7CBC1}" id="{B0839FDE-614E-44ED-8A42-09752E94BDC9}">
    <text>Calcolato con BT dal valore di 100 euro 2016 usando il GDP pro capite del mondo, epsilon mondo 0,5 e il deflatore del PIL dell'eurozona (essendo i prezzi in euro). I calcoli sono nel master costi esterni mobilità</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22-09-15T09:25:21.50" personId="{C6FAE376-DFB6-49DA-ABC8-490911DDE19D}" id="{5FD133A3-3990-4808-822D-D61F4B5740CC}">
    <text>valore medio per le tre classi in euro17 (ottenuto dal valore medio in dollari) in base ai dati ISPRA</text>
  </threadedComment>
  <threadedComment ref="B3" dT="2022-09-15T09:33:26.99" personId="{C6FAE376-DFB6-49DA-ABC8-490911DDE19D}" id="{BCBEBF62-EEA8-4DAB-A72C-B1F47644C14D}">
    <text>tentativo di ricostruire come ISPRA ottiene i valori per altri ecosistemi</text>
  </threadedComment>
  <threadedComment ref="M5" dT="2022-09-14T16:05:28.89" personId="{C6FAE376-DFB6-49DA-ABC8-490911DDE19D}" id="{BDFCF732-60E4-4D49-864B-E7FEA2706751}">
    <text>media ponderata usando l'indicatore Eurostat di superficie SAU delle imprese agricole ad alta o bassa intensità di input</text>
  </threadedComment>
</ThreadedComments>
</file>

<file path=xl/threadedComments/threadedComment4.xml><?xml version="1.0" encoding="utf-8"?>
<ThreadedComments xmlns="http://schemas.microsoft.com/office/spreadsheetml/2018/threadedcomments" xmlns:x="http://schemas.openxmlformats.org/spreadsheetml/2006/main">
  <threadedComment ref="C28" dT="2021-10-08T09:45:31.67" personId="{27E2D88C-B3B4-4DC7-B80C-E4C32AB7CBC1}" id="{AED30FA6-3E57-4BD7-9D25-B9A45736DD6B}">
    <text>Il carico critico di azoto di un corpo idrico varia ogni anno in funzione del suo volume. Le esternalità (i superi della soglia critica per metro cupo di acqua) si possono ridurre non solo per la riduzione degli scarichi di azoto ma anche per l'aumento del volume dei corpi idrici, che innalzano la quantità di azoto che ogni corpo può assorbire.</text>
  </threadedComment>
  <threadedComment ref="D28" dT="2021-09-15T15:40:55.44" personId="{27E2D88C-B3B4-4DC7-B80C-E4C32AB7CBC1}" id="{56E6AFB3-3A89-4747-B92A-68C99D64B968}">
    <text>due errori nel PITESAI 2020: 1) 1108 milioni erano stati interpretati come beneficio del SE mentre ad una rilettura attenta è la domanda complessiva di purificazione (la porzione di domanda soddisfatta per via naturale va quindi calcolata per differenza) 2) la valutazione monetaria non è riferita al 2015 come scritto nel testo ma al 2005</text>
  </threadedComment>
  <threadedComment ref="C30" dT="2021-10-08T10:38:10.50" personId="{27E2D88C-B3B4-4DC7-B80C-E4C32AB7CBC1}" id="{E846BD26-F017-4C6C-8AA9-B6C9C97240CB}">
    <text>nuova interpretazione, in coccasione dello studio RSE PITESAI 2021</text>
  </threadedComment>
</ThreadedComments>
</file>

<file path=xl/threadedComments/threadedComment5.xml><?xml version="1.0" encoding="utf-8"?>
<ThreadedComments xmlns="http://schemas.microsoft.com/office/spreadsheetml/2018/threadedcomments" xmlns:x="http://schemas.openxmlformats.org/spreadsheetml/2006/main">
  <threadedComment ref="B11" dT="2021-09-15T15:41:18.18" personId="{27E2D88C-B3B4-4DC7-B80C-E4C32AB7CBC1}" id="{BA9B82E8-EB53-4D55-BF1D-6AEF0A2546AA}">
    <text>Valori di base per 
ISPRA ann met pag. 30</text>
  </threadedComment>
  <threadedComment ref="E13" dT="2021-09-15T15:51:53.60" personId="{27E2D88C-B3B4-4DC7-B80C-E4C32AB7CBC1}" id="{2BB68C43-B0FF-48BD-BE87-236D3256486F}">
    <text>ISPRA p. 26</text>
  </threadedComment>
  <threadedComment ref="C20" dT="2021-09-15T16:02:50.10" personId="{27E2D88C-B3B4-4DC7-B80C-E4C32AB7CBC1}" id="{7B74B59C-7C2A-4091-8DF9-106E016FA149}">
    <text>si assume mitigazione massima dell'erosione</text>
  </threadedComment>
  <threadedComment ref="E20" dT="2021-09-15T16:02:35.30" personId="{27E2D88C-B3B4-4DC7-B80C-E4C32AB7CBC1}" id="{C9C3636F-3FCD-4A38-ABE4-01F49EC33BA3}">
    <text>si assume mitigazione minima dell'erosione</text>
  </threadedComment>
  <threadedComment ref="F20" dT="2021-09-15T15:55:47.08" personId="{27E2D88C-B3B4-4DC7-B80C-E4C32AB7CBC1}" id="{81963B3D-3BB5-479B-936E-223D6137A1C0}">
    <text>Non essendoci vegetazione non c'è mitigazone</text>
  </threadedComment>
  <threadedComment ref="C25" dT="2021-09-23T08:44:32.97" personId="{27E2D88C-B3B4-4DC7-B80C-E4C32AB7CBC1}" id="{F8A0BA6A-6651-4905-922F-ABB0D77F5C20}">
    <text>fonte Regione Campania  e articolo Cina</text>
  </threadedComment>
  <threadedComment ref="E25" dT="2021-09-23T08:44:32.97" personId="{27E2D88C-B3B4-4DC7-B80C-E4C32AB7CBC1}" id="{B03DE5A3-DB45-4D81-B19A-63C2016006FB}">
    <text>fonte Regione Campania  e articolo Cina</text>
  </threadedComment>
  <threadedComment ref="G25" dT="2021-09-23T08:44:32.97" personId="{27E2D88C-B3B4-4DC7-B80C-E4C32AB7CBC1}" id="{A7969596-05CD-490D-91B5-FF56EB297494}">
    <text>fonte Regione Campania  e articolo Cina</text>
  </threadedComment>
  <threadedComment ref="H25" dT="2021-09-23T08:44:32.97" personId="{27E2D88C-B3B4-4DC7-B80C-E4C32AB7CBC1}" id="{E905CD81-B9CA-4E34-B426-C0686F7BFAA5}">
    <text>fonte Regione Campania  e articolo Cina</text>
  </threadedComment>
  <threadedComment ref="D27" dT="2021-09-15T16:02:02.18" personId="{27E2D88C-B3B4-4DC7-B80C-E4C32AB7CBC1}" id="{B46FB352-7566-4ABB-9DBE-28E08F908A62}">
    <text>IN questa cella viene riportato il valore medio per l'Italia del beneficio ecosistemico di mitigazione dell'erosione per ettaro di suolo agricolo (a prescindere dal tipo di coltivazione)</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dati.istat.it/OECDStat_Metadata/ShowMetadata.ashx?Dataset=DCCN_ANA_B14&amp;Coords=%5bCORREZ%5d.%5bN%5d&amp;ShowOnWeb=true&amp;Lang=it" TargetMode="External"/><Relationship Id="rId2" Type="http://schemas.openxmlformats.org/officeDocument/2006/relationships/hyperlink" Target="http://dati.istat.it/OECDStat_Metadata/ShowMetadata.ashx?Dataset=DCCN_ANA_B14&amp;Coords=%5bVAL%5d.%5bV%5d&amp;ShowOnWeb=true&amp;Lang=it" TargetMode="External"/><Relationship Id="rId1" Type="http://schemas.openxmlformats.org/officeDocument/2006/relationships/hyperlink" Target="http://dati.istat.it/OECDStat_Metadata/ShowMetadata.ashx?Dataset=DCCN_ANA_B14&amp;ShowOnWeb=true&amp;Lang=it" TargetMode="External"/><Relationship Id="rId5" Type="http://schemas.openxmlformats.org/officeDocument/2006/relationships/printerSettings" Target="../printerSettings/printerSettings1.bin"/><Relationship Id="rId4" Type="http://schemas.openxmlformats.org/officeDocument/2006/relationships/hyperlink" Target="http://dativ7b.istat.it/index.aspx?DatasetCode=DCCN_ANA_B14"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www.politicheagricole.it/flex/FixedPages/Common/miepfy700_riferimentiAgro.php/L/IT?parm1=0326&amp;%20parm2=1722&amp;%20parm3=spra&amp;%20name=R&amp;%20period=10a&amp;%20nomeParam=Precipitazione" TargetMode="External"/><Relationship Id="rId6" Type="http://schemas.microsoft.com/office/2017/10/relationships/threadedComment" Target="../threadedComments/threadedComment1.xm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8" Type="http://schemas.openxmlformats.org/officeDocument/2006/relationships/hyperlink" Target="http://dati.istat.it/OECDStat_Metadata/ShowMetadata.ashx?Dataset=DCSP_SBSNAZ&amp;Coords=%5bTIPO_DATO29%5d.%5b13310%5d&amp;ShowOnWeb=true&amp;Lang=it" TargetMode="External"/><Relationship Id="rId3" Type="http://schemas.openxmlformats.org/officeDocument/2006/relationships/hyperlink" Target="http://dati.istat.it/OECDStat_Metadata/ShowMetadata.ashx?Dataset=DCSP_SBSNAZ&amp;Coords=%5bTIPO_DATO29%5d.%5b11110%5d&amp;ShowOnWeb=true&amp;Lang=it" TargetMode="External"/><Relationship Id="rId7" Type="http://schemas.openxmlformats.org/officeDocument/2006/relationships/hyperlink" Target="http://dati.istat.it/OECDStat_Metadata/ShowMetadata.ashx?Dataset=DCSP_SBSNAZ&amp;Coords=%5bTIPO_DATO29%5d.%5b13110%5d&amp;ShowOnWeb=true&amp;Lang=it" TargetMode="External"/><Relationship Id="rId2" Type="http://schemas.openxmlformats.org/officeDocument/2006/relationships/hyperlink" Target="http://dati.istat.it/OECDStat_Metadata/ShowMetadata.ashx?Dataset=DCSP_SBSNAZ&amp;Coords=%5bTIME%5d.%5b2017%5d&amp;ShowOnWeb=true&amp;Lang=it" TargetMode="External"/><Relationship Id="rId1" Type="http://schemas.openxmlformats.org/officeDocument/2006/relationships/hyperlink" Target="http://dati.istat.it/OECDStat_Metadata/ShowMetadata.ashx?Dataset=DCSP_SBSNAZ&amp;ShowOnWeb=true&amp;Lang=it" TargetMode="External"/><Relationship Id="rId6" Type="http://schemas.openxmlformats.org/officeDocument/2006/relationships/hyperlink" Target="http://dati.istat.it/OECDStat_Metadata/ShowMetadata.ashx?Dataset=DCSP_SBSNAZ&amp;Coords=%5bTIPO_DATO29%5d.%5b12170%5d&amp;ShowOnWeb=true&amp;Lang=it" TargetMode="External"/><Relationship Id="rId5" Type="http://schemas.openxmlformats.org/officeDocument/2006/relationships/hyperlink" Target="http://dati.istat.it/OECDStat_Metadata/ShowMetadata.ashx?Dataset=DCSP_SBSNAZ&amp;Coords=%5bTIPO_DATO29%5d.%5b12150%5d&amp;ShowOnWeb=true&amp;Lang=it" TargetMode="External"/><Relationship Id="rId10" Type="http://schemas.openxmlformats.org/officeDocument/2006/relationships/hyperlink" Target="http://dativ7b.istat.it/index.aspx?DatasetCode=DCSP_SBSNAZ" TargetMode="External"/><Relationship Id="rId4" Type="http://schemas.openxmlformats.org/officeDocument/2006/relationships/hyperlink" Target="http://dati.istat.it/OECDStat_Metadata/ShowMetadata.ashx?Dataset=DCSP_SBSNAZ&amp;Coords=%5bTIPO_DATO29%5d.%5b12110%5d&amp;ShowOnWeb=true&amp;Lang=it" TargetMode="External"/><Relationship Id="rId9" Type="http://schemas.openxmlformats.org/officeDocument/2006/relationships/hyperlink" Target="http://dati.istat.it/OECDStat_Metadata/ShowMetadata.ashx?Dataset=DCSP_SBSNAZ&amp;Coords=%5bTIPO_DATO29%5d.%5b13320%5d&amp;ShowOnWeb=true&amp;Lang=it"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6.bin"/><Relationship Id="rId1" Type="http://schemas.openxmlformats.org/officeDocument/2006/relationships/hyperlink" Target="https://unfccc.int/ghg-inventories-annex-i-parties/2021" TargetMode="External"/><Relationship Id="rId5" Type="http://schemas.microsoft.com/office/2017/10/relationships/threadedComment" Target="../threadedComments/threadedComment2.xml"/><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hyperlink" Target="https://unfccc.int/ghg-inventories-annex-i-parties/2021"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9.bin"/><Relationship Id="rId1" Type="http://schemas.openxmlformats.org/officeDocument/2006/relationships/hyperlink" Target="https://unfccc.int/process-and-meetings/transparency-and-reporting/reporting-and-review-under-the-convention/greenhouse-gas-inventories-annex-i-parties/national-inventory-submissions-2019" TargetMode="External"/><Relationship Id="rId4" Type="http://schemas.openxmlformats.org/officeDocument/2006/relationships/comments" Target="../comments7.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12.bin"/><Relationship Id="rId5" Type="http://schemas.microsoft.com/office/2017/10/relationships/threadedComment" Target="../threadedComments/threadedComment3.xml"/><Relationship Id="rId4" Type="http://schemas.openxmlformats.org/officeDocument/2006/relationships/comments" Target="../comments9.x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ec.europa.eu/eurostat/databrowser/view/aei_ps_inp/default/table?lang=en" TargetMode="External"/><Relationship Id="rId1" Type="http://schemas.openxmlformats.org/officeDocument/2006/relationships/hyperlink" Target="https://appsso.eurostat.ec.europa.eu/nui/show.do" TargetMode="External"/><Relationship Id="rId4" Type="http://schemas.openxmlformats.org/officeDocument/2006/relationships/drawing" Target="../drawings/drawing7.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8.xml"/><Relationship Id="rId1" Type="http://schemas.openxmlformats.org/officeDocument/2006/relationships/printerSettings" Target="../printerSettings/printerSettings14.bin"/><Relationship Id="rId4" Type="http://schemas.openxmlformats.org/officeDocument/2006/relationships/comments" Target="../comments10.xm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www.sian.it/inventarioforestale/jsp/01tabelle_superficie.jsp" TargetMode="External"/><Relationship Id="rId1" Type="http://schemas.openxmlformats.org/officeDocument/2006/relationships/hyperlink" Target="https://www.sian.it/inventarioforestale/jsp/risultati2015.jsp?menu=2"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4.xml"/></Relationships>
</file>

<file path=xl/worksheets/_rels/sheet26.xml.rels><?xml version="1.0" encoding="UTF-8" standalone="yes"?>
<Relationships xmlns="http://schemas.openxmlformats.org/package/2006/relationships"><Relationship Id="rId8" Type="http://schemas.openxmlformats.org/officeDocument/2006/relationships/hyperlink" Target="https://onlinelibrary.wiley.com/doi/full/10.1002/ldr.2879" TargetMode="External"/><Relationship Id="rId13" Type="http://schemas.openxmlformats.org/officeDocument/2006/relationships/drawing" Target="../drawings/drawing9.xml"/><Relationship Id="rId3" Type="http://schemas.openxmlformats.org/officeDocument/2006/relationships/hyperlink" Target="../../../Users/molocchi/AppData/Local/Temp/land-10-00673-v2-1.pdf" TargetMode="External"/><Relationship Id="rId7" Type="http://schemas.openxmlformats.org/officeDocument/2006/relationships/hyperlink" Target="https://iwaponline.com/wpt/article/15/3/773/75178/The-effect-of-different-crops-and-slopes-on-runoff" TargetMode="External"/><Relationship Id="rId12" Type="http://schemas.openxmlformats.org/officeDocument/2006/relationships/printerSettings" Target="../printerSettings/printerSettings18.bin"/><Relationship Id="rId2" Type="http://schemas.openxmlformats.org/officeDocument/2006/relationships/hyperlink" Target="https://www.ncbi.nlm.nih.gov/pmc/articles/PMC6025177/" TargetMode="External"/><Relationship Id="rId16" Type="http://schemas.microsoft.com/office/2017/10/relationships/threadedComment" Target="../threadedComments/threadedComment5.xml"/><Relationship Id="rId1" Type="http://schemas.openxmlformats.org/officeDocument/2006/relationships/hyperlink" Target="https://journals.sagepub.com/doi/10.1177/0309133309350264" TargetMode="External"/><Relationship Id="rId6" Type="http://schemas.openxmlformats.org/officeDocument/2006/relationships/hyperlink" Target="http://agricoltura.regione.campania.it/pedologia/pdf/erosione_del_suolo.pdf" TargetMode="External"/><Relationship Id="rId11" Type="http://schemas.openxmlformats.org/officeDocument/2006/relationships/hyperlink" Target="http://dati.istat.it/OECDStat_Metadata/ShowMetadata.ashx?Dataset=DCSP_COLTIVAZIONI&amp;ShowOnWeb=true&amp;Lang=it" TargetMode="External"/><Relationship Id="rId5" Type="http://schemas.openxmlformats.org/officeDocument/2006/relationships/hyperlink" Target="https://www.mite.gov.it/sites/default/files/archivio/biblioteca/Ruolo_dellxolivocoltura_nella_lotta_alla_desertificazione.pdf" TargetMode="External"/><Relationship Id="rId15" Type="http://schemas.openxmlformats.org/officeDocument/2006/relationships/comments" Target="../comments12.xml"/><Relationship Id="rId10" Type="http://schemas.openxmlformats.org/officeDocument/2006/relationships/hyperlink" Target="https://www.vitaincampagna.it/vigneto/vigneto-preparare-terreno/" TargetMode="External"/><Relationship Id="rId4" Type="http://schemas.openxmlformats.org/officeDocument/2006/relationships/hyperlink" Target="../../../Users/molocchi/AppData/Local/Temp/Merkbl&#195;&#164;tter-Set%20Erosion%20&#226;&#128;&#147;%20Risiken%20beschr&#195;&#164;nken_i.pdf" TargetMode="External"/><Relationship Id="rId9" Type="http://schemas.openxmlformats.org/officeDocument/2006/relationships/hyperlink" Target="https://www.sciencedirect.com/science/article/pii/S0167198711001656?via%3Dihub" TargetMode="External"/><Relationship Id="rId14" Type="http://schemas.openxmlformats.org/officeDocument/2006/relationships/vmlDrawing" Target="../drawings/vmlDrawing12.vml"/></Relationships>
</file>

<file path=xl/worksheets/_rels/sheet27.xml.rels><?xml version="1.0" encoding="UTF-8" standalone="yes"?>
<Relationships xmlns="http://schemas.openxmlformats.org/package/2006/relationships"><Relationship Id="rId8" Type="http://schemas.openxmlformats.org/officeDocument/2006/relationships/hyperlink" Target="http://dati.istat.it/OECDStat_Metadata/ShowMetadata.ashx?Dataset=DCSP_COLTIVAZIONI&amp;Coords=%5bTIPO_DATO5%5d.%5bHP_Q_EXT%5d&amp;ShowOnWeb=true&amp;Lang=it" TargetMode="External"/><Relationship Id="rId13" Type="http://schemas.openxmlformats.org/officeDocument/2006/relationships/hyperlink" Target="http://dati.istat.it/OECDStat_Metadata/ShowMetadata.ashx?Dataset=DCSP_COLTIVAZIONI&amp;Coords=%5bTIPO_DATO5%5d.%5bHP_Q_EXT%5d&amp;ShowOnWeb=true&amp;Lang=it" TargetMode="External"/><Relationship Id="rId18" Type="http://schemas.openxmlformats.org/officeDocument/2006/relationships/hyperlink" Target="http://dati.istat.it/OECDStat_Metadata/ShowMetadata.ashx?Dataset=DCSP_COLTIVAZIONI&amp;Coords=%5bTIPO_DATO5%5d.%5bHP_Q_EXT%5d&amp;ShowOnWeb=true&amp;Lang=it" TargetMode="External"/><Relationship Id="rId3" Type="http://schemas.openxmlformats.org/officeDocument/2006/relationships/hyperlink" Target="http://dati.istat.it/OECDStat_Metadata/ShowMetadata.ashx?Dataset=DCSP_COLTIVAZIONI&amp;Coords=%5bTIPO_DATO5%5d.%5bHP_Q_EXT%5d&amp;ShowOnWeb=true&amp;Lang=it" TargetMode="External"/><Relationship Id="rId21" Type="http://schemas.openxmlformats.org/officeDocument/2006/relationships/hyperlink" Target="http://dati.istat.it/OECDStat_Metadata/ShowMetadata.ashx?Dataset=DCSP_COLTIVAZIONI&amp;Coords=%5bTIPO_DATO5%5d.%5bHP_Q_EXT%5d&amp;ShowOnWeb=true&amp;Lang=it" TargetMode="External"/><Relationship Id="rId7" Type="http://schemas.openxmlformats.org/officeDocument/2006/relationships/hyperlink" Target="http://dati.istat.it/OECDStat_Metadata/ShowMetadata.ashx?Dataset=DCSP_COLTIVAZIONI&amp;Coords=%5bTIPO_DATO5%5d.%5bHP_Q_EXT%5d&amp;ShowOnWeb=true&amp;Lang=it" TargetMode="External"/><Relationship Id="rId12" Type="http://schemas.openxmlformats.org/officeDocument/2006/relationships/hyperlink" Target="http://dati.istat.it/OECDStat_Metadata/ShowMetadata.ashx?Dataset=DCSP_COLTIVAZIONI&amp;Coords=%5bTIPO_DATO5%5d.%5bHP_Q_EXT%5d&amp;ShowOnWeb=true&amp;Lang=it" TargetMode="External"/><Relationship Id="rId17" Type="http://schemas.openxmlformats.org/officeDocument/2006/relationships/hyperlink" Target="http://dati.istat.it/OECDStat_Metadata/ShowMetadata.ashx?Dataset=DCSP_COLTIVAZIONI&amp;Coords=%5bTIPO_DATO5%5d.%5bHP_Q_EXT%5d&amp;ShowOnWeb=true&amp;Lang=it" TargetMode="External"/><Relationship Id="rId2" Type="http://schemas.openxmlformats.org/officeDocument/2006/relationships/hyperlink" Target="http://dati.istat.it/OECDStat_Metadata/ShowMetadata.ashx?Dataset=DCSP_COLTIVAZIONI&amp;Coords=%5bTIPO_DATO5%5d.%5bHP_Q_EXT%5d&amp;ShowOnWeb=true&amp;Lang=it" TargetMode="External"/><Relationship Id="rId16" Type="http://schemas.openxmlformats.org/officeDocument/2006/relationships/hyperlink" Target="http://dati.istat.it/OECDStat_Metadata/ShowMetadata.ashx?Dataset=DCSP_COLTIVAZIONI&amp;Coords=%5bTIPO_DATO5%5d.%5bHP_Q_EXT%5d&amp;ShowOnWeb=true&amp;Lang=it" TargetMode="External"/><Relationship Id="rId20" Type="http://schemas.openxmlformats.org/officeDocument/2006/relationships/hyperlink" Target="http://dati.istat.it/OECDStat_Metadata/ShowMetadata.ashx?Dataset=DCSP_COLTIVAZIONI&amp;Coords=%5bTIPO_DATO5%5d.%5bHP_Q_EXT%5d&amp;ShowOnWeb=true&amp;Lang=it" TargetMode="External"/><Relationship Id="rId1" Type="http://schemas.openxmlformats.org/officeDocument/2006/relationships/hyperlink" Target="http://dati.istat.it/OECDStat_Metadata/ShowMetadata.ashx?Dataset=DCSP_COLTIVAZIONI&amp;ShowOnWeb=true&amp;Lang=it" TargetMode="External"/><Relationship Id="rId6" Type="http://schemas.openxmlformats.org/officeDocument/2006/relationships/hyperlink" Target="http://dati.istat.it/OECDStat_Metadata/ShowMetadata.ashx?Dataset=DCSP_COLTIVAZIONI&amp;Coords=%5bTIPO_DATO5%5d.%5bHP_Q_EXT%5d&amp;ShowOnWeb=true&amp;Lang=it" TargetMode="External"/><Relationship Id="rId11" Type="http://schemas.openxmlformats.org/officeDocument/2006/relationships/hyperlink" Target="http://dati.istat.it/OECDStat_Metadata/ShowMetadata.ashx?Dataset=DCSP_COLTIVAZIONI&amp;Coords=%5bTIPO_DATO5%5d.%5bHP_Q_EXT%5d&amp;ShowOnWeb=true&amp;Lang=it" TargetMode="External"/><Relationship Id="rId24" Type="http://schemas.openxmlformats.org/officeDocument/2006/relationships/printerSettings" Target="../printerSettings/printerSettings19.bin"/><Relationship Id="rId5" Type="http://schemas.openxmlformats.org/officeDocument/2006/relationships/hyperlink" Target="http://dati.istat.it/OECDStat_Metadata/ShowMetadata.ashx?Dataset=DCSP_COLTIVAZIONI&amp;Coords=%5bTIPO_DATO5%5d.%5bHP_Q_EXT%5d&amp;ShowOnWeb=true&amp;Lang=it" TargetMode="External"/><Relationship Id="rId15" Type="http://schemas.openxmlformats.org/officeDocument/2006/relationships/hyperlink" Target="http://dati.istat.it/OECDStat_Metadata/ShowMetadata.ashx?Dataset=DCSP_COLTIVAZIONI&amp;Coords=%5bTIPO_DATO5%5d.%5bHP_Q_EXT%5d&amp;ShowOnWeb=true&amp;Lang=it" TargetMode="External"/><Relationship Id="rId23" Type="http://schemas.openxmlformats.org/officeDocument/2006/relationships/hyperlink" Target="http://dativ7b.istat.it/" TargetMode="External"/><Relationship Id="rId10" Type="http://schemas.openxmlformats.org/officeDocument/2006/relationships/hyperlink" Target="http://dati.istat.it/OECDStat_Metadata/ShowMetadata.ashx?Dataset=DCSP_COLTIVAZIONI&amp;Coords=%5bTIPO_DATO5%5d.%5bHP_Q_EXT%5d&amp;ShowOnWeb=true&amp;Lang=it" TargetMode="External"/><Relationship Id="rId19" Type="http://schemas.openxmlformats.org/officeDocument/2006/relationships/hyperlink" Target="http://dati.istat.it/OECDStat_Metadata/ShowMetadata.ashx?Dataset=DCSP_COLTIVAZIONI&amp;Coords=%5bTIPO_DATO5%5d.%5bHP_Q_EXT%5d&amp;ShowOnWeb=true&amp;Lang=it" TargetMode="External"/><Relationship Id="rId4" Type="http://schemas.openxmlformats.org/officeDocument/2006/relationships/hyperlink" Target="http://dati.istat.it/OECDStat_Metadata/ShowMetadata.ashx?Dataset=DCSP_COLTIVAZIONI&amp;Coords=%5bTIPO_DATO5%5d.%5bHP_Q_EXT%5d&amp;ShowOnWeb=true&amp;Lang=it" TargetMode="External"/><Relationship Id="rId9" Type="http://schemas.openxmlformats.org/officeDocument/2006/relationships/hyperlink" Target="http://dati.istat.it/OECDStat_Metadata/ShowMetadata.ashx?Dataset=DCSP_COLTIVAZIONI&amp;Coords=%5bTIPO_DATO5%5d.%5bHP_Q_EXT%5d&amp;ShowOnWeb=true&amp;Lang=it" TargetMode="External"/><Relationship Id="rId14" Type="http://schemas.openxmlformats.org/officeDocument/2006/relationships/hyperlink" Target="http://dati.istat.it/OECDStat_Metadata/ShowMetadata.ashx?Dataset=DCSP_COLTIVAZIONI&amp;Coords=%5bTIPO_DATO5%5d.%5bHP_Q_EXT%5d&amp;ShowOnWeb=true&amp;Lang=it" TargetMode="External"/><Relationship Id="rId22" Type="http://schemas.openxmlformats.org/officeDocument/2006/relationships/hyperlink" Target="http://dati.istat.it/OECDStat_Metadata/ShowMetadata.ashx?Dataset=DCSP_COLTIVAZIONI&amp;Coords=%5bTIPO_DATO5%5d.%5bHP_Q_EXT%5d&amp;ShowOnWeb=true&amp;Lang=it"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1.bin"/><Relationship Id="rId1" Type="http://schemas.openxmlformats.org/officeDocument/2006/relationships/hyperlink" Target="https://www.tuttitalia.it/regioni/popolazione/"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3" Type="http://schemas.openxmlformats.org/officeDocument/2006/relationships/hyperlink" Target="https://data.jrc.ec.europa.eu/dataset/4cbd7c1e-6512-4ebe-8ca5-e08209cc3efb" TargetMode="External"/><Relationship Id="rId2" Type="http://schemas.openxmlformats.org/officeDocument/2006/relationships/hyperlink" Target="https://data.jrc.ec.europa.eu/dataset/4cbd7c1e-6512-4ebe-8ca5-e08209cc3efb" TargetMode="External"/><Relationship Id="rId1" Type="http://schemas.openxmlformats.org/officeDocument/2006/relationships/hyperlink" Target="https://unfccc.int/ghg-inventories-annex-i-parties/2022" TargetMode="External"/><Relationship Id="rId4"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ideegreen.it/agricoltura-intensiva-significato-danni-118170.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9561F-2687-4246-913F-3678E9739122}">
  <dimension ref="A1:AF24"/>
  <sheetViews>
    <sheetView showGridLines="0" topLeftCell="A8" workbookViewId="0">
      <selection activeCell="C13" sqref="C13"/>
    </sheetView>
  </sheetViews>
  <sheetFormatPr defaultColWidth="9.109375" defaultRowHeight="13.2" x14ac:dyDescent="0.25"/>
  <cols>
    <col min="1" max="1" width="27.44140625" style="342" customWidth="1"/>
    <col min="2" max="2" width="2.44140625" style="342" customWidth="1"/>
    <col min="3" max="22" width="10.33203125" style="342" bestFit="1" customWidth="1"/>
    <col min="23" max="16384" width="9.109375" style="342"/>
  </cols>
  <sheetData>
    <row r="1" spans="1:22" hidden="1" x14ac:dyDescent="0.25">
      <c r="A1" s="341" t="e">
        <f ca="1">DotStatQuery(B1)</f>
        <v>#NAME?</v>
      </c>
      <c r="B1" s="341" t="s">
        <v>1064</v>
      </c>
    </row>
    <row r="2" spans="1:22" ht="46.2" x14ac:dyDescent="0.25">
      <c r="A2" s="343" t="s">
        <v>1065</v>
      </c>
    </row>
    <row r="3" spans="1:22" x14ac:dyDescent="0.25">
      <c r="A3" s="1161" t="s">
        <v>1066</v>
      </c>
      <c r="B3" s="1162"/>
      <c r="C3" s="1163" t="s">
        <v>429</v>
      </c>
      <c r="D3" s="1164"/>
      <c r="E3" s="1164"/>
      <c r="F3" s="1164"/>
      <c r="G3" s="1164"/>
      <c r="H3" s="1164"/>
      <c r="I3" s="1164"/>
      <c r="J3" s="1164"/>
      <c r="K3" s="1164"/>
      <c r="L3" s="1164"/>
      <c r="M3" s="1164"/>
      <c r="N3" s="1164"/>
      <c r="O3" s="1164"/>
      <c r="P3" s="1164"/>
      <c r="Q3" s="1164"/>
      <c r="R3" s="1164"/>
      <c r="S3" s="1164"/>
      <c r="T3" s="1164"/>
      <c r="U3" s="1165"/>
    </row>
    <row r="4" spans="1:22" x14ac:dyDescent="0.25">
      <c r="A4" s="1161" t="s">
        <v>1067</v>
      </c>
      <c r="B4" s="1162"/>
      <c r="C4" s="1168" t="s">
        <v>1068</v>
      </c>
      <c r="D4" s="1169"/>
      <c r="E4" s="1169"/>
      <c r="F4" s="1169"/>
      <c r="G4" s="1169"/>
      <c r="H4" s="1169"/>
      <c r="I4" s="1169"/>
      <c r="J4" s="1169"/>
      <c r="K4" s="1169"/>
      <c r="L4" s="1169"/>
      <c r="M4" s="1169"/>
      <c r="N4" s="1169"/>
      <c r="O4" s="1169"/>
      <c r="P4" s="1169"/>
      <c r="Q4" s="1169"/>
      <c r="R4" s="1169"/>
      <c r="S4" s="1169"/>
      <c r="T4" s="1169"/>
      <c r="U4" s="1170"/>
    </row>
    <row r="5" spans="1:22" x14ac:dyDescent="0.25">
      <c r="A5" s="1161" t="s">
        <v>1069</v>
      </c>
      <c r="B5" s="1162"/>
      <c r="C5" s="1168" t="s">
        <v>1070</v>
      </c>
      <c r="D5" s="1169"/>
      <c r="E5" s="1169"/>
      <c r="F5" s="1169"/>
      <c r="G5" s="1169"/>
      <c r="H5" s="1169"/>
      <c r="I5" s="1169"/>
      <c r="J5" s="1169"/>
      <c r="K5" s="1169"/>
      <c r="L5" s="1169"/>
      <c r="M5" s="1169"/>
      <c r="N5" s="1169"/>
      <c r="O5" s="1169"/>
      <c r="P5" s="1169"/>
      <c r="Q5" s="1169"/>
      <c r="R5" s="1169"/>
      <c r="S5" s="1169"/>
      <c r="T5" s="1169"/>
      <c r="U5" s="1170"/>
    </row>
    <row r="6" spans="1:22" x14ac:dyDescent="0.25">
      <c r="A6" s="1161" t="s">
        <v>1071</v>
      </c>
      <c r="B6" s="1162"/>
      <c r="C6" s="1163" t="s">
        <v>1072</v>
      </c>
      <c r="D6" s="1164"/>
      <c r="E6" s="1164"/>
      <c r="F6" s="1164"/>
      <c r="G6" s="1164"/>
      <c r="H6" s="1164"/>
      <c r="I6" s="1164"/>
      <c r="J6" s="1164"/>
      <c r="K6" s="1164"/>
      <c r="L6" s="1164"/>
      <c r="M6" s="1164"/>
      <c r="N6" s="1164"/>
      <c r="O6" s="1164"/>
      <c r="P6" s="1164"/>
      <c r="Q6" s="1164"/>
      <c r="R6" s="1164"/>
      <c r="S6" s="1164"/>
      <c r="T6" s="1164"/>
      <c r="U6" s="1165"/>
    </row>
    <row r="7" spans="1:22" x14ac:dyDescent="0.25">
      <c r="A7" s="1166" t="s">
        <v>1073</v>
      </c>
      <c r="B7" s="1167"/>
      <c r="C7" s="344" t="s">
        <v>309</v>
      </c>
      <c r="D7" s="344" t="s">
        <v>310</v>
      </c>
      <c r="E7" s="344" t="s">
        <v>311</v>
      </c>
      <c r="F7" s="344" t="s">
        <v>312</v>
      </c>
      <c r="G7" s="344" t="s">
        <v>313</v>
      </c>
      <c r="H7" s="344" t="s">
        <v>314</v>
      </c>
      <c r="I7" s="344" t="s">
        <v>315</v>
      </c>
      <c r="J7" s="344" t="s">
        <v>316</v>
      </c>
      <c r="K7" s="344" t="s">
        <v>317</v>
      </c>
      <c r="L7" s="344" t="s">
        <v>318</v>
      </c>
      <c r="M7" s="344" t="s">
        <v>319</v>
      </c>
      <c r="N7" s="344" t="s">
        <v>320</v>
      </c>
      <c r="O7" s="344" t="s">
        <v>321</v>
      </c>
      <c r="P7" s="344" t="s">
        <v>322</v>
      </c>
      <c r="Q7" s="344" t="s">
        <v>323</v>
      </c>
      <c r="R7" s="344" t="s">
        <v>324</v>
      </c>
      <c r="S7" s="344" t="s">
        <v>325</v>
      </c>
      <c r="T7" s="344" t="s">
        <v>326</v>
      </c>
      <c r="U7" s="652" t="s">
        <v>1074</v>
      </c>
      <c r="V7" s="543">
        <v>2019</v>
      </c>
    </row>
    <row r="8" spans="1:22" ht="13.8" x14ac:dyDescent="0.3">
      <c r="A8" s="345" t="s">
        <v>1075</v>
      </c>
      <c r="B8" s="346" t="s">
        <v>269</v>
      </c>
      <c r="C8" s="346" t="s">
        <v>269</v>
      </c>
      <c r="D8" s="346" t="s">
        <v>269</v>
      </c>
      <c r="E8" s="346" t="s">
        <v>269</v>
      </c>
      <c r="F8" s="346" t="s">
        <v>269</v>
      </c>
      <c r="G8" s="346" t="s">
        <v>269</v>
      </c>
      <c r="H8" s="346" t="s">
        <v>269</v>
      </c>
      <c r="I8" s="346" t="s">
        <v>269</v>
      </c>
      <c r="J8" s="346" t="s">
        <v>269</v>
      </c>
      <c r="K8" s="346" t="s">
        <v>269</v>
      </c>
      <c r="L8" s="346" t="s">
        <v>269</v>
      </c>
      <c r="M8" s="346" t="s">
        <v>269</v>
      </c>
      <c r="N8" s="346" t="s">
        <v>269</v>
      </c>
      <c r="O8" s="346" t="s">
        <v>269</v>
      </c>
      <c r="P8" s="346" t="s">
        <v>269</v>
      </c>
      <c r="Q8" s="346" t="s">
        <v>269</v>
      </c>
      <c r="R8" s="346" t="s">
        <v>269</v>
      </c>
      <c r="S8" s="346" t="s">
        <v>269</v>
      </c>
      <c r="T8" s="346" t="s">
        <v>269</v>
      </c>
      <c r="U8" s="346" t="s">
        <v>269</v>
      </c>
    </row>
    <row r="9" spans="1:22" ht="20.399999999999999" x14ac:dyDescent="0.3">
      <c r="A9" s="347" t="s">
        <v>1076</v>
      </c>
      <c r="B9" s="346" t="s">
        <v>269</v>
      </c>
      <c r="C9" s="348">
        <v>21763.621999999999</v>
      </c>
      <c r="D9" s="348">
        <v>22795.626</v>
      </c>
      <c r="E9" s="348">
        <v>23569.281999999999</v>
      </c>
      <c r="F9" s="348">
        <v>24223.073</v>
      </c>
      <c r="G9" s="348">
        <v>25038.771000000001</v>
      </c>
      <c r="H9" s="348">
        <v>25600.792000000001</v>
      </c>
      <c r="I9" s="348">
        <v>26502.067999999999</v>
      </c>
      <c r="J9" s="348">
        <v>27379.179</v>
      </c>
      <c r="K9" s="348">
        <v>27550.616000000002</v>
      </c>
      <c r="L9" s="348">
        <v>26400.187000000002</v>
      </c>
      <c r="M9" s="348">
        <v>26818.072</v>
      </c>
      <c r="N9" s="348">
        <v>27263.785</v>
      </c>
      <c r="O9" s="348">
        <v>26736.643</v>
      </c>
      <c r="P9" s="348">
        <v>26458.274000000001</v>
      </c>
      <c r="Q9" s="348">
        <v>26679.572</v>
      </c>
      <c r="R9" s="348">
        <v>27203.508000000002</v>
      </c>
      <c r="S9" s="348">
        <v>27872.235000000001</v>
      </c>
      <c r="T9" s="348">
        <v>28534.452000000001</v>
      </c>
      <c r="U9" s="348">
        <v>29070.952000000001</v>
      </c>
    </row>
    <row r="10" spans="1:22" x14ac:dyDescent="0.25">
      <c r="A10" s="349" t="s">
        <v>1077</v>
      </c>
    </row>
    <row r="11" spans="1:22" ht="47.4" customHeight="1" x14ac:dyDescent="0.3">
      <c r="A11" s="700" t="s">
        <v>1992</v>
      </c>
    </row>
    <row r="12" spans="1:22" x14ac:dyDescent="0.25">
      <c r="A12" s="663" t="s">
        <v>1991</v>
      </c>
      <c r="B12" s="663"/>
      <c r="C12" s="698">
        <v>0.2</v>
      </c>
      <c r="D12" s="697"/>
      <c r="E12" s="697"/>
      <c r="F12" s="697"/>
      <c r="G12" s="697"/>
      <c r="H12" s="697"/>
      <c r="I12" s="697"/>
      <c r="J12" s="697"/>
      <c r="K12" s="697"/>
      <c r="L12" s="697"/>
      <c r="M12" s="697"/>
      <c r="N12" s="697"/>
      <c r="O12" s="697"/>
      <c r="P12" s="697"/>
      <c r="Q12" s="697"/>
      <c r="R12" s="697"/>
      <c r="S12" s="697"/>
      <c r="T12" s="697"/>
      <c r="U12" s="697"/>
      <c r="V12" s="697"/>
    </row>
    <row r="13" spans="1:22" x14ac:dyDescent="0.25">
      <c r="A13" s="703" t="s">
        <v>1998</v>
      </c>
      <c r="B13" s="701"/>
      <c r="C13" s="702">
        <f>(V$22/U$22)^$C$12*(V$23/U$23)</f>
        <v>1.0101543140071236</v>
      </c>
      <c r="D13" s="697"/>
      <c r="E13" s="697"/>
      <c r="F13" s="697"/>
      <c r="G13" s="697"/>
      <c r="H13" s="697"/>
      <c r="I13" s="697"/>
      <c r="J13" s="697"/>
      <c r="K13" s="697"/>
      <c r="L13" s="697"/>
      <c r="M13" s="697"/>
      <c r="N13" s="697"/>
      <c r="O13" s="697"/>
      <c r="P13" s="697"/>
      <c r="Q13" s="697"/>
      <c r="R13" s="697"/>
      <c r="S13" s="697"/>
      <c r="T13" s="697"/>
      <c r="U13" s="697"/>
      <c r="V13" s="697"/>
    </row>
    <row r="14" spans="1:22" x14ac:dyDescent="0.25">
      <c r="A14" s="350" t="s">
        <v>1986</v>
      </c>
      <c r="C14" s="696">
        <f>(V$22/T$22)^$C$12*(V$23/T$23)</f>
        <v>1.021233215012848</v>
      </c>
      <c r="D14" s="697"/>
      <c r="E14" s="697"/>
      <c r="F14" s="697"/>
      <c r="G14" s="697"/>
      <c r="H14" s="697"/>
      <c r="I14" s="697"/>
      <c r="J14" s="697"/>
      <c r="K14" s="697"/>
      <c r="L14" s="697"/>
      <c r="M14" s="697"/>
      <c r="N14" s="697"/>
      <c r="O14" s="697"/>
      <c r="P14" s="697"/>
      <c r="Q14" s="697"/>
      <c r="R14" s="697"/>
      <c r="S14" s="697"/>
      <c r="T14" s="697"/>
      <c r="U14" s="697"/>
      <c r="V14" s="697"/>
    </row>
    <row r="15" spans="1:22" x14ac:dyDescent="0.25">
      <c r="A15" s="350" t="s">
        <v>1985</v>
      </c>
      <c r="B15" s="699"/>
      <c r="C15" s="696">
        <f>(V$22/S$22)^$C$12*(V$23/S$23)</f>
        <v>1.0323688749091406</v>
      </c>
    </row>
    <row r="16" spans="1:22" x14ac:dyDescent="0.25">
      <c r="A16" s="350" t="s">
        <v>1990</v>
      </c>
      <c r="C16" s="696">
        <f>(V$22/R$22)^$C$12*(V$23/R$23)</f>
        <v>1.0471223589538041</v>
      </c>
    </row>
    <row r="17" spans="1:32" x14ac:dyDescent="0.25">
      <c r="A17" s="350" t="s">
        <v>1988</v>
      </c>
      <c r="C17" s="696">
        <f>(V$22/Q$22)^$C$12*(V$23/Q$23)</f>
        <v>1.0587242134841908</v>
      </c>
    </row>
    <row r="18" spans="1:32" x14ac:dyDescent="0.25">
      <c r="A18" s="350" t="s">
        <v>1987</v>
      </c>
      <c r="C18" s="696">
        <f>(V$22/O$22)^$C$12*(V$23/O$23)</f>
        <v>1.0721728306913678</v>
      </c>
    </row>
    <row r="19" spans="1:32" x14ac:dyDescent="0.25">
      <c r="A19" s="350" t="s">
        <v>1989</v>
      </c>
      <c r="C19" s="696">
        <f>(V$22/H$22)^$C$12*(V$23/H$23)</f>
        <v>1.1952469814176285</v>
      </c>
    </row>
    <row r="22" spans="1:32" ht="14.4" x14ac:dyDescent="0.3">
      <c r="A22" s="521" t="s">
        <v>1984</v>
      </c>
      <c r="B22" s="543"/>
      <c r="C22" s="296">
        <v>43264.645140289002</v>
      </c>
      <c r="D22" s="296">
        <v>44084.131165161903</v>
      </c>
      <c r="E22" s="296">
        <v>44130.313486527601</v>
      </c>
      <c r="F22" s="296">
        <v>43995.491500008502</v>
      </c>
      <c r="G22" s="296">
        <v>44333.956587196597</v>
      </c>
      <c r="H22" s="296">
        <v>44477.446206083703</v>
      </c>
      <c r="I22" s="296">
        <v>45138.006271765298</v>
      </c>
      <c r="J22" s="296">
        <v>45578.518065349803</v>
      </c>
      <c r="K22" s="296">
        <v>44841.996274551697</v>
      </c>
      <c r="L22" s="296">
        <v>42280.8418983308</v>
      </c>
      <c r="M22" s="296">
        <v>42873.160699633903</v>
      </c>
      <c r="N22" s="296">
        <v>43102.226612205101</v>
      </c>
      <c r="O22" s="296">
        <v>41704.826512399799</v>
      </c>
      <c r="P22" s="296">
        <v>40465.190664363101</v>
      </c>
      <c r="Q22" s="296">
        <v>40093.795527976901</v>
      </c>
      <c r="R22" s="296">
        <v>40444.807647342597</v>
      </c>
      <c r="S22" s="296">
        <v>41037.603328261801</v>
      </c>
      <c r="T22" s="296">
        <v>41784.624713663703</v>
      </c>
      <c r="U22" s="296">
        <v>42198.2432366598</v>
      </c>
      <c r="V22" s="296">
        <v>42412.664551675603</v>
      </c>
      <c r="W22" s="55"/>
      <c r="X22" s="55"/>
      <c r="Y22" s="55"/>
      <c r="Z22" s="55"/>
      <c r="AA22" s="55"/>
      <c r="AB22" s="55"/>
      <c r="AC22" s="55"/>
      <c r="AD22" s="55"/>
      <c r="AE22" s="55"/>
      <c r="AF22" s="55"/>
    </row>
    <row r="23" spans="1:32" ht="14.4" x14ac:dyDescent="0.3">
      <c r="A23" s="543" t="s">
        <v>1982</v>
      </c>
      <c r="B23" s="543"/>
      <c r="C23" s="394">
        <v>74.776239772957197</v>
      </c>
      <c r="D23" s="394">
        <v>77.044645819965893</v>
      </c>
      <c r="E23" s="394">
        <v>79.567350924678195</v>
      </c>
      <c r="F23" s="394">
        <v>82.071978305634701</v>
      </c>
      <c r="G23" s="394">
        <v>84.263450877075698</v>
      </c>
      <c r="H23" s="394">
        <v>85.957616346201704</v>
      </c>
      <c r="I23" s="394">
        <v>87.784090122071603</v>
      </c>
      <c r="J23" s="394">
        <v>89.960253121456901</v>
      </c>
      <c r="K23" s="394">
        <v>92.119932016736499</v>
      </c>
      <c r="L23" s="394">
        <v>93.666477325195899</v>
      </c>
      <c r="M23" s="394">
        <v>94.075200869148503</v>
      </c>
      <c r="N23" s="394">
        <v>95.587155844692703</v>
      </c>
      <c r="O23" s="394">
        <v>97.066177283893296</v>
      </c>
      <c r="P23" s="394">
        <v>98.180118595278202</v>
      </c>
      <c r="Q23" s="394">
        <v>99.0767399493526</v>
      </c>
      <c r="R23" s="394">
        <v>100</v>
      </c>
      <c r="S23" s="394">
        <v>101.13435002037301</v>
      </c>
      <c r="T23" s="394">
        <v>101.868932515805</v>
      </c>
      <c r="U23" s="394">
        <v>102.783497289213</v>
      </c>
      <c r="V23" s="394">
        <v>103.721998573961</v>
      </c>
    </row>
    <row r="24" spans="1:32" ht="14.4" x14ac:dyDescent="0.3">
      <c r="A24" t="s">
        <v>1983</v>
      </c>
      <c r="B24"/>
      <c r="C24"/>
    </row>
  </sheetData>
  <mergeCells count="9">
    <mergeCell ref="A6:B6"/>
    <mergeCell ref="C6:U6"/>
    <mergeCell ref="A7:B7"/>
    <mergeCell ref="A3:B3"/>
    <mergeCell ref="C3:U3"/>
    <mergeCell ref="A4:B4"/>
    <mergeCell ref="C4:U4"/>
    <mergeCell ref="A5:B5"/>
    <mergeCell ref="C5:U5"/>
  </mergeCells>
  <hyperlinks>
    <hyperlink ref="A2" r:id="rId1" display="http://dati.istat.it/OECDStat_Metadata/ShowMetadata.ashx?Dataset=DCCN_ANA_B14&amp;ShowOnWeb=true&amp;Lang=it" xr:uid="{A828D860-2C0B-426C-957F-285C25AE5912}"/>
    <hyperlink ref="C4" r:id="rId2" display="http://dati.istat.it/OECDStat_Metadata/ShowMetadata.ashx?Dataset=DCCN_ANA_B14&amp;Coords=[VAL].[V]&amp;ShowOnWeb=true&amp;Lang=it" xr:uid="{D423746F-F143-4475-B903-014A2A980708}"/>
    <hyperlink ref="C5" r:id="rId3" display="http://dati.istat.it/OECDStat_Metadata/ShowMetadata.ashx?Dataset=DCCN_ANA_B14&amp;Coords=[CORREZ].[N]&amp;ShowOnWeb=true&amp;Lang=it" xr:uid="{4BE29DD8-9EE6-4298-B9A8-D02386E1F065}"/>
    <hyperlink ref="A10" r:id="rId4" display="http://dativ7b.istat.it//index.aspx?DatasetCode=DCCN_ANA_B14" xr:uid="{C7D468A7-048D-46C4-8392-369D1C7EC65D}"/>
  </hyperlinks>
  <pageMargins left="0.75" right="0.75" top="1" bottom="1" header="0.5" footer="0.5"/>
  <pageSetup orientation="portrait" horizontalDpi="300" verticalDpi="3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8414E-DB4F-43A1-BD4F-B661BCF085CC}">
  <sheetPr>
    <tabColor rgb="FF92D050"/>
  </sheetPr>
  <dimension ref="A1:P84"/>
  <sheetViews>
    <sheetView showGridLines="0" workbookViewId="0">
      <selection activeCell="A10" sqref="A10"/>
    </sheetView>
  </sheetViews>
  <sheetFormatPr defaultColWidth="11.44140625" defaultRowHeight="12" x14ac:dyDescent="0.25"/>
  <cols>
    <col min="1" max="1" width="21.88671875" style="198" customWidth="1"/>
    <col min="2" max="10" width="11.44140625" style="198" customWidth="1"/>
    <col min="11" max="16384" width="11.44140625" style="198"/>
  </cols>
  <sheetData>
    <row r="1" spans="1:16" ht="15.6" x14ac:dyDescent="0.3">
      <c r="A1" s="196" t="s">
        <v>252</v>
      </c>
      <c r="B1" s="197"/>
      <c r="C1" s="197"/>
      <c r="D1" s="197"/>
      <c r="E1" s="197"/>
      <c r="F1" s="197"/>
      <c r="G1" s="197"/>
      <c r="H1" s="197"/>
      <c r="I1" s="197"/>
      <c r="J1" s="197" t="s">
        <v>253</v>
      </c>
      <c r="K1" s="197"/>
      <c r="L1" s="197"/>
      <c r="M1" s="197"/>
      <c r="N1" s="197"/>
      <c r="O1" s="197"/>
      <c r="P1" s="197"/>
    </row>
    <row r="2" spans="1:16" ht="18" x14ac:dyDescent="0.3">
      <c r="A2" s="196" t="s">
        <v>254</v>
      </c>
      <c r="B2" s="197"/>
      <c r="C2" s="197"/>
      <c r="D2" s="197"/>
      <c r="E2" s="197"/>
      <c r="F2" s="197"/>
      <c r="G2" s="197"/>
      <c r="H2" s="197"/>
      <c r="I2" s="197"/>
      <c r="J2" s="197" t="s">
        <v>255</v>
      </c>
      <c r="K2" s="197"/>
      <c r="L2" s="197"/>
      <c r="M2" s="197"/>
      <c r="N2" s="197"/>
      <c r="O2" s="197"/>
      <c r="P2" s="197"/>
    </row>
    <row r="3" spans="1:16" ht="15.6" x14ac:dyDescent="0.3">
      <c r="A3" s="196" t="s">
        <v>256</v>
      </c>
      <c r="B3" s="197"/>
      <c r="C3" s="197"/>
      <c r="D3" s="197"/>
      <c r="E3" s="197"/>
      <c r="F3" s="197"/>
      <c r="G3" s="197"/>
      <c r="H3" s="197"/>
      <c r="I3" s="197"/>
      <c r="J3" s="197" t="s">
        <v>257</v>
      </c>
      <c r="K3" s="197"/>
      <c r="L3" s="197"/>
      <c r="M3" s="197"/>
      <c r="N3" s="197"/>
      <c r="O3" s="197"/>
      <c r="P3" s="197"/>
    </row>
    <row r="4" spans="1:16" x14ac:dyDescent="0.25">
      <c r="A4" s="199"/>
      <c r="B4" s="197"/>
      <c r="C4" s="197"/>
      <c r="D4" s="197"/>
      <c r="E4" s="197"/>
      <c r="F4" s="197"/>
      <c r="G4" s="197"/>
      <c r="H4" s="197"/>
      <c r="I4" s="197"/>
      <c r="J4" s="197"/>
      <c r="K4" s="197"/>
      <c r="L4" s="197"/>
      <c r="M4" s="197"/>
      <c r="N4" s="197"/>
      <c r="O4" s="197"/>
      <c r="P4" s="197"/>
    </row>
    <row r="5" spans="1:16" ht="13.8" x14ac:dyDescent="0.25">
      <c r="A5" s="199" t="s">
        <v>258</v>
      </c>
      <c r="B5" s="197"/>
      <c r="C5" s="197"/>
      <c r="D5" s="197"/>
      <c r="E5" s="197"/>
      <c r="F5" s="197"/>
      <c r="G5" s="197"/>
      <c r="H5" s="197"/>
      <c r="I5" s="197"/>
      <c r="J5" s="197"/>
      <c r="K5" s="197"/>
      <c r="L5" s="197"/>
      <c r="M5" s="197"/>
      <c r="N5" s="197"/>
      <c r="O5" s="197"/>
      <c r="P5" s="197"/>
    </row>
    <row r="6" spans="1:16" x14ac:dyDescent="0.25">
      <c r="A6" s="1190" t="s">
        <v>253</v>
      </c>
      <c r="B6" s="1192" t="s">
        <v>259</v>
      </c>
      <c r="C6" s="1192"/>
      <c r="D6" s="1192"/>
      <c r="E6" s="1192" t="s">
        <v>260</v>
      </c>
      <c r="F6" s="1192"/>
      <c r="G6" s="1192"/>
      <c r="H6" s="1192" t="s">
        <v>261</v>
      </c>
      <c r="I6" s="1192"/>
      <c r="J6" s="1192"/>
      <c r="K6" s="197"/>
      <c r="L6" s="197"/>
      <c r="M6" s="197"/>
      <c r="N6" s="197"/>
      <c r="O6" s="197"/>
      <c r="P6" s="197"/>
    </row>
    <row r="7" spans="1:16" ht="22.95" customHeight="1" x14ac:dyDescent="0.25">
      <c r="A7" s="1190"/>
      <c r="B7" s="200" t="s">
        <v>262</v>
      </c>
      <c r="C7" s="200" t="s">
        <v>263</v>
      </c>
      <c r="D7" s="200" t="s">
        <v>264</v>
      </c>
      <c r="E7" s="200" t="s">
        <v>262</v>
      </c>
      <c r="F7" s="200" t="s">
        <v>263</v>
      </c>
      <c r="G7" s="200" t="s">
        <v>264</v>
      </c>
      <c r="H7" s="200" t="s">
        <v>262</v>
      </c>
      <c r="I7" s="200" t="s">
        <v>263</v>
      </c>
      <c r="J7" s="200" t="s">
        <v>264</v>
      </c>
      <c r="K7" s="197"/>
      <c r="L7" s="197"/>
      <c r="M7" s="197"/>
      <c r="N7" s="197"/>
      <c r="O7" s="197"/>
      <c r="P7" s="197"/>
    </row>
    <row r="8" spans="1:16" ht="13.8" thickBot="1" x14ac:dyDescent="0.3">
      <c r="A8" s="1191"/>
      <c r="B8" s="201" t="s">
        <v>265</v>
      </c>
      <c r="C8" s="201" t="s">
        <v>265</v>
      </c>
      <c r="D8" s="201" t="s">
        <v>265</v>
      </c>
      <c r="E8" s="201" t="s">
        <v>265</v>
      </c>
      <c r="F8" s="201" t="s">
        <v>265</v>
      </c>
      <c r="G8" s="201" t="s">
        <v>265</v>
      </c>
      <c r="H8" s="201" t="s">
        <v>266</v>
      </c>
      <c r="I8" s="201" t="s">
        <v>266</v>
      </c>
      <c r="J8" s="201" t="s">
        <v>266</v>
      </c>
      <c r="K8" s="197"/>
      <c r="L8" s="197"/>
      <c r="M8" s="197"/>
      <c r="N8" s="197"/>
      <c r="O8" s="197"/>
      <c r="P8" s="197"/>
    </row>
    <row r="9" spans="1:16" ht="15" thickTop="1" x14ac:dyDescent="0.25">
      <c r="A9" s="202" t="s">
        <v>267</v>
      </c>
      <c r="B9" s="203"/>
      <c r="C9" s="203"/>
      <c r="D9" s="203"/>
      <c r="E9" s="203"/>
      <c r="F9" s="203"/>
      <c r="G9" s="203"/>
      <c r="H9" s="203"/>
      <c r="I9" s="203"/>
      <c r="J9" s="203"/>
      <c r="K9" s="197"/>
      <c r="L9" s="197"/>
      <c r="M9" s="197"/>
      <c r="N9" s="197"/>
      <c r="O9" s="197"/>
      <c r="P9" s="197"/>
    </row>
    <row r="10" spans="1:16" x14ac:dyDescent="0.25">
      <c r="A10" s="204" t="s">
        <v>268</v>
      </c>
      <c r="B10" s="205" t="s">
        <v>269</v>
      </c>
      <c r="C10" s="205" t="s">
        <v>269</v>
      </c>
      <c r="D10" s="205" t="s">
        <v>269</v>
      </c>
      <c r="E10" s="205" t="s">
        <v>269</v>
      </c>
      <c r="F10" s="205" t="s">
        <v>269</v>
      </c>
      <c r="G10" s="205" t="s">
        <v>269</v>
      </c>
      <c r="H10" s="205" t="s">
        <v>269</v>
      </c>
      <c r="I10" s="205" t="s">
        <v>269</v>
      </c>
      <c r="J10" s="205" t="s">
        <v>269</v>
      </c>
    </row>
    <row r="11" spans="1:16" x14ac:dyDescent="0.25">
      <c r="A11" s="204" t="s">
        <v>270</v>
      </c>
      <c r="B11" s="205" t="s">
        <v>269</v>
      </c>
      <c r="C11" s="205" t="s">
        <v>269</v>
      </c>
      <c r="D11" s="205" t="s">
        <v>269</v>
      </c>
      <c r="E11" s="205" t="s">
        <v>269</v>
      </c>
      <c r="F11" s="205" t="s">
        <v>269</v>
      </c>
      <c r="G11" s="205" t="s">
        <v>269</v>
      </c>
      <c r="H11" s="205" t="s">
        <v>269</v>
      </c>
      <c r="I11" s="205" t="s">
        <v>269</v>
      </c>
      <c r="J11" s="205" t="s">
        <v>269</v>
      </c>
    </row>
    <row r="12" spans="1:16" x14ac:dyDescent="0.25">
      <c r="A12" s="204" t="s">
        <v>271</v>
      </c>
      <c r="B12" s="205" t="s">
        <v>269</v>
      </c>
      <c r="C12" s="205" t="s">
        <v>269</v>
      </c>
      <c r="D12" s="205" t="s">
        <v>269</v>
      </c>
      <c r="E12" s="205" t="s">
        <v>269</v>
      </c>
      <c r="F12" s="205" t="s">
        <v>269</v>
      </c>
      <c r="G12" s="205" t="s">
        <v>269</v>
      </c>
      <c r="H12" s="205" t="s">
        <v>269</v>
      </c>
      <c r="I12" s="205" t="s">
        <v>269</v>
      </c>
      <c r="J12" s="205" t="s">
        <v>269</v>
      </c>
    </row>
    <row r="13" spans="1:16" x14ac:dyDescent="0.25">
      <c r="A13" s="204" t="s">
        <v>272</v>
      </c>
      <c r="B13" s="205" t="s">
        <v>269</v>
      </c>
      <c r="C13" s="205" t="s">
        <v>269</v>
      </c>
      <c r="D13" s="205" t="s">
        <v>269</v>
      </c>
      <c r="E13" s="205" t="s">
        <v>269</v>
      </c>
      <c r="F13" s="205" t="s">
        <v>269</v>
      </c>
      <c r="G13" s="205" t="s">
        <v>269</v>
      </c>
      <c r="H13" s="205" t="s">
        <v>269</v>
      </c>
      <c r="I13" s="205" t="s">
        <v>269</v>
      </c>
      <c r="J13" s="205" t="s">
        <v>269</v>
      </c>
    </row>
    <row r="14" spans="1:16" x14ac:dyDescent="0.25">
      <c r="A14" s="204" t="s">
        <v>273</v>
      </c>
      <c r="B14" s="205" t="s">
        <v>269</v>
      </c>
      <c r="C14" s="205" t="s">
        <v>269</v>
      </c>
      <c r="D14" s="205" t="s">
        <v>269</v>
      </c>
      <c r="E14" s="205" t="s">
        <v>269</v>
      </c>
      <c r="F14" s="205" t="s">
        <v>269</v>
      </c>
      <c r="G14" s="205" t="s">
        <v>269</v>
      </c>
      <c r="H14" s="205" t="s">
        <v>269</v>
      </c>
      <c r="I14" s="205" t="s">
        <v>269</v>
      </c>
      <c r="J14" s="205" t="s">
        <v>269</v>
      </c>
    </row>
    <row r="15" spans="1:16" x14ac:dyDescent="0.25">
      <c r="A15" s="204" t="s">
        <v>274</v>
      </c>
      <c r="B15" s="205" t="s">
        <v>269</v>
      </c>
      <c r="C15" s="205" t="s">
        <v>269</v>
      </c>
      <c r="D15" s="205" t="s">
        <v>269</v>
      </c>
      <c r="E15" s="205" t="s">
        <v>269</v>
      </c>
      <c r="F15" s="205" t="s">
        <v>269</v>
      </c>
      <c r="G15" s="205" t="s">
        <v>269</v>
      </c>
      <c r="H15" s="205" t="s">
        <v>269</v>
      </c>
      <c r="I15" s="205" t="s">
        <v>269</v>
      </c>
      <c r="J15" s="205" t="s">
        <v>269</v>
      </c>
    </row>
    <row r="16" spans="1:16" x14ac:dyDescent="0.25">
      <c r="A16" s="204" t="s">
        <v>275</v>
      </c>
      <c r="B16" s="205" t="s">
        <v>269</v>
      </c>
      <c r="C16" s="205" t="s">
        <v>269</v>
      </c>
      <c r="D16" s="205" t="s">
        <v>269</v>
      </c>
      <c r="E16" s="205" t="s">
        <v>269</v>
      </c>
      <c r="F16" s="205" t="s">
        <v>269</v>
      </c>
      <c r="G16" s="205" t="s">
        <v>269</v>
      </c>
      <c r="H16" s="205" t="s">
        <v>269</v>
      </c>
      <c r="I16" s="205" t="s">
        <v>269</v>
      </c>
      <c r="J16" s="205" t="s">
        <v>269</v>
      </c>
    </row>
    <row r="17" spans="1:10" x14ac:dyDescent="0.25">
      <c r="A17" s="204" t="s">
        <v>276</v>
      </c>
      <c r="B17" s="205" t="s">
        <v>269</v>
      </c>
      <c r="C17" s="205" t="s">
        <v>269</v>
      </c>
      <c r="D17" s="205" t="s">
        <v>269</v>
      </c>
      <c r="E17" s="205" t="s">
        <v>269</v>
      </c>
      <c r="F17" s="205" t="s">
        <v>269</v>
      </c>
      <c r="G17" s="205" t="s">
        <v>269</v>
      </c>
      <c r="H17" s="205" t="s">
        <v>269</v>
      </c>
      <c r="I17" s="205" t="s">
        <v>269</v>
      </c>
      <c r="J17" s="205" t="s">
        <v>269</v>
      </c>
    </row>
    <row r="18" spans="1:10" x14ac:dyDescent="0.25">
      <c r="A18" s="204" t="s">
        <v>277</v>
      </c>
      <c r="B18" s="205" t="s">
        <v>269</v>
      </c>
      <c r="C18" s="205" t="s">
        <v>269</v>
      </c>
      <c r="D18" s="205" t="s">
        <v>269</v>
      </c>
      <c r="E18" s="205" t="s">
        <v>269</v>
      </c>
      <c r="F18" s="205" t="s">
        <v>269</v>
      </c>
      <c r="G18" s="205" t="s">
        <v>269</v>
      </c>
      <c r="H18" s="205" t="s">
        <v>269</v>
      </c>
      <c r="I18" s="205" t="s">
        <v>269</v>
      </c>
      <c r="J18" s="205" t="s">
        <v>269</v>
      </c>
    </row>
    <row r="19" spans="1:10" x14ac:dyDescent="0.25">
      <c r="A19" s="204" t="s">
        <v>278</v>
      </c>
      <c r="B19" s="205" t="s">
        <v>269</v>
      </c>
      <c r="C19" s="205" t="s">
        <v>269</v>
      </c>
      <c r="D19" s="205" t="s">
        <v>269</v>
      </c>
      <c r="E19" s="205" t="s">
        <v>269</v>
      </c>
      <c r="F19" s="205" t="s">
        <v>269</v>
      </c>
      <c r="G19" s="205" t="s">
        <v>269</v>
      </c>
      <c r="H19" s="205" t="s">
        <v>269</v>
      </c>
      <c r="I19" s="205" t="s">
        <v>269</v>
      </c>
      <c r="J19" s="205" t="s">
        <v>269</v>
      </c>
    </row>
    <row r="20" spans="1:10" x14ac:dyDescent="0.25">
      <c r="A20" s="204" t="s">
        <v>279</v>
      </c>
      <c r="B20" s="205" t="s">
        <v>269</v>
      </c>
      <c r="C20" s="205" t="s">
        <v>269</v>
      </c>
      <c r="D20" s="205" t="s">
        <v>269</v>
      </c>
      <c r="E20" s="205" t="s">
        <v>269</v>
      </c>
      <c r="F20" s="205" t="s">
        <v>269</v>
      </c>
      <c r="G20" s="205" t="s">
        <v>269</v>
      </c>
      <c r="H20" s="205" t="s">
        <v>269</v>
      </c>
      <c r="I20" s="205" t="s">
        <v>269</v>
      </c>
      <c r="J20" s="205" t="s">
        <v>269</v>
      </c>
    </row>
    <row r="21" spans="1:10" x14ac:dyDescent="0.25">
      <c r="A21" s="204" t="s">
        <v>280</v>
      </c>
      <c r="B21" s="205" t="s">
        <v>269</v>
      </c>
      <c r="C21" s="205" t="s">
        <v>269</v>
      </c>
      <c r="D21" s="205" t="s">
        <v>269</v>
      </c>
      <c r="E21" s="205" t="s">
        <v>269</v>
      </c>
      <c r="F21" s="205" t="s">
        <v>269</v>
      </c>
      <c r="G21" s="205" t="s">
        <v>269</v>
      </c>
      <c r="H21" s="205" t="s">
        <v>269</v>
      </c>
      <c r="I21" s="205" t="s">
        <v>269</v>
      </c>
      <c r="J21" s="205" t="s">
        <v>269</v>
      </c>
    </row>
    <row r="22" spans="1:10" x14ac:dyDescent="0.25">
      <c r="A22" s="204" t="s">
        <v>281</v>
      </c>
      <c r="B22" s="205" t="s">
        <v>269</v>
      </c>
      <c r="C22" s="205" t="s">
        <v>269</v>
      </c>
      <c r="D22" s="205" t="s">
        <v>269</v>
      </c>
      <c r="E22" s="205" t="s">
        <v>269</v>
      </c>
      <c r="F22" s="205" t="s">
        <v>269</v>
      </c>
      <c r="G22" s="205" t="s">
        <v>269</v>
      </c>
      <c r="H22" s="205" t="s">
        <v>269</v>
      </c>
      <c r="I22" s="205" t="s">
        <v>269</v>
      </c>
      <c r="J22" s="205" t="s">
        <v>269</v>
      </c>
    </row>
    <row r="23" spans="1:10" x14ac:dyDescent="0.25">
      <c r="A23" s="204" t="s">
        <v>282</v>
      </c>
      <c r="B23" s="205" t="s">
        <v>269</v>
      </c>
      <c r="C23" s="205" t="s">
        <v>269</v>
      </c>
      <c r="D23" s="205" t="s">
        <v>269</v>
      </c>
      <c r="E23" s="205" t="s">
        <v>269</v>
      </c>
      <c r="F23" s="205" t="s">
        <v>269</v>
      </c>
      <c r="G23" s="205" t="s">
        <v>269</v>
      </c>
      <c r="H23" s="205" t="s">
        <v>269</v>
      </c>
      <c r="I23" s="205" t="s">
        <v>269</v>
      </c>
      <c r="J23" s="205" t="s">
        <v>269</v>
      </c>
    </row>
    <row r="24" spans="1:10" x14ac:dyDescent="0.25">
      <c r="A24" s="204" t="s">
        <v>283</v>
      </c>
      <c r="B24" s="205" t="s">
        <v>269</v>
      </c>
      <c r="C24" s="205" t="s">
        <v>269</v>
      </c>
      <c r="D24" s="205" t="s">
        <v>269</v>
      </c>
      <c r="E24" s="205" t="s">
        <v>269</v>
      </c>
      <c r="F24" s="205" t="s">
        <v>269</v>
      </c>
      <c r="G24" s="205" t="s">
        <v>269</v>
      </c>
      <c r="H24" s="205" t="s">
        <v>269</v>
      </c>
      <c r="I24" s="205" t="s">
        <v>269</v>
      </c>
      <c r="J24" s="205" t="s">
        <v>269</v>
      </c>
    </row>
    <row r="25" spans="1:10" x14ac:dyDescent="0.25">
      <c r="A25" s="204" t="s">
        <v>284</v>
      </c>
      <c r="B25" s="205" t="s">
        <v>269</v>
      </c>
      <c r="C25" s="205" t="s">
        <v>269</v>
      </c>
      <c r="D25" s="205" t="s">
        <v>269</v>
      </c>
      <c r="E25" s="205" t="s">
        <v>269</v>
      </c>
      <c r="F25" s="205" t="s">
        <v>269</v>
      </c>
      <c r="G25" s="205" t="s">
        <v>269</v>
      </c>
      <c r="H25" s="205" t="s">
        <v>269</v>
      </c>
      <c r="I25" s="205" t="s">
        <v>269</v>
      </c>
      <c r="J25" s="205" t="s">
        <v>269</v>
      </c>
    </row>
    <row r="26" spans="1:10" x14ac:dyDescent="0.25">
      <c r="A26" s="204" t="s">
        <v>285</v>
      </c>
      <c r="B26" s="205" t="s">
        <v>269</v>
      </c>
      <c r="C26" s="205" t="s">
        <v>269</v>
      </c>
      <c r="D26" s="205" t="s">
        <v>269</v>
      </c>
      <c r="E26" s="205" t="s">
        <v>269</v>
      </c>
      <c r="F26" s="205" t="s">
        <v>269</v>
      </c>
      <c r="G26" s="205" t="s">
        <v>269</v>
      </c>
      <c r="H26" s="205" t="s">
        <v>269</v>
      </c>
      <c r="I26" s="205" t="s">
        <v>269</v>
      </c>
      <c r="J26" s="205" t="s">
        <v>269</v>
      </c>
    </row>
    <row r="27" spans="1:10" x14ac:dyDescent="0.25">
      <c r="A27" s="204" t="s">
        <v>286</v>
      </c>
      <c r="B27" s="205" t="s">
        <v>269</v>
      </c>
      <c r="C27" s="205" t="s">
        <v>269</v>
      </c>
      <c r="D27" s="205" t="s">
        <v>269</v>
      </c>
      <c r="E27" s="205" t="s">
        <v>269</v>
      </c>
      <c r="F27" s="205" t="s">
        <v>269</v>
      </c>
      <c r="G27" s="205" t="s">
        <v>269</v>
      </c>
      <c r="H27" s="205" t="s">
        <v>269</v>
      </c>
      <c r="I27" s="205" t="s">
        <v>269</v>
      </c>
      <c r="J27" s="205" t="s">
        <v>269</v>
      </c>
    </row>
    <row r="28" spans="1:10" x14ac:dyDescent="0.25">
      <c r="A28" s="204" t="s">
        <v>287</v>
      </c>
      <c r="B28" s="205" t="s">
        <v>269</v>
      </c>
      <c r="C28" s="205" t="s">
        <v>269</v>
      </c>
      <c r="D28" s="205" t="s">
        <v>269</v>
      </c>
      <c r="E28" s="205" t="s">
        <v>269</v>
      </c>
      <c r="F28" s="205" t="s">
        <v>269</v>
      </c>
      <c r="G28" s="205" t="s">
        <v>269</v>
      </c>
      <c r="H28" s="205" t="s">
        <v>269</v>
      </c>
      <c r="I28" s="205" t="s">
        <v>269</v>
      </c>
      <c r="J28" s="205" t="s">
        <v>269</v>
      </c>
    </row>
    <row r="29" spans="1:10" x14ac:dyDescent="0.25">
      <c r="A29" s="204" t="s">
        <v>288</v>
      </c>
      <c r="B29" s="205" t="s">
        <v>269</v>
      </c>
      <c r="C29" s="205" t="s">
        <v>269</v>
      </c>
      <c r="D29" s="205" t="s">
        <v>269</v>
      </c>
      <c r="E29" s="205" t="s">
        <v>269</v>
      </c>
      <c r="F29" s="205" t="s">
        <v>269</v>
      </c>
      <c r="G29" s="205" t="s">
        <v>269</v>
      </c>
      <c r="H29" s="205" t="s">
        <v>269</v>
      </c>
      <c r="I29" s="205" t="s">
        <v>269</v>
      </c>
      <c r="J29" s="205" t="s">
        <v>269</v>
      </c>
    </row>
    <row r="30" spans="1:10" x14ac:dyDescent="0.25">
      <c r="A30" s="204" t="s">
        <v>289</v>
      </c>
      <c r="B30" s="205" t="s">
        <v>269</v>
      </c>
      <c r="C30" s="205" t="s">
        <v>269</v>
      </c>
      <c r="D30" s="205" t="s">
        <v>269</v>
      </c>
      <c r="E30" s="205" t="s">
        <v>269</v>
      </c>
      <c r="F30" s="205" t="s">
        <v>269</v>
      </c>
      <c r="G30" s="205" t="s">
        <v>269</v>
      </c>
      <c r="H30" s="205" t="s">
        <v>269</v>
      </c>
      <c r="I30" s="205" t="s">
        <v>269</v>
      </c>
      <c r="J30" s="205" t="s">
        <v>269</v>
      </c>
    </row>
    <row r="31" spans="1:10" x14ac:dyDescent="0.25">
      <c r="A31" s="204" t="s">
        <v>290</v>
      </c>
      <c r="B31" s="205" t="s">
        <v>269</v>
      </c>
      <c r="C31" s="205" t="s">
        <v>269</v>
      </c>
      <c r="D31" s="205" t="s">
        <v>269</v>
      </c>
      <c r="E31" s="205" t="s">
        <v>269</v>
      </c>
      <c r="F31" s="205" t="s">
        <v>269</v>
      </c>
      <c r="G31" s="205" t="s">
        <v>269</v>
      </c>
      <c r="H31" s="205" t="s">
        <v>269</v>
      </c>
      <c r="I31" s="205" t="s">
        <v>269</v>
      </c>
      <c r="J31" s="205" t="s">
        <v>269</v>
      </c>
    </row>
    <row r="32" spans="1:10" x14ac:dyDescent="0.25">
      <c r="A32" s="204" t="s">
        <v>291</v>
      </c>
      <c r="B32" s="205" t="s">
        <v>269</v>
      </c>
      <c r="C32" s="205" t="s">
        <v>269</v>
      </c>
      <c r="D32" s="205" t="s">
        <v>269</v>
      </c>
      <c r="E32" s="205" t="s">
        <v>269</v>
      </c>
      <c r="F32" s="205" t="s">
        <v>269</v>
      </c>
      <c r="G32" s="205" t="s">
        <v>269</v>
      </c>
      <c r="H32" s="205" t="s">
        <v>269</v>
      </c>
      <c r="I32" s="205" t="s">
        <v>269</v>
      </c>
      <c r="J32" s="205" t="s">
        <v>269</v>
      </c>
    </row>
    <row r="33" spans="1:10" x14ac:dyDescent="0.25">
      <c r="A33" s="204" t="s">
        <v>292</v>
      </c>
      <c r="B33" s="205" t="s">
        <v>269</v>
      </c>
      <c r="C33" s="205" t="s">
        <v>269</v>
      </c>
      <c r="D33" s="205" t="s">
        <v>269</v>
      </c>
      <c r="E33" s="205" t="s">
        <v>269</v>
      </c>
      <c r="F33" s="205" t="s">
        <v>269</v>
      </c>
      <c r="G33" s="205" t="s">
        <v>269</v>
      </c>
      <c r="H33" s="205" t="s">
        <v>269</v>
      </c>
      <c r="I33" s="205" t="s">
        <v>269</v>
      </c>
      <c r="J33" s="205" t="s">
        <v>269</v>
      </c>
    </row>
    <row r="34" spans="1:10" x14ac:dyDescent="0.25">
      <c r="A34" s="204" t="s">
        <v>293</v>
      </c>
      <c r="B34" s="205" t="s">
        <v>269</v>
      </c>
      <c r="C34" s="205" t="s">
        <v>269</v>
      </c>
      <c r="D34" s="205" t="s">
        <v>269</v>
      </c>
      <c r="E34" s="205" t="s">
        <v>269</v>
      </c>
      <c r="F34" s="205" t="s">
        <v>269</v>
      </c>
      <c r="G34" s="205" t="s">
        <v>269</v>
      </c>
      <c r="H34" s="205" t="s">
        <v>269</v>
      </c>
      <c r="I34" s="205" t="s">
        <v>269</v>
      </c>
      <c r="J34" s="205" t="s">
        <v>269</v>
      </c>
    </row>
    <row r="35" spans="1:10" x14ac:dyDescent="0.25">
      <c r="A35" s="204" t="s">
        <v>294</v>
      </c>
      <c r="B35" s="205" t="s">
        <v>269</v>
      </c>
      <c r="C35" s="205" t="s">
        <v>269</v>
      </c>
      <c r="D35" s="205" t="s">
        <v>269</v>
      </c>
      <c r="E35" s="205" t="s">
        <v>269</v>
      </c>
      <c r="F35" s="205" t="s">
        <v>269</v>
      </c>
      <c r="G35" s="205" t="s">
        <v>269</v>
      </c>
      <c r="H35" s="205" t="s">
        <v>269</v>
      </c>
      <c r="I35" s="205" t="s">
        <v>269</v>
      </c>
      <c r="J35" s="205" t="s">
        <v>269</v>
      </c>
    </row>
    <row r="36" spans="1:10" x14ac:dyDescent="0.25">
      <c r="A36" s="204" t="s">
        <v>295</v>
      </c>
      <c r="B36" s="205" t="s">
        <v>269</v>
      </c>
      <c r="C36" s="205" t="s">
        <v>269</v>
      </c>
      <c r="D36" s="205" t="s">
        <v>269</v>
      </c>
      <c r="E36" s="205" t="s">
        <v>269</v>
      </c>
      <c r="F36" s="205" t="s">
        <v>269</v>
      </c>
      <c r="G36" s="205" t="s">
        <v>269</v>
      </c>
      <c r="H36" s="205" t="s">
        <v>269</v>
      </c>
      <c r="I36" s="205" t="s">
        <v>269</v>
      </c>
      <c r="J36" s="205" t="s">
        <v>269</v>
      </c>
    </row>
    <row r="37" spans="1:10" x14ac:dyDescent="0.25">
      <c r="A37" s="204" t="s">
        <v>296</v>
      </c>
      <c r="B37" s="205" t="s">
        <v>269</v>
      </c>
      <c r="C37" s="205" t="s">
        <v>269</v>
      </c>
      <c r="D37" s="205" t="s">
        <v>269</v>
      </c>
      <c r="E37" s="205" t="s">
        <v>269</v>
      </c>
      <c r="F37" s="205" t="s">
        <v>269</v>
      </c>
      <c r="G37" s="205" t="s">
        <v>269</v>
      </c>
      <c r="H37" s="205" t="s">
        <v>269</v>
      </c>
      <c r="I37" s="205" t="s">
        <v>269</v>
      </c>
      <c r="J37" s="205" t="s">
        <v>269</v>
      </c>
    </row>
    <row r="38" spans="1:10" x14ac:dyDescent="0.25">
      <c r="A38" s="204" t="s">
        <v>297</v>
      </c>
      <c r="B38" s="205" t="s">
        <v>269</v>
      </c>
      <c r="C38" s="205" t="s">
        <v>269</v>
      </c>
      <c r="D38" s="205" t="s">
        <v>269</v>
      </c>
      <c r="E38" s="205" t="s">
        <v>269</v>
      </c>
      <c r="F38" s="205" t="s">
        <v>269</v>
      </c>
      <c r="G38" s="205" t="s">
        <v>269</v>
      </c>
      <c r="H38" s="205" t="s">
        <v>269</v>
      </c>
      <c r="I38" s="205" t="s">
        <v>269</v>
      </c>
      <c r="J38" s="205" t="s">
        <v>269</v>
      </c>
    </row>
    <row r="39" spans="1:10" x14ac:dyDescent="0.25">
      <c r="A39" s="204" t="s">
        <v>298</v>
      </c>
      <c r="B39" s="205" t="s">
        <v>269</v>
      </c>
      <c r="C39" s="205" t="s">
        <v>269</v>
      </c>
      <c r="D39" s="205" t="s">
        <v>269</v>
      </c>
      <c r="E39" s="205" t="s">
        <v>269</v>
      </c>
      <c r="F39" s="205" t="s">
        <v>269</v>
      </c>
      <c r="G39" s="205" t="s">
        <v>269</v>
      </c>
      <c r="H39" s="205" t="s">
        <v>269</v>
      </c>
      <c r="I39" s="205" t="s">
        <v>269</v>
      </c>
      <c r="J39" s="205" t="s">
        <v>269</v>
      </c>
    </row>
    <row r="40" spans="1:10" x14ac:dyDescent="0.25">
      <c r="A40" s="204" t="s">
        <v>299</v>
      </c>
      <c r="B40" s="205">
        <v>1950000</v>
      </c>
      <c r="C40" s="205">
        <v>5999000</v>
      </c>
      <c r="D40" s="205">
        <v>63500</v>
      </c>
      <c r="E40" s="205">
        <v>4357000</v>
      </c>
      <c r="F40" s="205">
        <v>909000</v>
      </c>
      <c r="G40" s="205">
        <v>374000</v>
      </c>
      <c r="H40" s="205">
        <v>5732000</v>
      </c>
      <c r="I40" s="205">
        <v>2454000</v>
      </c>
      <c r="J40" s="205">
        <v>1111000</v>
      </c>
    </row>
    <row r="41" spans="1:10" x14ac:dyDescent="0.25">
      <c r="A41" s="204" t="s">
        <v>300</v>
      </c>
      <c r="B41" s="205">
        <v>1850000</v>
      </c>
      <c r="C41" s="205">
        <v>6054000</v>
      </c>
      <c r="D41" s="205">
        <v>56000</v>
      </c>
      <c r="E41" s="205">
        <v>4166000</v>
      </c>
      <c r="F41" s="205">
        <v>873000</v>
      </c>
      <c r="G41" s="205">
        <v>366000</v>
      </c>
      <c r="H41" s="205">
        <v>5795000</v>
      </c>
      <c r="I41" s="205">
        <v>2522000</v>
      </c>
      <c r="J41" s="205">
        <v>1168000</v>
      </c>
    </row>
    <row r="42" spans="1:10" x14ac:dyDescent="0.25">
      <c r="A42" s="204" t="s">
        <v>301</v>
      </c>
      <c r="B42" s="205">
        <v>1823000</v>
      </c>
      <c r="C42" s="205">
        <v>6443592</v>
      </c>
      <c r="D42" s="205">
        <v>52000</v>
      </c>
      <c r="E42" s="205">
        <v>3425000</v>
      </c>
      <c r="F42" s="205">
        <v>1028818</v>
      </c>
      <c r="G42" s="205">
        <v>375624</v>
      </c>
      <c r="H42" s="205">
        <v>6040000</v>
      </c>
      <c r="I42" s="205">
        <v>2970210</v>
      </c>
      <c r="J42" s="205">
        <v>1239316</v>
      </c>
    </row>
    <row r="43" spans="1:10" x14ac:dyDescent="0.25">
      <c r="A43" s="204" t="s">
        <v>302</v>
      </c>
      <c r="B43" s="205">
        <v>1700000</v>
      </c>
      <c r="C43" s="205">
        <v>5975266</v>
      </c>
      <c r="D43" s="205">
        <v>91000</v>
      </c>
      <c r="E43" s="205">
        <v>3420000</v>
      </c>
      <c r="F43" s="205">
        <v>917259</v>
      </c>
      <c r="G43" s="205">
        <v>585334</v>
      </c>
      <c r="H43" s="205">
        <v>6019000</v>
      </c>
      <c r="I43" s="205">
        <v>2989166</v>
      </c>
      <c r="J43" s="205">
        <v>1455052</v>
      </c>
    </row>
    <row r="44" spans="1:10" x14ac:dyDescent="0.25">
      <c r="A44" s="204" t="s">
        <v>303</v>
      </c>
      <c r="B44" s="205">
        <v>1808000</v>
      </c>
      <c r="C44" s="205">
        <v>6578000</v>
      </c>
      <c r="D44" s="205">
        <v>109000</v>
      </c>
      <c r="E44" s="205">
        <v>3351000</v>
      </c>
      <c r="F44" s="205">
        <v>971000</v>
      </c>
      <c r="G44" s="205">
        <v>679000</v>
      </c>
      <c r="H44" s="205">
        <v>6705000</v>
      </c>
      <c r="I44" s="205">
        <v>3495000</v>
      </c>
      <c r="J44" s="205">
        <v>1639000</v>
      </c>
    </row>
    <row r="45" spans="1:10" x14ac:dyDescent="0.25">
      <c r="A45" s="204" t="s">
        <v>304</v>
      </c>
      <c r="B45" s="205">
        <v>1850000</v>
      </c>
      <c r="C45" s="205">
        <v>6406000</v>
      </c>
      <c r="D45" s="205">
        <v>130000</v>
      </c>
      <c r="E45" s="205">
        <v>4183000</v>
      </c>
      <c r="F45" s="205">
        <v>1128000</v>
      </c>
      <c r="G45" s="205">
        <v>611000</v>
      </c>
      <c r="H45" s="205">
        <v>6810000</v>
      </c>
      <c r="I45" s="205">
        <v>3218000</v>
      </c>
      <c r="J45" s="205">
        <v>1707000</v>
      </c>
    </row>
    <row r="46" spans="1:10" x14ac:dyDescent="0.25">
      <c r="A46" s="204" t="s">
        <v>305</v>
      </c>
      <c r="B46" s="205">
        <v>1650000</v>
      </c>
      <c r="C46" s="205">
        <v>5527000</v>
      </c>
      <c r="D46" s="205">
        <v>99000</v>
      </c>
      <c r="E46" s="205">
        <v>3907000</v>
      </c>
      <c r="F46" s="205">
        <v>1106000</v>
      </c>
      <c r="G46" s="205">
        <v>660000</v>
      </c>
      <c r="H46" s="205">
        <v>6954000</v>
      </c>
      <c r="I46" s="205">
        <v>3023000</v>
      </c>
      <c r="J46" s="205">
        <v>1790000</v>
      </c>
    </row>
    <row r="47" spans="1:10" x14ac:dyDescent="0.25">
      <c r="A47" s="204" t="s">
        <v>306</v>
      </c>
      <c r="B47" s="205">
        <v>1751000</v>
      </c>
      <c r="C47" s="205">
        <v>6905000</v>
      </c>
      <c r="D47" s="205">
        <v>140000</v>
      </c>
      <c r="E47" s="205">
        <v>4364000</v>
      </c>
      <c r="F47" s="205">
        <v>1409000</v>
      </c>
      <c r="G47" s="205">
        <v>880000</v>
      </c>
      <c r="H47" s="205">
        <v>8032000</v>
      </c>
      <c r="I47" s="205">
        <v>3564000</v>
      </c>
      <c r="J47" s="205">
        <v>2007000</v>
      </c>
    </row>
    <row r="48" spans="1:10" x14ac:dyDescent="0.25">
      <c r="A48" s="204" t="s">
        <v>307</v>
      </c>
      <c r="B48" s="205">
        <v>1600000</v>
      </c>
      <c r="C48" s="205">
        <v>7295000</v>
      </c>
      <c r="D48" s="205">
        <v>174000</v>
      </c>
      <c r="E48" s="205">
        <v>5320000</v>
      </c>
      <c r="F48" s="205">
        <v>1539000</v>
      </c>
      <c r="G48" s="205">
        <v>851000</v>
      </c>
      <c r="H48" s="205">
        <v>8253900</v>
      </c>
      <c r="I48" s="205">
        <v>3386000</v>
      </c>
      <c r="J48" s="205">
        <v>2047000</v>
      </c>
    </row>
    <row r="49" spans="1:10" x14ac:dyDescent="0.25">
      <c r="A49" s="204" t="s">
        <v>308</v>
      </c>
      <c r="B49" s="205">
        <v>1630000</v>
      </c>
      <c r="C49" s="205">
        <v>7605000</v>
      </c>
      <c r="D49" s="205">
        <v>212000</v>
      </c>
      <c r="E49" s="205">
        <v>5230000</v>
      </c>
      <c r="F49" s="205">
        <v>1447000</v>
      </c>
      <c r="G49" s="205">
        <v>875000</v>
      </c>
      <c r="H49" s="205">
        <v>8568000</v>
      </c>
      <c r="I49" s="205">
        <v>4028000</v>
      </c>
      <c r="J49" s="205">
        <v>2057000</v>
      </c>
    </row>
    <row r="50" spans="1:10" x14ac:dyDescent="0.25">
      <c r="A50" s="204" t="s">
        <v>309</v>
      </c>
      <c r="B50" s="205">
        <v>1630000</v>
      </c>
      <c r="C50" s="205">
        <v>8380000</v>
      </c>
      <c r="D50" s="205">
        <v>208000</v>
      </c>
      <c r="E50" s="205">
        <v>5425000</v>
      </c>
      <c r="F50" s="205">
        <v>1729000</v>
      </c>
      <c r="G50" s="205">
        <v>1121000</v>
      </c>
      <c r="H50" s="205">
        <v>9129317</v>
      </c>
      <c r="I50" s="205">
        <v>4385000</v>
      </c>
      <c r="J50" s="205">
        <v>2241000</v>
      </c>
    </row>
    <row r="51" spans="1:10" x14ac:dyDescent="0.25">
      <c r="A51" s="204" t="s">
        <v>310</v>
      </c>
      <c r="B51" s="205">
        <v>1600000</v>
      </c>
      <c r="C51" s="205">
        <v>7785000</v>
      </c>
      <c r="D51" s="205">
        <v>197000</v>
      </c>
      <c r="E51" s="205">
        <v>5468000</v>
      </c>
      <c r="F51" s="205">
        <v>1773000</v>
      </c>
      <c r="G51" s="205">
        <v>991000</v>
      </c>
      <c r="H51" s="205">
        <v>8926000</v>
      </c>
      <c r="I51" s="205">
        <v>4157000</v>
      </c>
      <c r="J51" s="205">
        <v>2099999</v>
      </c>
    </row>
    <row r="52" spans="1:10" x14ac:dyDescent="0.25">
      <c r="A52" s="204" t="s">
        <v>311</v>
      </c>
      <c r="B52" s="205">
        <v>1605000</v>
      </c>
      <c r="C52" s="205">
        <v>7935707</v>
      </c>
      <c r="D52" s="205">
        <v>195553</v>
      </c>
      <c r="E52" s="205">
        <v>5590000</v>
      </c>
      <c r="F52" s="205">
        <v>2122789</v>
      </c>
      <c r="G52" s="205">
        <v>1405165</v>
      </c>
      <c r="H52" s="205">
        <v>9317261</v>
      </c>
      <c r="I52" s="205">
        <v>4663736</v>
      </c>
      <c r="J52" s="205">
        <v>2345001</v>
      </c>
    </row>
    <row r="53" spans="1:10" x14ac:dyDescent="0.25">
      <c r="A53" s="204" t="s">
        <v>312</v>
      </c>
      <c r="B53" s="205">
        <v>1590000</v>
      </c>
      <c r="C53" s="205">
        <v>7424095</v>
      </c>
      <c r="D53" s="205">
        <v>150937</v>
      </c>
      <c r="E53" s="205">
        <v>5321000</v>
      </c>
      <c r="F53" s="205">
        <v>2035203</v>
      </c>
      <c r="G53" s="205">
        <v>995800</v>
      </c>
      <c r="H53" s="205">
        <v>9491000</v>
      </c>
      <c r="I53" s="205">
        <v>4677297</v>
      </c>
      <c r="J53" s="205">
        <v>2369113</v>
      </c>
    </row>
    <row r="54" spans="1:10" x14ac:dyDescent="0.25">
      <c r="A54" s="204" t="s">
        <v>313</v>
      </c>
      <c r="B54" s="205">
        <v>1580000</v>
      </c>
      <c r="C54" s="205">
        <v>7660755</v>
      </c>
      <c r="D54" s="205">
        <v>156884</v>
      </c>
      <c r="E54" s="205">
        <v>5666000</v>
      </c>
      <c r="F54" s="205">
        <v>2161165</v>
      </c>
      <c r="G54" s="205">
        <v>1130391</v>
      </c>
      <c r="H54" s="205">
        <v>9667000</v>
      </c>
      <c r="I54" s="205">
        <v>4893375</v>
      </c>
      <c r="J54" s="205">
        <v>2673632</v>
      </c>
    </row>
    <row r="55" spans="1:10" x14ac:dyDescent="0.25">
      <c r="A55" s="204" t="s">
        <v>314</v>
      </c>
      <c r="B55" s="205">
        <v>1590000</v>
      </c>
      <c r="C55" s="205">
        <v>7727326</v>
      </c>
      <c r="D55" s="205">
        <v>160898</v>
      </c>
      <c r="E55" s="205">
        <v>5541000</v>
      </c>
      <c r="F55" s="205">
        <v>2092147</v>
      </c>
      <c r="G55" s="205">
        <v>872409</v>
      </c>
      <c r="H55" s="205">
        <v>9999371</v>
      </c>
      <c r="I55" s="205">
        <v>4382798</v>
      </c>
      <c r="J55" s="205">
        <v>2749816</v>
      </c>
    </row>
    <row r="56" spans="1:10" x14ac:dyDescent="0.25">
      <c r="A56" s="204" t="s">
        <v>315</v>
      </c>
      <c r="B56" s="205">
        <v>1748000</v>
      </c>
      <c r="C56" s="205">
        <v>7862757</v>
      </c>
      <c r="D56" s="205">
        <v>168608</v>
      </c>
      <c r="E56" s="205">
        <v>5740000</v>
      </c>
      <c r="F56" s="205">
        <v>2000501</v>
      </c>
      <c r="G56" s="205">
        <v>1129191</v>
      </c>
      <c r="H56" s="205">
        <v>10008360</v>
      </c>
      <c r="I56" s="205">
        <v>5176460</v>
      </c>
      <c r="J56" s="205">
        <v>3491234</v>
      </c>
    </row>
    <row r="57" spans="1:10" x14ac:dyDescent="0.25">
      <c r="A57" s="204" t="s">
        <v>316</v>
      </c>
      <c r="B57" s="205">
        <v>1700000</v>
      </c>
      <c r="C57" s="205">
        <v>8031000</v>
      </c>
      <c r="D57" s="205">
        <v>435120</v>
      </c>
      <c r="E57" s="205">
        <v>5701000</v>
      </c>
      <c r="F57" s="205">
        <v>2945000</v>
      </c>
      <c r="G57" s="205">
        <v>1523817</v>
      </c>
      <c r="H57" s="205">
        <v>10112031</v>
      </c>
      <c r="I57" s="205">
        <v>5315970</v>
      </c>
      <c r="J57" s="205">
        <v>3514132</v>
      </c>
    </row>
    <row r="58" spans="1:10" x14ac:dyDescent="0.25">
      <c r="A58" s="204" t="s">
        <v>317</v>
      </c>
      <c r="B58" s="205">
        <v>1384000</v>
      </c>
      <c r="C58" s="205">
        <v>6733000</v>
      </c>
      <c r="D58" s="205">
        <v>242951</v>
      </c>
      <c r="E58" s="205">
        <v>5136000</v>
      </c>
      <c r="F58" s="205">
        <v>2287000</v>
      </c>
      <c r="G58" s="205">
        <v>997299</v>
      </c>
      <c r="H58" s="205">
        <v>9467019</v>
      </c>
      <c r="I58" s="205">
        <v>5048056</v>
      </c>
      <c r="J58" s="205">
        <v>3388824</v>
      </c>
    </row>
    <row r="59" spans="1:10" x14ac:dyDescent="0.25">
      <c r="A59" s="204" t="s">
        <v>318</v>
      </c>
      <c r="B59" s="205">
        <v>1220000</v>
      </c>
      <c r="C59" s="205">
        <v>5567000</v>
      </c>
      <c r="D59" s="205">
        <v>194361</v>
      </c>
      <c r="E59" s="205">
        <v>4154000</v>
      </c>
      <c r="F59" s="205">
        <v>1924000</v>
      </c>
      <c r="G59" s="205">
        <v>797839</v>
      </c>
      <c r="H59" s="205">
        <v>8404170</v>
      </c>
      <c r="I59" s="205">
        <v>4605461</v>
      </c>
      <c r="J59" s="205">
        <v>3150278</v>
      </c>
    </row>
    <row r="60" spans="1:10" x14ac:dyDescent="0.25">
      <c r="A60" s="204" t="s">
        <v>319</v>
      </c>
      <c r="B60" s="205">
        <v>1200000</v>
      </c>
      <c r="C60" s="205">
        <v>6134000</v>
      </c>
      <c r="D60" s="205">
        <v>264000</v>
      </c>
      <c r="E60" s="205">
        <v>4443000</v>
      </c>
      <c r="F60" s="205">
        <v>2437000</v>
      </c>
      <c r="G60" s="205">
        <v>1076200</v>
      </c>
      <c r="H60" s="205">
        <v>9086755</v>
      </c>
      <c r="I60" s="205">
        <v>5122277</v>
      </c>
      <c r="J60" s="205">
        <v>3069812</v>
      </c>
    </row>
    <row r="61" spans="1:10" x14ac:dyDescent="0.25">
      <c r="A61" s="204" t="s">
        <v>320</v>
      </c>
      <c r="B61" s="205">
        <v>1250000</v>
      </c>
      <c r="C61" s="205">
        <v>5981000</v>
      </c>
      <c r="D61" s="205">
        <v>249000</v>
      </c>
      <c r="E61" s="205">
        <v>4361000</v>
      </c>
      <c r="F61" s="205">
        <v>2361080</v>
      </c>
      <c r="G61" s="205">
        <v>1100821</v>
      </c>
      <c r="H61" s="205">
        <v>9130256</v>
      </c>
      <c r="I61" s="205">
        <v>4996060</v>
      </c>
      <c r="J61" s="205">
        <v>3046214</v>
      </c>
    </row>
    <row r="62" spans="1:10" x14ac:dyDescent="0.25">
      <c r="A62" s="204" t="s">
        <v>321</v>
      </c>
      <c r="B62" s="205">
        <v>1370000</v>
      </c>
      <c r="C62" s="205">
        <v>4891000</v>
      </c>
      <c r="D62" s="205">
        <v>272994</v>
      </c>
      <c r="E62" s="205">
        <v>3872050</v>
      </c>
      <c r="F62" s="205">
        <v>2211817</v>
      </c>
      <c r="G62" s="205">
        <v>1030081</v>
      </c>
      <c r="H62" s="205">
        <v>8587595</v>
      </c>
      <c r="I62" s="205">
        <v>4774443</v>
      </c>
      <c r="J62" s="205">
        <v>3151963</v>
      </c>
    </row>
    <row r="63" spans="1:10" x14ac:dyDescent="0.25">
      <c r="A63" s="204" t="s">
        <v>322</v>
      </c>
      <c r="B63" s="205">
        <v>1360000</v>
      </c>
      <c r="C63" s="205">
        <v>4653702</v>
      </c>
      <c r="D63" s="205">
        <v>260988</v>
      </c>
      <c r="E63" s="205">
        <v>3489059</v>
      </c>
      <c r="F63" s="205">
        <v>2382741</v>
      </c>
      <c r="G63" s="205">
        <v>991189</v>
      </c>
      <c r="H63" s="205">
        <v>8652142</v>
      </c>
      <c r="I63" s="205">
        <v>4694665</v>
      </c>
      <c r="J63" s="205">
        <v>3260960</v>
      </c>
    </row>
    <row r="64" spans="1:10" x14ac:dyDescent="0.25">
      <c r="A64" s="204" t="s">
        <v>323</v>
      </c>
      <c r="B64" s="205">
        <v>1430000</v>
      </c>
      <c r="C64" s="205">
        <v>4658430</v>
      </c>
      <c r="D64" s="205">
        <v>324910</v>
      </c>
      <c r="E64" s="205">
        <v>3583770</v>
      </c>
      <c r="F64" s="205">
        <v>2759933</v>
      </c>
      <c r="G64" s="205">
        <v>882428</v>
      </c>
      <c r="H64" s="205">
        <v>8648460</v>
      </c>
      <c r="I64" s="205">
        <v>4823626</v>
      </c>
      <c r="J64" s="205">
        <v>3342105</v>
      </c>
    </row>
    <row r="65" spans="1:16" x14ac:dyDescent="0.25">
      <c r="A65" s="204" t="s">
        <v>324</v>
      </c>
      <c r="B65" s="205">
        <v>1470000</v>
      </c>
      <c r="C65" s="205">
        <v>4651351</v>
      </c>
      <c r="D65" s="205">
        <v>323936</v>
      </c>
      <c r="E65" s="205">
        <v>3641000</v>
      </c>
      <c r="F65" s="205">
        <v>2682130</v>
      </c>
      <c r="G65" s="205">
        <v>891521</v>
      </c>
      <c r="H65" s="205">
        <v>8840350</v>
      </c>
      <c r="I65" s="205">
        <v>4952569</v>
      </c>
      <c r="J65" s="205">
        <v>3398101</v>
      </c>
    </row>
    <row r="66" spans="1:16" x14ac:dyDescent="0.25">
      <c r="A66" s="204" t="s">
        <v>325</v>
      </c>
      <c r="B66" s="205">
        <v>1500000</v>
      </c>
      <c r="C66" s="205">
        <v>4737697</v>
      </c>
      <c r="D66" s="205">
        <v>353146</v>
      </c>
      <c r="E66" s="205">
        <v>4017000</v>
      </c>
      <c r="F66" s="205">
        <v>2580191</v>
      </c>
      <c r="G66" s="205">
        <v>863218</v>
      </c>
      <c r="H66" s="205">
        <v>8888000</v>
      </c>
      <c r="I66" s="205">
        <v>5044559</v>
      </c>
      <c r="J66" s="205">
        <v>3386801</v>
      </c>
    </row>
    <row r="67" spans="1:16" x14ac:dyDescent="0.25">
      <c r="A67" s="204" t="s">
        <v>326</v>
      </c>
      <c r="B67" s="205">
        <v>1520000</v>
      </c>
      <c r="C67" s="205">
        <v>4914826</v>
      </c>
      <c r="D67" s="205">
        <v>415721</v>
      </c>
      <c r="E67" s="205">
        <v>4087000</v>
      </c>
      <c r="F67" s="205">
        <v>2648900</v>
      </c>
      <c r="G67" s="205">
        <v>1115774</v>
      </c>
      <c r="H67" s="205">
        <v>8888000</v>
      </c>
      <c r="I67" s="205">
        <v>5182656</v>
      </c>
      <c r="J67" s="205">
        <v>3502830</v>
      </c>
    </row>
    <row r="68" spans="1:16" x14ac:dyDescent="0.25">
      <c r="A68" s="206" t="s">
        <v>327</v>
      </c>
      <c r="B68" s="197"/>
      <c r="C68" s="197"/>
      <c r="D68" s="197"/>
      <c r="E68" s="197"/>
      <c r="F68" s="197"/>
      <c r="G68" s="197"/>
      <c r="H68" s="197"/>
      <c r="I68" s="197"/>
      <c r="J68" s="197"/>
      <c r="K68" s="197"/>
      <c r="L68" s="197"/>
      <c r="M68" s="197"/>
      <c r="N68" s="197"/>
      <c r="O68" s="197"/>
      <c r="P68" s="197"/>
    </row>
    <row r="69" spans="1:16" ht="14.4" x14ac:dyDescent="0.25">
      <c r="A69" s="1189" t="s">
        <v>328</v>
      </c>
      <c r="B69" s="1189"/>
      <c r="C69" s="1189"/>
      <c r="D69" s="1189"/>
      <c r="E69" s="1189"/>
      <c r="F69" s="1189"/>
      <c r="G69" s="1189"/>
      <c r="H69" s="1189"/>
      <c r="I69" s="1189"/>
      <c r="J69" s="1189"/>
      <c r="K69" s="197"/>
      <c r="L69" s="197"/>
      <c r="M69" s="197"/>
      <c r="N69" s="197"/>
      <c r="O69" s="197"/>
      <c r="P69" s="197"/>
    </row>
    <row r="70" spans="1:16" ht="14.4" x14ac:dyDescent="0.25">
      <c r="A70" s="1189" t="s">
        <v>329</v>
      </c>
      <c r="B70" s="1189"/>
      <c r="C70" s="1189"/>
      <c r="D70" s="1189"/>
      <c r="E70" s="1189"/>
      <c r="F70" s="1189"/>
      <c r="G70" s="1189"/>
      <c r="H70" s="1189"/>
      <c r="I70" s="1189"/>
      <c r="J70" s="1189"/>
      <c r="K70" s="197"/>
      <c r="L70" s="197"/>
      <c r="M70" s="197"/>
      <c r="N70" s="197"/>
      <c r="O70" s="197"/>
      <c r="P70" s="197"/>
    </row>
    <row r="71" spans="1:16" ht="14.4" x14ac:dyDescent="0.25">
      <c r="A71" s="1189" t="s">
        <v>330</v>
      </c>
      <c r="B71" s="1189"/>
      <c r="C71" s="1189"/>
      <c r="D71" s="1189"/>
      <c r="E71" s="1189"/>
      <c r="F71" s="1189"/>
      <c r="G71" s="1189"/>
      <c r="H71" s="1189"/>
      <c r="I71" s="1189"/>
      <c r="J71" s="1189"/>
      <c r="K71" s="197"/>
      <c r="L71" s="197"/>
      <c r="M71" s="197"/>
      <c r="N71" s="197"/>
      <c r="O71" s="197"/>
      <c r="P71" s="197"/>
    </row>
    <row r="72" spans="1:16" x14ac:dyDescent="0.25">
      <c r="A72" s="1193" t="s">
        <v>331</v>
      </c>
      <c r="B72" s="1193"/>
      <c r="C72" s="1193"/>
      <c r="D72" s="1193"/>
      <c r="E72" s="1193"/>
      <c r="F72" s="1193"/>
      <c r="G72" s="1193"/>
      <c r="H72" s="1193"/>
      <c r="I72" s="1193"/>
      <c r="J72" s="1193"/>
      <c r="K72" s="197"/>
      <c r="L72" s="197"/>
      <c r="M72" s="197"/>
      <c r="N72" s="197"/>
      <c r="O72" s="197"/>
      <c r="P72" s="197"/>
    </row>
    <row r="73" spans="1:16" x14ac:dyDescent="0.25">
      <c r="A73" s="207"/>
      <c r="B73" s="207"/>
      <c r="C73" s="207"/>
      <c r="D73" s="207"/>
      <c r="E73" s="207"/>
      <c r="F73" s="207"/>
      <c r="G73" s="207"/>
      <c r="H73" s="207"/>
      <c r="I73" s="207"/>
      <c r="J73" s="207"/>
      <c r="K73" s="197"/>
      <c r="L73" s="197"/>
      <c r="M73" s="197"/>
      <c r="N73" s="197"/>
      <c r="O73" s="197"/>
      <c r="P73" s="197"/>
    </row>
    <row r="74" spans="1:16" ht="13.2" x14ac:dyDescent="0.25">
      <c r="A74" s="208" t="s">
        <v>332</v>
      </c>
      <c r="B74" s="207"/>
      <c r="C74" s="207"/>
      <c r="D74" s="207"/>
      <c r="E74" s="207"/>
      <c r="F74" s="207"/>
      <c r="G74" s="207"/>
      <c r="H74" s="207"/>
      <c r="I74" s="207"/>
      <c r="J74" s="207"/>
      <c r="K74" s="197"/>
      <c r="L74" s="197"/>
      <c r="M74" s="197"/>
      <c r="N74" s="197"/>
      <c r="O74" s="197"/>
      <c r="P74" s="197"/>
    </row>
    <row r="75" spans="1:16" x14ac:dyDescent="0.25">
      <c r="A75" s="209" t="s">
        <v>333</v>
      </c>
      <c r="B75" s="207"/>
      <c r="C75" s="207"/>
      <c r="D75" s="207"/>
      <c r="E75" s="207"/>
      <c r="F75" s="207"/>
      <c r="G75" s="207"/>
      <c r="H75" s="207"/>
      <c r="I75" s="207"/>
      <c r="J75" s="207"/>
      <c r="K75" s="197"/>
      <c r="L75" s="197"/>
      <c r="M75" s="197"/>
      <c r="N75" s="197"/>
      <c r="O75" s="197"/>
      <c r="P75" s="197"/>
    </row>
    <row r="76" spans="1:16" ht="14.25" customHeight="1" x14ac:dyDescent="0.25">
      <c r="A76" s="210" t="s">
        <v>334</v>
      </c>
      <c r="B76" s="205" t="s">
        <v>269</v>
      </c>
      <c r="C76" s="207"/>
      <c r="D76" s="207"/>
      <c r="E76" s="207"/>
      <c r="F76" s="207"/>
      <c r="G76" s="207"/>
      <c r="H76" s="207"/>
      <c r="I76" s="207"/>
      <c r="J76" s="207"/>
      <c r="K76" s="197"/>
      <c r="L76" s="197"/>
      <c r="M76" s="197"/>
      <c r="N76" s="197"/>
      <c r="O76" s="197"/>
      <c r="P76" s="197"/>
    </row>
    <row r="77" spans="1:16" ht="15.75" customHeight="1" x14ac:dyDescent="0.25">
      <c r="A77" s="211" t="s">
        <v>335</v>
      </c>
      <c r="B77" s="205">
        <v>0.22900000000000001</v>
      </c>
      <c r="C77" s="207"/>
      <c r="D77" s="207"/>
      <c r="E77" s="207"/>
      <c r="F77" s="207"/>
      <c r="G77" s="207"/>
      <c r="H77" s="207"/>
      <c r="I77" s="207"/>
      <c r="J77" s="207"/>
      <c r="K77" s="197"/>
      <c r="L77" s="197"/>
      <c r="M77" s="197"/>
      <c r="N77" s="197"/>
      <c r="O77" s="197"/>
      <c r="P77" s="197"/>
    </row>
    <row r="78" spans="1:16" x14ac:dyDescent="0.25">
      <c r="A78" s="211" t="s">
        <v>260</v>
      </c>
      <c r="B78" s="205">
        <v>0.26900000000000002</v>
      </c>
    </row>
    <row r="79" spans="1:16" ht="11.25" customHeight="1" x14ac:dyDescent="0.25">
      <c r="A79" s="210" t="s">
        <v>336</v>
      </c>
      <c r="B79" s="205">
        <v>0.38600000000000001</v>
      </c>
      <c r="C79" s="207"/>
      <c r="D79" s="207"/>
      <c r="E79" s="207"/>
      <c r="F79" s="207"/>
      <c r="G79" s="207"/>
      <c r="H79" s="207"/>
      <c r="I79" s="207"/>
      <c r="J79" s="207"/>
      <c r="K79" s="197"/>
      <c r="L79" s="197"/>
      <c r="M79" s="197"/>
      <c r="N79" s="197"/>
      <c r="O79" s="197"/>
      <c r="P79" s="197"/>
    </row>
    <row r="80" spans="1:16" x14ac:dyDescent="0.25">
      <c r="A80" s="210" t="s">
        <v>337</v>
      </c>
      <c r="B80" s="205" t="s">
        <v>269</v>
      </c>
      <c r="C80" s="207"/>
      <c r="D80" s="207"/>
      <c r="E80" s="207"/>
      <c r="F80" s="207"/>
      <c r="G80" s="207"/>
      <c r="H80" s="207"/>
      <c r="I80" s="207"/>
      <c r="J80" s="207"/>
      <c r="K80" s="197"/>
      <c r="L80" s="197"/>
      <c r="M80" s="197"/>
      <c r="N80" s="197"/>
      <c r="O80" s="197"/>
      <c r="P80" s="197"/>
    </row>
    <row r="81" spans="1:16" x14ac:dyDescent="0.25">
      <c r="A81" s="197"/>
      <c r="B81" s="207"/>
      <c r="C81" s="207"/>
      <c r="D81" s="207"/>
      <c r="E81" s="207"/>
      <c r="F81" s="207"/>
      <c r="G81" s="207"/>
      <c r="H81" s="207"/>
      <c r="I81" s="207"/>
      <c r="J81" s="207"/>
      <c r="K81" s="197"/>
      <c r="L81" s="197"/>
      <c r="M81" s="197"/>
      <c r="N81" s="197"/>
      <c r="O81" s="197"/>
      <c r="P81" s="197"/>
    </row>
    <row r="82" spans="1:16" ht="14.4" x14ac:dyDescent="0.25">
      <c r="A82" s="1194" t="s">
        <v>338</v>
      </c>
      <c r="B82" s="1194"/>
      <c r="C82" s="1194"/>
      <c r="D82" s="1194"/>
      <c r="E82" s="1194"/>
      <c r="F82" s="1194"/>
      <c r="G82" s="1194"/>
      <c r="H82" s="1194"/>
      <c r="I82" s="1194"/>
      <c r="J82" s="1194"/>
      <c r="K82" s="197"/>
      <c r="L82" s="197"/>
      <c r="M82" s="197"/>
      <c r="N82" s="197"/>
      <c r="O82" s="197"/>
      <c r="P82" s="197"/>
    </row>
    <row r="83" spans="1:16" x14ac:dyDescent="0.25">
      <c r="A83" s="1195" t="s">
        <v>339</v>
      </c>
      <c r="B83" s="1196"/>
      <c r="C83" s="1196"/>
      <c r="D83" s="1196"/>
      <c r="E83" s="1196"/>
      <c r="F83" s="1196"/>
      <c r="G83" s="1196"/>
      <c r="H83" s="1196"/>
      <c r="I83" s="1196"/>
      <c r="J83" s="1197"/>
      <c r="K83" s="197"/>
      <c r="L83" s="197"/>
      <c r="M83" s="197"/>
      <c r="N83" s="197"/>
      <c r="O83" s="197"/>
      <c r="P83" s="197"/>
    </row>
    <row r="84" spans="1:16" x14ac:dyDescent="0.25">
      <c r="A84" s="212" t="s">
        <v>340</v>
      </c>
      <c r="B84" s="1198" t="s">
        <v>269</v>
      </c>
      <c r="C84" s="1199"/>
      <c r="D84" s="1199"/>
      <c r="E84" s="1199"/>
      <c r="F84" s="1199"/>
      <c r="G84" s="1199"/>
      <c r="H84" s="1199"/>
      <c r="I84" s="1199"/>
      <c r="J84" s="1199"/>
    </row>
  </sheetData>
  <sheetProtection password="A754" sheet="1" objects="1" scenarios="1"/>
  <mergeCells count="11">
    <mergeCell ref="A71:J71"/>
    <mergeCell ref="A72:J72"/>
    <mergeCell ref="A82:J82"/>
    <mergeCell ref="A83:J83"/>
    <mergeCell ref="B84:J84"/>
    <mergeCell ref="A70:J70"/>
    <mergeCell ref="A6:A8"/>
    <mergeCell ref="B6:D6"/>
    <mergeCell ref="E6:G6"/>
    <mergeCell ref="H6:J6"/>
    <mergeCell ref="A69:J69"/>
  </mergeCells>
  <pageMargins left="0.75" right="0.75" top="1" bottom="1" header="0.5" footer="0.5"/>
  <pageSetup paperSize="9" scale="48" orientation="landscape" r:id="rId1"/>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87EC6-878C-42D8-9AE0-5CB4B558FB56}">
  <sheetPr>
    <tabColor rgb="FF00B050"/>
  </sheetPr>
  <dimension ref="A1:X112"/>
  <sheetViews>
    <sheetView workbookViewId="0">
      <pane xSplit="2" topLeftCell="C1" activePane="topRight" state="frozen"/>
      <selection activeCell="L42" sqref="L42"/>
      <selection pane="topRight" activeCell="R47" sqref="R47"/>
    </sheetView>
  </sheetViews>
  <sheetFormatPr defaultRowHeight="14.4" x14ac:dyDescent="0.3"/>
  <cols>
    <col min="1" max="1" width="19.88671875" customWidth="1"/>
    <col min="2" max="2" width="18.109375" customWidth="1"/>
    <col min="3" max="3" width="19.5546875" customWidth="1"/>
    <col min="4" max="4" width="18.5546875" customWidth="1"/>
    <col min="5" max="5" width="18.88671875" customWidth="1"/>
    <col min="6" max="7" width="13.33203125" customWidth="1"/>
    <col min="8" max="8" width="11.5546875" customWidth="1"/>
    <col min="9" max="9" width="17.33203125" customWidth="1"/>
    <col min="10" max="10" width="11.88671875" customWidth="1"/>
    <col min="12" max="12" width="12" customWidth="1"/>
    <col min="13" max="13" width="17" customWidth="1"/>
    <col min="14" max="19" width="12" customWidth="1"/>
    <col min="20" max="20" width="10.5546875" customWidth="1"/>
    <col min="21" max="21" width="12.5546875" customWidth="1"/>
    <col min="22" max="22" width="12.109375" customWidth="1"/>
  </cols>
  <sheetData>
    <row r="1" spans="1:11" ht="18" x14ac:dyDescent="0.35">
      <c r="A1" s="51" t="s">
        <v>65</v>
      </c>
    </row>
    <row r="2" spans="1:11" x14ac:dyDescent="0.3">
      <c r="A2" s="19" t="s">
        <v>477</v>
      </c>
    </row>
    <row r="3" spans="1:11" x14ac:dyDescent="0.3">
      <c r="A3" s="19" t="s">
        <v>478</v>
      </c>
    </row>
    <row r="4" spans="1:11" x14ac:dyDescent="0.3">
      <c r="A4" s="19" t="s">
        <v>1224</v>
      </c>
      <c r="D4">
        <v>26.6</v>
      </c>
      <c r="E4" t="s">
        <v>1230</v>
      </c>
    </row>
    <row r="5" spans="1:11" x14ac:dyDescent="0.3">
      <c r="A5" s="19" t="s">
        <v>1225</v>
      </c>
      <c r="D5">
        <v>34.200000000000003</v>
      </c>
      <c r="E5" t="s">
        <v>1230</v>
      </c>
      <c r="F5">
        <f>D5-D4</f>
        <v>7.6000000000000014</v>
      </c>
      <c r="G5" t="s">
        <v>1230</v>
      </c>
    </row>
    <row r="6" spans="1:11" x14ac:dyDescent="0.3">
      <c r="A6" s="19" t="s">
        <v>1226</v>
      </c>
      <c r="D6">
        <v>7</v>
      </c>
      <c r="E6" t="s">
        <v>1227</v>
      </c>
      <c r="F6" s="84">
        <f>D6/D4</f>
        <v>0.26315789473684209</v>
      </c>
      <c r="G6" t="s">
        <v>2346</v>
      </c>
    </row>
    <row r="7" spans="1:11" ht="36" customHeight="1" x14ac:dyDescent="0.3">
      <c r="B7" s="23" t="s">
        <v>69</v>
      </c>
      <c r="C7" t="s">
        <v>71</v>
      </c>
    </row>
    <row r="8" spans="1:11" x14ac:dyDescent="0.3">
      <c r="B8" s="39" t="s">
        <v>66</v>
      </c>
      <c r="C8" t="s">
        <v>78</v>
      </c>
      <c r="D8" t="s">
        <v>77</v>
      </c>
    </row>
    <row r="9" spans="1:11" x14ac:dyDescent="0.3">
      <c r="A9" s="21" t="s">
        <v>67</v>
      </c>
      <c r="B9" s="6">
        <v>0.03</v>
      </c>
      <c r="C9" s="78">
        <f>34200000000/30133800</f>
        <v>1134.9381757362164</v>
      </c>
      <c r="D9" s="78">
        <f>B9*C9</f>
        <v>34.048145272086494</v>
      </c>
    </row>
    <row r="10" spans="1:11" x14ac:dyDescent="0.3">
      <c r="A10" s="32" t="s">
        <v>70</v>
      </c>
      <c r="B10" s="1040">
        <f>F6</f>
        <v>0.26315789473684209</v>
      </c>
      <c r="C10" s="79">
        <f>34200000000/30133800</f>
        <v>1134.9381757362164</v>
      </c>
      <c r="D10" s="79">
        <f>B10*C10</f>
        <v>298.66794098321481</v>
      </c>
      <c r="E10" s="53" t="s">
        <v>1229</v>
      </c>
    </row>
    <row r="11" spans="1:11" x14ac:dyDescent="0.3">
      <c r="A11" s="21" t="s">
        <v>68</v>
      </c>
      <c r="B11" s="6">
        <v>0.71</v>
      </c>
      <c r="C11" s="78">
        <f>34200000000/30133800</f>
        <v>1134.9381757362164</v>
      </c>
      <c r="D11" s="78">
        <f>B11*C11</f>
        <v>805.80610477271364</v>
      </c>
    </row>
    <row r="12" spans="1:11" x14ac:dyDescent="0.3">
      <c r="A12" t="s">
        <v>217</v>
      </c>
    </row>
    <row r="13" spans="1:11" x14ac:dyDescent="0.3">
      <c r="A13" t="s">
        <v>1228</v>
      </c>
    </row>
    <row r="14" spans="1:11" ht="18" x14ac:dyDescent="0.35">
      <c r="A14" s="51" t="s">
        <v>87</v>
      </c>
    </row>
    <row r="15" spans="1:11" ht="18" x14ac:dyDescent="0.35">
      <c r="H15" s="1055" t="s">
        <v>2409</v>
      </c>
      <c r="I15" s="59"/>
      <c r="J15" s="59"/>
      <c r="K15" s="59"/>
    </row>
    <row r="16" spans="1:11" ht="18" x14ac:dyDescent="0.35">
      <c r="A16" s="51" t="s">
        <v>479</v>
      </c>
      <c r="H16" s="1055" t="s">
        <v>2352</v>
      </c>
      <c r="I16" s="59"/>
      <c r="J16" s="59"/>
      <c r="K16" s="59"/>
    </row>
    <row r="17" spans="1:14" ht="15.6" x14ac:dyDescent="0.3">
      <c r="A17" s="175" t="s">
        <v>1510</v>
      </c>
    </row>
    <row r="18" spans="1:14" ht="16.2" thickBot="1" x14ac:dyDescent="0.35">
      <c r="A18" s="175" t="s">
        <v>1512</v>
      </c>
    </row>
    <row r="19" spans="1:14" ht="86.4" x14ac:dyDescent="0.3">
      <c r="A19" s="150" t="s">
        <v>190</v>
      </c>
      <c r="B19" s="463" t="s">
        <v>1513</v>
      </c>
      <c r="C19" s="185" t="s">
        <v>1511</v>
      </c>
      <c r="D19" s="1045" t="s">
        <v>2408</v>
      </c>
      <c r="E19" s="187" t="s">
        <v>229</v>
      </c>
      <c r="F19" s="1005" t="s">
        <v>2353</v>
      </c>
      <c r="G19" s="1005"/>
    </row>
    <row r="20" spans="1:14" x14ac:dyDescent="0.3">
      <c r="A20" s="5"/>
      <c r="B20" s="464" t="s">
        <v>226</v>
      </c>
      <c r="C20" s="186" t="s">
        <v>138</v>
      </c>
      <c r="D20" s="444" t="s">
        <v>228</v>
      </c>
      <c r="E20" s="6" t="s">
        <v>1422</v>
      </c>
      <c r="F20" s="790" t="s">
        <v>1423</v>
      </c>
      <c r="G20" s="433"/>
      <c r="I20" s="59" t="s">
        <v>2354</v>
      </c>
      <c r="J20" s="59"/>
      <c r="K20" s="59"/>
      <c r="L20" s="59"/>
      <c r="M20" s="59"/>
      <c r="N20" s="59"/>
    </row>
    <row r="21" spans="1:14" x14ac:dyDescent="0.3">
      <c r="A21" s="36" t="s">
        <v>187</v>
      </c>
      <c r="B21" s="465">
        <v>37.889000000000003</v>
      </c>
      <c r="C21" s="182">
        <v>37889</v>
      </c>
      <c r="D21" s="306">
        <f>B21*1000000/'tavola corr CORINE3-MAES'!G20</f>
        <v>3288.4904137410276</v>
      </c>
      <c r="E21" s="1044">
        <f>$E$29*B21/$B$29</f>
        <v>0.67488365515802207</v>
      </c>
      <c r="F21" s="1049">
        <f>E21*1000000/'tavola corr CORINE3-MAES'!G20</f>
        <v>58.575006740153107</v>
      </c>
      <c r="G21" s="1047"/>
    </row>
    <row r="22" spans="1:14" ht="28.8" x14ac:dyDescent="0.3">
      <c r="A22" s="414" t="s">
        <v>1156</v>
      </c>
      <c r="B22" s="465">
        <v>31422.452000000001</v>
      </c>
      <c r="C22" s="182">
        <v>31422452</v>
      </c>
      <c r="D22" s="306">
        <f>B22*1000000/'tavola corr CORINE3-MAES'!G5</f>
        <v>2048.2780258183143</v>
      </c>
      <c r="E22" s="1044">
        <f t="shared" ref="E22:E28" si="0">$E$29*B22/$B$29</f>
        <v>559.70068515367257</v>
      </c>
      <c r="F22" s="1049">
        <f>E22*1000000/'tavola corr CORINE3-MAES'!G5</f>
        <v>36.484186989472441</v>
      </c>
      <c r="G22" s="1047"/>
    </row>
    <row r="23" spans="1:14" x14ac:dyDescent="0.3">
      <c r="A23" s="36" t="s">
        <v>1234</v>
      </c>
      <c r="B23" s="465">
        <v>9543.56</v>
      </c>
      <c r="C23" s="182">
        <v>9543560</v>
      </c>
      <c r="D23" s="306">
        <f>B23*1000000/'tavola corr CORINE3-MAES'!G6</f>
        <v>7795.8199027704068</v>
      </c>
      <c r="E23" s="1044">
        <f t="shared" si="0"/>
        <v>169.99109651930357</v>
      </c>
      <c r="F23" s="1049">
        <f>E23*1000000/'tavola corr CORINE3-MAES'!G6</f>
        <v>138.86012908589163</v>
      </c>
      <c r="G23" s="1047"/>
      <c r="I23" s="183" t="s">
        <v>2355</v>
      </c>
      <c r="J23" s="183"/>
    </row>
    <row r="24" spans="1:14" x14ac:dyDescent="0.3">
      <c r="A24" s="36" t="s">
        <v>1141</v>
      </c>
      <c r="B24" s="465">
        <v>7655.2939999999999</v>
      </c>
      <c r="C24" s="182">
        <v>7655294</v>
      </c>
      <c r="D24" s="306">
        <f>B24*1000000/'tavola corr CORINE3-MAES'!G8</f>
        <v>6452.8240147579263</v>
      </c>
      <c r="E24" s="1044">
        <f t="shared" si="0"/>
        <v>136.35706395073174</v>
      </c>
      <c r="F24" s="1049">
        <f>E24*1000000/'tavola corr CORINE3-MAES'!G8</f>
        <v>114.93851664523456</v>
      </c>
      <c r="G24" s="1047"/>
      <c r="I24" s="1135">
        <f>62442/0.234</f>
        <v>266846.15384615381</v>
      </c>
      <c r="J24" s="183" t="s">
        <v>1239</v>
      </c>
    </row>
    <row r="25" spans="1:14" x14ac:dyDescent="0.3">
      <c r="A25" s="36" t="s">
        <v>1142</v>
      </c>
      <c r="B25" s="465">
        <v>48466.732000000004</v>
      </c>
      <c r="C25" s="182">
        <v>48466732</v>
      </c>
      <c r="D25" s="306">
        <f>B25*1000000/'tavola corr CORINE3-MAES'!G7</f>
        <v>5312.8696948654851</v>
      </c>
      <c r="E25" s="1044">
        <f t="shared" si="0"/>
        <v>863.29555400576089</v>
      </c>
      <c r="F25" s="1049">
        <f>E25*1000000/'tavola corr CORINE3-MAES'!G7</f>
        <v>94.633506269606073</v>
      </c>
      <c r="G25" s="1047"/>
      <c r="I25" s="1135">
        <f>89578/0.197</f>
        <v>454710.65989847714</v>
      </c>
      <c r="J25" s="183" t="s">
        <v>1240</v>
      </c>
    </row>
    <row r="26" spans="1:14" x14ac:dyDescent="0.3">
      <c r="A26" s="36" t="s">
        <v>133</v>
      </c>
      <c r="B26" s="465">
        <v>101.617</v>
      </c>
      <c r="C26" s="182">
        <v>101617</v>
      </c>
      <c r="D26" s="306">
        <f>B26*1000000/'tavola corr CORINE3-MAES'!G10</f>
        <v>5221.6562017611295</v>
      </c>
      <c r="E26" s="1044">
        <f t="shared" si="0"/>
        <v>1.810014842993817</v>
      </c>
      <c r="F26" s="1049">
        <f>E26*1000000/'tavola corr CORINE3-MAES'!G10</f>
        <v>93.008800005888418</v>
      </c>
      <c r="G26" s="1047"/>
      <c r="I26" s="1136">
        <f>I24+I25</f>
        <v>721556.8137446309</v>
      </c>
      <c r="J26" s="183"/>
    </row>
    <row r="27" spans="1:14" x14ac:dyDescent="0.3">
      <c r="A27" s="36" t="s">
        <v>134</v>
      </c>
      <c r="B27" s="465">
        <v>974.47699999999998</v>
      </c>
      <c r="C27" s="182">
        <v>974477</v>
      </c>
      <c r="D27" s="306">
        <f>B27*1000000/'tavola corr CORINE3-MAES'!G12</f>
        <v>4340.7314159802499</v>
      </c>
      <c r="E27" s="1044">
        <f t="shared" si="0"/>
        <v>17.357507446156504</v>
      </c>
      <c r="F27" s="1049">
        <f>E27*1000000/'tavola corr CORINE3-MAES'!G12</f>
        <v>77.317656419435934</v>
      </c>
      <c r="G27" s="1047"/>
    </row>
    <row r="28" spans="1:14" ht="43.2" x14ac:dyDescent="0.3">
      <c r="A28" s="179" t="s">
        <v>1231</v>
      </c>
      <c r="B28" s="465">
        <v>17016.816999999999</v>
      </c>
      <c r="C28" s="182"/>
      <c r="D28" s="306">
        <f>B28*1000000/('tavola corr CORINE3-MAES'!G9+'tavola corr CORINE3-MAES'!G11)</f>
        <v>9191.7131578347544</v>
      </c>
      <c r="E28" s="1044">
        <f t="shared" si="0"/>
        <v>303.10569442622307</v>
      </c>
      <c r="F28" s="1049">
        <f>E28*1000000/('tavola corr CORINE3-MAES'!G9+'tavola corr CORINE3-MAES'!G11)</f>
        <v>163.72395611189535</v>
      </c>
      <c r="G28" s="1047"/>
      <c r="H28" s="579" t="s">
        <v>1487</v>
      </c>
      <c r="I28" s="183" t="s">
        <v>1235</v>
      </c>
      <c r="J28" s="183"/>
      <c r="K28" s="183"/>
      <c r="L28" s="183"/>
    </row>
    <row r="29" spans="1:14" ht="18.600000000000001" thickBot="1" x14ac:dyDescent="0.4">
      <c r="A29" s="161" t="s">
        <v>154</v>
      </c>
      <c r="B29" s="466">
        <f>SUM(B21:B28)</f>
        <v>115218.83799999999</v>
      </c>
      <c r="C29" s="189">
        <f>SUM(C21:C28)</f>
        <v>98202021</v>
      </c>
      <c r="D29" s="1046">
        <f>B29*1000000/'tavola corr CORINE3-MAES'!G15</f>
        <v>3759.2926335643874</v>
      </c>
      <c r="E29" s="1043">
        <f>G37</f>
        <v>2052.2925</v>
      </c>
      <c r="F29" s="1050">
        <f>E29*1000000/'tavola corr CORINE3-MAES'!G15</f>
        <v>66.960995364051854</v>
      </c>
      <c r="G29" s="1048"/>
      <c r="H29">
        <f>63442</f>
        <v>63442</v>
      </c>
      <c r="I29" s="1135">
        <f>I24-63442</f>
        <v>203404.15384615381</v>
      </c>
      <c r="J29" s="183" t="s">
        <v>1237</v>
      </c>
      <c r="K29" s="183"/>
      <c r="L29" s="183"/>
    </row>
    <row r="30" spans="1:14" ht="16.2" thickBot="1" x14ac:dyDescent="0.35">
      <c r="A30" s="175"/>
      <c r="C30" s="180">
        <v>98202021</v>
      </c>
      <c r="E30" s="181">
        <f>SUM(E21:E28)</f>
        <v>2052.2925</v>
      </c>
      <c r="H30">
        <v>89578</v>
      </c>
      <c r="I30" s="1135">
        <f>I25-89578</f>
        <v>365132.65989847714</v>
      </c>
      <c r="J30" s="183" t="s">
        <v>1238</v>
      </c>
      <c r="K30" s="183"/>
      <c r="L30" s="183"/>
    </row>
    <row r="31" spans="1:14" ht="16.2" thickBot="1" x14ac:dyDescent="0.35">
      <c r="A31" s="188" t="s">
        <v>230</v>
      </c>
      <c r="C31" s="183" t="s">
        <v>227</v>
      </c>
      <c r="D31" s="183"/>
      <c r="E31" s="64"/>
      <c r="F31" s="64"/>
      <c r="G31" s="64"/>
      <c r="H31" s="64">
        <f>H29+H30</f>
        <v>153020</v>
      </c>
      <c r="I31" s="1137">
        <f>I29+I30</f>
        <v>568536.8137446309</v>
      </c>
      <c r="J31" s="1138" t="s">
        <v>1486</v>
      </c>
      <c r="K31" s="183"/>
      <c r="L31" s="183"/>
    </row>
    <row r="32" spans="1:14" ht="15.6" x14ac:dyDescent="0.3">
      <c r="A32" s="175"/>
      <c r="C32" s="184" t="s">
        <v>1485</v>
      </c>
      <c r="D32" s="183"/>
      <c r="E32" s="183"/>
      <c r="F32" s="183"/>
      <c r="G32" s="183"/>
      <c r="H32" s="183"/>
      <c r="I32" s="183"/>
      <c r="J32" s="183"/>
      <c r="K32" s="183"/>
      <c r="L32" s="183"/>
    </row>
    <row r="34" spans="1:24" x14ac:dyDescent="0.3">
      <c r="B34" s="19" t="s">
        <v>2104</v>
      </c>
    </row>
    <row r="35" spans="1:24" x14ac:dyDescent="0.3">
      <c r="A35" s="64"/>
      <c r="B35" s="453" t="s">
        <v>218</v>
      </c>
      <c r="C35" s="453" t="s">
        <v>219</v>
      </c>
      <c r="D35" s="453" t="s">
        <v>220</v>
      </c>
      <c r="E35" s="453" t="s">
        <v>221</v>
      </c>
      <c r="F35" s="454" t="s">
        <v>222</v>
      </c>
      <c r="G35" s="453" t="s">
        <v>154</v>
      </c>
    </row>
    <row r="36" spans="1:24" ht="28.8" x14ac:dyDescent="0.3">
      <c r="A36" s="455" t="s">
        <v>224</v>
      </c>
      <c r="B36" s="456">
        <v>15975</v>
      </c>
      <c r="C36" s="456">
        <v>989</v>
      </c>
      <c r="D36" s="456">
        <v>6076</v>
      </c>
      <c r="E36" s="456">
        <v>1604</v>
      </c>
      <c r="F36" s="457">
        <v>9490</v>
      </c>
      <c r="G36" s="458">
        <v>34136</v>
      </c>
      <c r="H36">
        <f>SUM(B36:F36)</f>
        <v>34134</v>
      </c>
      <c r="I36" t="s">
        <v>12</v>
      </c>
    </row>
    <row r="37" spans="1:24" ht="46.5" customHeight="1" x14ac:dyDescent="0.3">
      <c r="A37" s="455" t="s">
        <v>1190</v>
      </c>
      <c r="B37" s="1053">
        <f>B36*B38</f>
        <v>87.862500000000011</v>
      </c>
      <c r="C37" s="459"/>
      <c r="D37" s="459"/>
      <c r="E37" s="459"/>
      <c r="F37" s="1052">
        <f>F36*F38</f>
        <v>1964.4299999999998</v>
      </c>
      <c r="G37" s="1042">
        <f>B37+F37</f>
        <v>2052.2925</v>
      </c>
      <c r="H37" t="s">
        <v>1232</v>
      </c>
    </row>
    <row r="38" spans="1:24" ht="70.5" customHeight="1" x14ac:dyDescent="0.3">
      <c r="A38" s="455" t="s">
        <v>1191</v>
      </c>
      <c r="B38" s="460">
        <f>10%*B39</f>
        <v>5.5000000000000005E-3</v>
      </c>
      <c r="C38" s="460"/>
      <c r="D38" s="460"/>
      <c r="E38" s="460"/>
      <c r="F38" s="1051">
        <f>F39*10%</f>
        <v>0.20699999999999999</v>
      </c>
      <c r="G38" s="460"/>
    </row>
    <row r="39" spans="1:24" ht="28.8" x14ac:dyDescent="0.3">
      <c r="A39" s="455" t="s">
        <v>2347</v>
      </c>
      <c r="B39" s="461">
        <v>5.5E-2</v>
      </c>
      <c r="C39" s="461"/>
      <c r="D39" s="461"/>
      <c r="E39" s="461"/>
      <c r="F39" s="551">
        <v>2.0699999999999998</v>
      </c>
      <c r="G39" s="461">
        <f>G38/10%</f>
        <v>0</v>
      </c>
    </row>
    <row r="40" spans="1:24" x14ac:dyDescent="0.3">
      <c r="B40" t="s">
        <v>1424</v>
      </c>
      <c r="F40" s="55" t="s">
        <v>2348</v>
      </c>
      <c r="G40" s="55"/>
      <c r="H40" s="55"/>
      <c r="I40" s="55"/>
      <c r="J40" s="55"/>
    </row>
    <row r="41" spans="1:24" x14ac:dyDescent="0.3">
      <c r="L41" s="59" t="s">
        <v>2410</v>
      </c>
      <c r="M41" s="59"/>
      <c r="N41" s="59"/>
    </row>
    <row r="42" spans="1:24" ht="36" customHeight="1" x14ac:dyDescent="0.35">
      <c r="A42" s="1200" t="s">
        <v>2357</v>
      </c>
      <c r="B42" s="1201"/>
      <c r="C42" s="1201"/>
      <c r="D42" s="1201"/>
      <c r="E42" s="1201"/>
      <c r="F42" s="1201"/>
      <c r="G42" s="1201"/>
      <c r="M42" s="1154" t="s">
        <v>2412</v>
      </c>
      <c r="N42" s="1055" t="s">
        <v>2411</v>
      </c>
      <c r="O42" s="59"/>
      <c r="P42" s="59"/>
      <c r="Q42" s="59"/>
      <c r="R42" s="59"/>
      <c r="S42" s="59"/>
      <c r="T42" s="59"/>
      <c r="U42" s="59"/>
      <c r="V42" s="59"/>
      <c r="W42" s="59"/>
      <c r="X42" s="59"/>
    </row>
    <row r="43" spans="1:24" ht="55.2" x14ac:dyDescent="0.3">
      <c r="A43" s="19" t="s">
        <v>1521</v>
      </c>
      <c r="L43" s="59"/>
      <c r="M43" s="1150" t="s">
        <v>2413</v>
      </c>
      <c r="N43" s="1131" t="s">
        <v>1053</v>
      </c>
      <c r="O43" s="1131" t="s">
        <v>1054</v>
      </c>
      <c r="P43" s="1131" t="s">
        <v>1055</v>
      </c>
      <c r="Q43" s="1131" t="s">
        <v>1059</v>
      </c>
      <c r="R43" s="549" t="s">
        <v>1056</v>
      </c>
      <c r="S43" s="549" t="s">
        <v>2337</v>
      </c>
      <c r="T43" s="1131" t="s">
        <v>1388</v>
      </c>
      <c r="U43" s="549" t="s">
        <v>2336</v>
      </c>
      <c r="V43" s="1131" t="s">
        <v>1519</v>
      </c>
      <c r="W43" s="1131" t="s">
        <v>2356</v>
      </c>
    </row>
    <row r="44" spans="1:24" s="19" customFormat="1" ht="38.25" customHeight="1" x14ac:dyDescent="0.3">
      <c r="A44" s="491" t="s">
        <v>174</v>
      </c>
      <c r="B44" s="475" t="s">
        <v>129</v>
      </c>
      <c r="C44" s="475" t="s">
        <v>1168</v>
      </c>
      <c r="D44" s="475" t="s">
        <v>1140</v>
      </c>
      <c r="E44" s="475" t="s">
        <v>1141</v>
      </c>
      <c r="F44" s="475" t="s">
        <v>1142</v>
      </c>
      <c r="G44" s="475" t="s">
        <v>133</v>
      </c>
      <c r="H44" s="476" t="s">
        <v>134</v>
      </c>
      <c r="I44" s="476" t="s">
        <v>1236</v>
      </c>
      <c r="J44" s="476" t="s">
        <v>1166</v>
      </c>
      <c r="L44" s="1131" t="s">
        <v>1053</v>
      </c>
      <c r="M44" s="1151">
        <f>F25</f>
        <v>94.633506269606073</v>
      </c>
      <c r="N44" s="1132">
        <f>F25</f>
        <v>94.633506269606073</v>
      </c>
      <c r="O44" s="1133">
        <f>O45-N44</f>
        <v>-58.149319280133632</v>
      </c>
      <c r="P44" s="1133">
        <f>P46-N44</f>
        <v>44.226622816285555</v>
      </c>
      <c r="Q44" s="1133">
        <f>$Q$47-N44</f>
        <v>20.305010375628484</v>
      </c>
      <c r="R44" s="1133">
        <f>$R$48-N44</f>
        <v>83.510721055809711</v>
      </c>
      <c r="S44" s="1133">
        <f>$S$49-N44</f>
        <v>-94.633506269606073</v>
      </c>
      <c r="T44" s="1133">
        <f>$T$50-N44</f>
        <v>-1.6247062637176555</v>
      </c>
      <c r="U44" s="1133">
        <f>$U$51-N44</f>
        <v>-17.315849850170139</v>
      </c>
      <c r="V44" s="1133">
        <f>$V$52-N44</f>
        <v>-94.633506269606073</v>
      </c>
      <c r="W44" s="1133">
        <f>$W$53-N44</f>
        <v>-94.633506269606073</v>
      </c>
    </row>
    <row r="45" spans="1:24" ht="39.75" customHeight="1" x14ac:dyDescent="0.3">
      <c r="A45" s="468" t="s">
        <v>1167</v>
      </c>
      <c r="B45" s="1125">
        <f>F21</f>
        <v>58.575006740153107</v>
      </c>
      <c r="C45" s="1126">
        <f t="shared" ref="C45:C52" si="1">$F$22-F21</f>
        <v>-22.090819750680666</v>
      </c>
      <c r="D45" s="1126">
        <f t="shared" ref="D45:D52" si="2">$F$23-F21</f>
        <v>80.285122345738529</v>
      </c>
      <c r="E45" s="1126">
        <f t="shared" ref="E45:E52" si="3">$F$24-F21</f>
        <v>56.36350990508145</v>
      </c>
      <c r="F45" s="1126">
        <f t="shared" ref="F45:F52" si="4">$F$25-F21</f>
        <v>36.058499529452966</v>
      </c>
      <c r="G45" s="1126">
        <f t="shared" ref="G45:G52" si="5">$F$26-F21</f>
        <v>34.433793265735311</v>
      </c>
      <c r="H45" s="1126">
        <f t="shared" ref="H45:H52" si="6">$F$27-F21</f>
        <v>18.742649679282827</v>
      </c>
      <c r="I45" s="1126">
        <f t="shared" ref="I45:I51" si="7">$F$28-F21</f>
        <v>105.14894937174225</v>
      </c>
      <c r="J45" s="1127">
        <f>0-F21</f>
        <v>-58.575006740153107</v>
      </c>
      <c r="L45" s="1131" t="s">
        <v>1054</v>
      </c>
      <c r="M45" s="1152">
        <f>F22</f>
        <v>36.484186989472441</v>
      </c>
      <c r="N45" s="1133">
        <f>N44-O45</f>
        <v>58.149319280133632</v>
      </c>
      <c r="O45" s="1132">
        <f>F22</f>
        <v>36.484186989472441</v>
      </c>
      <c r="P45" s="1133">
        <f>P46-O45</f>
        <v>102.37594209641918</v>
      </c>
      <c r="Q45" s="1133">
        <f>$Q$47-O45</f>
        <v>78.454329655762109</v>
      </c>
      <c r="R45" s="1133">
        <f>$R$48-O45</f>
        <v>141.66004033594334</v>
      </c>
      <c r="S45" s="1133">
        <f>$S$49-O45</f>
        <v>-36.484186989472441</v>
      </c>
      <c r="T45" s="1133">
        <f>$T$50-O45</f>
        <v>56.524613016415977</v>
      </c>
      <c r="U45" s="1133">
        <f>$U$51-O45</f>
        <v>40.833469429963493</v>
      </c>
      <c r="V45" s="1133">
        <f>$V$52-O45</f>
        <v>-36.484186989472441</v>
      </c>
      <c r="W45" s="1133">
        <f>$W$53-O45</f>
        <v>-36.484186989472441</v>
      </c>
    </row>
    <row r="46" spans="1:24" ht="42" x14ac:dyDescent="0.3">
      <c r="A46" s="469" t="s">
        <v>1168</v>
      </c>
      <c r="B46" s="1126">
        <f t="shared" ref="B46:B52" si="8">$F$21-F22</f>
        <v>22.090819750680666</v>
      </c>
      <c r="C46" s="1128">
        <f>$F$22</f>
        <v>36.484186989472441</v>
      </c>
      <c r="D46" s="1126">
        <f t="shared" si="2"/>
        <v>102.37594209641918</v>
      </c>
      <c r="E46" s="1126">
        <f t="shared" si="3"/>
        <v>78.454329655762109</v>
      </c>
      <c r="F46" s="1126">
        <f t="shared" si="4"/>
        <v>58.149319280133632</v>
      </c>
      <c r="G46" s="1126">
        <f t="shared" si="5"/>
        <v>56.524613016415977</v>
      </c>
      <c r="H46" s="1126">
        <f t="shared" si="6"/>
        <v>40.833469429963493</v>
      </c>
      <c r="I46" s="1126">
        <f t="shared" si="7"/>
        <v>127.2397691224229</v>
      </c>
      <c r="J46" s="1127">
        <f t="shared" ref="J46:J52" si="9">0-F22</f>
        <v>-36.484186989472441</v>
      </c>
      <c r="L46" s="1131" t="s">
        <v>1055</v>
      </c>
      <c r="M46" s="1152">
        <f>F23</f>
        <v>138.86012908589163</v>
      </c>
      <c r="N46" s="1133">
        <f>N44-P46</f>
        <v>-44.226622816285555</v>
      </c>
      <c r="O46" s="1133">
        <f>$O$45-P46</f>
        <v>-102.37594209641918</v>
      </c>
      <c r="P46" s="1132">
        <f>F23</f>
        <v>138.86012908589163</v>
      </c>
      <c r="Q46" s="1133">
        <f>$Q$47-P46</f>
        <v>-23.921612440657071</v>
      </c>
      <c r="R46" s="1133">
        <f>$R$48-P46</f>
        <v>39.284098239524155</v>
      </c>
      <c r="S46" s="1133">
        <f>$S$49-P46</f>
        <v>-138.86012908589163</v>
      </c>
      <c r="T46" s="1133">
        <f>$T$50-P46</f>
        <v>-45.851329080003211</v>
      </c>
      <c r="U46" s="1133">
        <f>$U$51-P46</f>
        <v>-61.542472666455694</v>
      </c>
      <c r="V46" s="1133">
        <f>$V$52-P46</f>
        <v>-138.86012908589163</v>
      </c>
      <c r="W46" s="1133">
        <f>$W$53-P46</f>
        <v>-138.86012908589163</v>
      </c>
    </row>
    <row r="47" spans="1:24" ht="28.2" x14ac:dyDescent="0.3">
      <c r="A47" s="469" t="s">
        <v>1140</v>
      </c>
      <c r="B47" s="1126">
        <f t="shared" si="8"/>
        <v>-80.285122345738529</v>
      </c>
      <c r="C47" s="1126">
        <f t="shared" si="1"/>
        <v>-102.37594209641918</v>
      </c>
      <c r="D47" s="1128">
        <f>$F$23</f>
        <v>138.86012908589163</v>
      </c>
      <c r="E47" s="1126">
        <f t="shared" si="3"/>
        <v>-23.921612440657071</v>
      </c>
      <c r="F47" s="1126">
        <f t="shared" si="4"/>
        <v>-44.226622816285555</v>
      </c>
      <c r="G47" s="1126">
        <f t="shared" si="5"/>
        <v>-45.851329080003211</v>
      </c>
      <c r="H47" s="1126">
        <f t="shared" si="6"/>
        <v>-61.542472666455694</v>
      </c>
      <c r="I47" s="1126">
        <f t="shared" si="7"/>
        <v>24.863827026003719</v>
      </c>
      <c r="J47" s="1127">
        <f t="shared" si="9"/>
        <v>-138.86012908589163</v>
      </c>
      <c r="L47" s="1131" t="s">
        <v>1059</v>
      </c>
      <c r="M47" s="1152">
        <f>F24</f>
        <v>114.93851664523456</v>
      </c>
      <c r="N47" s="1133">
        <f>N44-Q47</f>
        <v>-20.305010375628484</v>
      </c>
      <c r="O47" s="1133">
        <f>$O$45-Q47</f>
        <v>-78.454329655762109</v>
      </c>
      <c r="P47" s="1133">
        <f>$P$46-Q47</f>
        <v>23.921612440657071</v>
      </c>
      <c r="Q47" s="1132">
        <f>F24</f>
        <v>114.93851664523456</v>
      </c>
      <c r="R47" s="1133">
        <f>$R$48-Q47</f>
        <v>63.205710680181227</v>
      </c>
      <c r="S47" s="1133">
        <f>$S$49-Q47</f>
        <v>-114.93851664523456</v>
      </c>
      <c r="T47" s="1133">
        <f>$T$50-Q47</f>
        <v>-21.92971663934614</v>
      </c>
      <c r="U47" s="1133">
        <f>$U$51-Q47</f>
        <v>-37.620860225798623</v>
      </c>
      <c r="V47" s="1133">
        <f>$V$52-Q47</f>
        <v>-114.93851664523456</v>
      </c>
      <c r="W47" s="1133">
        <f>$W$53-Q47</f>
        <v>-114.93851664523456</v>
      </c>
    </row>
    <row r="48" spans="1:24" ht="41.4" x14ac:dyDescent="0.3">
      <c r="A48" s="469" t="s">
        <v>1141</v>
      </c>
      <c r="B48" s="1126">
        <f t="shared" si="8"/>
        <v>-56.36350990508145</v>
      </c>
      <c r="C48" s="1126">
        <f t="shared" si="1"/>
        <v>-78.454329655762109</v>
      </c>
      <c r="D48" s="1126">
        <f t="shared" si="2"/>
        <v>23.921612440657071</v>
      </c>
      <c r="E48" s="1128">
        <f>$F$24</f>
        <v>114.93851664523456</v>
      </c>
      <c r="F48" s="1126">
        <f t="shared" si="4"/>
        <v>-20.305010375628484</v>
      </c>
      <c r="G48" s="1126">
        <f t="shared" si="5"/>
        <v>-21.92971663934614</v>
      </c>
      <c r="H48" s="1126">
        <f t="shared" si="6"/>
        <v>-37.620860225798623</v>
      </c>
      <c r="I48" s="1126">
        <f t="shared" si="7"/>
        <v>48.78543946666079</v>
      </c>
      <c r="J48" s="1127">
        <f t="shared" si="9"/>
        <v>-114.93851664523456</v>
      </c>
      <c r="L48" s="1131" t="s">
        <v>1056</v>
      </c>
      <c r="M48" s="1152">
        <f>E28*1000000/('tavola corr CORINE3-MAES'!G9)</f>
        <v>178.14422732541578</v>
      </c>
      <c r="N48" s="1133">
        <f>N44-R48</f>
        <v>-83.510721055809711</v>
      </c>
      <c r="O48" s="1133">
        <f>$O$45-R48</f>
        <v>-141.66004033594334</v>
      </c>
      <c r="P48" s="1133">
        <f>$P$46-R48</f>
        <v>-39.284098239524155</v>
      </c>
      <c r="Q48" s="1133">
        <f>$Q$47-R48</f>
        <v>-63.205710680181227</v>
      </c>
      <c r="R48" s="1132">
        <f>M48</f>
        <v>178.14422732541578</v>
      </c>
      <c r="S48" s="1133">
        <f>$S$49-R48</f>
        <v>-178.14422732541578</v>
      </c>
      <c r="T48" s="1133">
        <f>$T$50-R48</f>
        <v>-85.135427319527366</v>
      </c>
      <c r="U48" s="1133">
        <f>$U$51-R48</f>
        <v>-100.82657090597985</v>
      </c>
      <c r="V48" s="1133">
        <f>$V$52-R48</f>
        <v>-178.14422732541578</v>
      </c>
      <c r="W48" s="1133">
        <f>$W$53-R48</f>
        <v>-178.14422732541578</v>
      </c>
    </row>
    <row r="49" spans="1:23" ht="42" x14ac:dyDescent="0.3">
      <c r="A49" s="469" t="s">
        <v>1142</v>
      </c>
      <c r="B49" s="1126">
        <f t="shared" si="8"/>
        <v>-36.058499529452966</v>
      </c>
      <c r="C49" s="1126">
        <f t="shared" si="1"/>
        <v>-58.149319280133632</v>
      </c>
      <c r="D49" s="1126">
        <f t="shared" si="2"/>
        <v>44.226622816285555</v>
      </c>
      <c r="E49" s="1126">
        <f t="shared" si="3"/>
        <v>20.305010375628484</v>
      </c>
      <c r="F49" s="1128">
        <f>$F$25</f>
        <v>94.633506269606073</v>
      </c>
      <c r="G49" s="1126">
        <f t="shared" si="5"/>
        <v>-1.6247062637176555</v>
      </c>
      <c r="H49" s="1126">
        <f t="shared" si="6"/>
        <v>-17.315849850170139</v>
      </c>
      <c r="I49" s="1126">
        <f t="shared" si="7"/>
        <v>69.090449842289274</v>
      </c>
      <c r="J49" s="1127">
        <f t="shared" si="9"/>
        <v>-94.633506269606073</v>
      </c>
      <c r="L49" s="549" t="s">
        <v>2337</v>
      </c>
      <c r="M49" s="1153">
        <v>0</v>
      </c>
      <c r="N49" s="1133">
        <f>N44-S49</f>
        <v>94.633506269606073</v>
      </c>
      <c r="O49" s="1133">
        <f>$O$45-S49</f>
        <v>36.484186989472441</v>
      </c>
      <c r="P49" s="1133">
        <f>$P$46-S49</f>
        <v>138.86012908589163</v>
      </c>
      <c r="Q49" s="1133">
        <f>$Q$47-S49</f>
        <v>114.93851664523456</v>
      </c>
      <c r="R49" s="1133">
        <f>$R$48-S49</f>
        <v>178.14422732541578</v>
      </c>
      <c r="S49" s="72">
        <f>0</f>
        <v>0</v>
      </c>
      <c r="T49" s="1133">
        <f>$T$50-S49</f>
        <v>93.008800005888418</v>
      </c>
      <c r="U49" s="1133">
        <f>$U$51-S49</f>
        <v>77.317656419435934</v>
      </c>
      <c r="V49" s="1134">
        <f>$V$52-S49</f>
        <v>0</v>
      </c>
      <c r="W49" s="1134">
        <f>$W$53-S49</f>
        <v>0</v>
      </c>
    </row>
    <row r="50" spans="1:23" ht="30" customHeight="1" x14ac:dyDescent="0.3">
      <c r="A50" s="469" t="s">
        <v>133</v>
      </c>
      <c r="B50" s="1126">
        <f t="shared" si="8"/>
        <v>-34.433793265735311</v>
      </c>
      <c r="C50" s="1126">
        <f t="shared" si="1"/>
        <v>-56.524613016415977</v>
      </c>
      <c r="D50" s="1126">
        <f t="shared" si="2"/>
        <v>45.851329080003211</v>
      </c>
      <c r="E50" s="1126">
        <f t="shared" si="3"/>
        <v>21.92971663934614</v>
      </c>
      <c r="F50" s="1126">
        <f t="shared" si="4"/>
        <v>1.6247062637176555</v>
      </c>
      <c r="G50" s="1128">
        <f>$F$26</f>
        <v>93.008800005888418</v>
      </c>
      <c r="H50" s="1126">
        <f t="shared" si="6"/>
        <v>-15.691143586452483</v>
      </c>
      <c r="I50" s="1126">
        <f t="shared" si="7"/>
        <v>70.71515610600693</v>
      </c>
      <c r="J50" s="1127">
        <f t="shared" si="9"/>
        <v>-93.008800005888418</v>
      </c>
      <c r="L50" s="1131" t="s">
        <v>1388</v>
      </c>
      <c r="M50" s="1152">
        <f>F26</f>
        <v>93.008800005888418</v>
      </c>
      <c r="N50" s="1133">
        <f>N44-T50</f>
        <v>1.6247062637176555</v>
      </c>
      <c r="O50" s="1133">
        <f>$O$45-T50</f>
        <v>-56.524613016415977</v>
      </c>
      <c r="P50" s="1133">
        <f>$P$46-T50</f>
        <v>45.851329080003211</v>
      </c>
      <c r="Q50" s="1133">
        <f>$Q$47-T50</f>
        <v>21.92971663934614</v>
      </c>
      <c r="R50" s="1133">
        <f>$R$48-T50</f>
        <v>85.135427319527366</v>
      </c>
      <c r="S50" s="1133">
        <f>$S$49-T50</f>
        <v>-93.008800005888418</v>
      </c>
      <c r="T50" s="1132">
        <f>F26</f>
        <v>93.008800005888418</v>
      </c>
      <c r="U50" s="1133">
        <f>$U$51-T50</f>
        <v>-15.691143586452483</v>
      </c>
      <c r="V50" s="1133">
        <f>$V$52-T50</f>
        <v>-93.008800005888418</v>
      </c>
      <c r="W50" s="1133">
        <f>$W$53-T50</f>
        <v>-93.008800005888418</v>
      </c>
    </row>
    <row r="51" spans="1:23" ht="27.6" x14ac:dyDescent="0.3">
      <c r="A51" s="469" t="s">
        <v>134</v>
      </c>
      <c r="B51" s="1126">
        <f t="shared" si="8"/>
        <v>-18.742649679282827</v>
      </c>
      <c r="C51" s="1126">
        <f t="shared" si="1"/>
        <v>-40.833469429963493</v>
      </c>
      <c r="D51" s="1126">
        <f t="shared" si="2"/>
        <v>61.542472666455694</v>
      </c>
      <c r="E51" s="1126">
        <f t="shared" si="3"/>
        <v>37.620860225798623</v>
      </c>
      <c r="F51" s="1126">
        <f t="shared" si="4"/>
        <v>17.315849850170139</v>
      </c>
      <c r="G51" s="1126">
        <f t="shared" si="5"/>
        <v>15.691143586452483</v>
      </c>
      <c r="H51" s="1128">
        <f>$F$27</f>
        <v>77.317656419435934</v>
      </c>
      <c r="I51" s="1126">
        <f t="shared" si="7"/>
        <v>86.406299692459413</v>
      </c>
      <c r="J51" s="1127">
        <f t="shared" si="9"/>
        <v>-77.317656419435934</v>
      </c>
      <c r="L51" s="549" t="s">
        <v>2336</v>
      </c>
      <c r="M51" s="1152">
        <f>F27</f>
        <v>77.317656419435934</v>
      </c>
      <c r="N51" s="1133">
        <f>N44-U51</f>
        <v>17.315849850170139</v>
      </c>
      <c r="O51" s="1133">
        <f>$O$45-U51</f>
        <v>-40.833469429963493</v>
      </c>
      <c r="P51" s="1133">
        <f>$P$46-U51</f>
        <v>61.542472666455694</v>
      </c>
      <c r="Q51" s="1133">
        <f>$Q$47-U51</f>
        <v>37.620860225798623</v>
      </c>
      <c r="R51" s="1133">
        <f>$R$48-U51</f>
        <v>100.82657090597985</v>
      </c>
      <c r="S51" s="1133">
        <f>$S$49-U51</f>
        <v>-77.317656419435934</v>
      </c>
      <c r="T51" s="1133">
        <f>$T$50-U51</f>
        <v>15.691143586452483</v>
      </c>
      <c r="U51" s="1132">
        <f>F27</f>
        <v>77.317656419435934</v>
      </c>
      <c r="V51" s="1133">
        <f>$V$52-U51</f>
        <v>-77.317656419435934</v>
      </c>
      <c r="W51" s="1133">
        <f>$W$53-U51</f>
        <v>-77.317656419435934</v>
      </c>
    </row>
    <row r="52" spans="1:23" ht="55.2" x14ac:dyDescent="0.3">
      <c r="A52" s="469" t="s">
        <v>1236</v>
      </c>
      <c r="B52" s="1126">
        <f t="shared" si="8"/>
        <v>-105.14894937174225</v>
      </c>
      <c r="C52" s="1126">
        <f t="shared" si="1"/>
        <v>-127.2397691224229</v>
      </c>
      <c r="D52" s="1126">
        <f t="shared" si="2"/>
        <v>-24.863827026003719</v>
      </c>
      <c r="E52" s="1126">
        <f t="shared" si="3"/>
        <v>-48.78543946666079</v>
      </c>
      <c r="F52" s="1126">
        <f t="shared" si="4"/>
        <v>-69.090449842289274</v>
      </c>
      <c r="G52" s="1126">
        <f t="shared" si="5"/>
        <v>-70.71515610600693</v>
      </c>
      <c r="H52" s="1126">
        <f t="shared" si="6"/>
        <v>-86.406299692459413</v>
      </c>
      <c r="I52" s="1128">
        <f>$F$28</f>
        <v>163.72395611189535</v>
      </c>
      <c r="J52" s="1127">
        <f t="shared" si="9"/>
        <v>-163.72395611189535</v>
      </c>
      <c r="L52" s="1131" t="s">
        <v>1519</v>
      </c>
      <c r="M52" s="1153">
        <v>0</v>
      </c>
      <c r="N52" s="1133">
        <f>N44-V52</f>
        <v>94.633506269606073</v>
      </c>
      <c r="O52" s="1133">
        <f>$O$45-V52</f>
        <v>36.484186989472441</v>
      </c>
      <c r="P52" s="1133">
        <f>$P$46-V52</f>
        <v>138.86012908589163</v>
      </c>
      <c r="Q52" s="1133">
        <f>$Q$47-V52</f>
        <v>114.93851664523456</v>
      </c>
      <c r="R52" s="1133">
        <f>$R$48-V52</f>
        <v>178.14422732541578</v>
      </c>
      <c r="S52" s="1134">
        <f>$S$49-V52</f>
        <v>0</v>
      </c>
      <c r="T52" s="1133">
        <f>$T$50-V52</f>
        <v>93.008800005888418</v>
      </c>
      <c r="U52" s="1133">
        <f>$U$51-V52</f>
        <v>77.317656419435934</v>
      </c>
      <c r="V52" s="71">
        <v>0</v>
      </c>
      <c r="W52" s="1134">
        <f>$W$53-V52</f>
        <v>0</v>
      </c>
    </row>
    <row r="53" spans="1:23" ht="28.2" x14ac:dyDescent="0.3">
      <c r="A53" s="470" t="s">
        <v>1166</v>
      </c>
      <c r="B53" s="1129">
        <f>$F$21-0</f>
        <v>58.575006740153107</v>
      </c>
      <c r="C53" s="1129">
        <f>$F$22-0</f>
        <v>36.484186989472441</v>
      </c>
      <c r="D53" s="1129">
        <f>$F$23-0</f>
        <v>138.86012908589163</v>
      </c>
      <c r="E53" s="1129">
        <f>$F$24-0</f>
        <v>114.93851664523456</v>
      </c>
      <c r="F53" s="1129">
        <f>$F$25-0</f>
        <v>94.633506269606073</v>
      </c>
      <c r="G53" s="1129">
        <f>$F$26-0</f>
        <v>93.008800005888418</v>
      </c>
      <c r="H53" s="1129">
        <f>$F$27-0</f>
        <v>77.317656419435934</v>
      </c>
      <c r="I53" s="1129">
        <f>$F$28-0</f>
        <v>163.72395611189535</v>
      </c>
      <c r="J53" s="1130">
        <v>0</v>
      </c>
      <c r="L53" s="1131" t="s">
        <v>2356</v>
      </c>
      <c r="M53" s="1153">
        <v>0</v>
      </c>
      <c r="N53" s="1133">
        <f>N44-W53</f>
        <v>94.633506269606073</v>
      </c>
      <c r="O53" s="1133">
        <f>$O$45-W53</f>
        <v>36.484186989472441</v>
      </c>
      <c r="P53" s="1133">
        <f>$P$46-W53</f>
        <v>138.86012908589163</v>
      </c>
      <c r="Q53" s="1133">
        <f>$Q$47-W53</f>
        <v>114.93851664523456</v>
      </c>
      <c r="R53" s="1133">
        <f>$R$48-W53</f>
        <v>178.14422732541578</v>
      </c>
      <c r="S53" s="1134">
        <f>$S$49-W53</f>
        <v>0</v>
      </c>
      <c r="T53" s="1133">
        <f>$T$50-W53</f>
        <v>93.008800005888418</v>
      </c>
      <c r="U53" s="1133">
        <f>$U$51-W53</f>
        <v>77.317656419435934</v>
      </c>
      <c r="V53" s="1134">
        <f>$V$52-W53</f>
        <v>0</v>
      </c>
      <c r="W53" s="71">
        <v>0</v>
      </c>
    </row>
    <row r="54" spans="1:23" s="473" customFormat="1" ht="98.25" customHeight="1" x14ac:dyDescent="0.3">
      <c r="A54" s="471"/>
      <c r="B54" s="472"/>
      <c r="C54" s="472"/>
      <c r="D54" s="472"/>
      <c r="E54" s="472"/>
      <c r="F54" s="472"/>
      <c r="G54" s="472"/>
      <c r="H54" s="472"/>
      <c r="I54" s="472"/>
      <c r="J54" s="472"/>
    </row>
    <row r="55" spans="1:23" x14ac:dyDescent="0.3">
      <c r="O55" s="59" t="s">
        <v>2010</v>
      </c>
      <c r="P55" s="59"/>
      <c r="Q55" s="59"/>
    </row>
    <row r="56" spans="1:23" ht="18" x14ac:dyDescent="0.3">
      <c r="B56" s="586" t="s">
        <v>1509</v>
      </c>
      <c r="O56" s="19" t="s">
        <v>2011</v>
      </c>
    </row>
    <row r="57" spans="1:23" ht="57.6" x14ac:dyDescent="0.3">
      <c r="B57" t="s">
        <v>1488</v>
      </c>
      <c r="C57">
        <v>2009</v>
      </c>
      <c r="D57">
        <v>2010</v>
      </c>
      <c r="E57">
        <v>2011</v>
      </c>
      <c r="F57">
        <v>2012</v>
      </c>
      <c r="G57">
        <v>2013</v>
      </c>
      <c r="H57">
        <v>2014</v>
      </c>
      <c r="I57">
        <v>2015</v>
      </c>
      <c r="J57">
        <v>2016</v>
      </c>
      <c r="K57">
        <v>2017</v>
      </c>
      <c r="L57" s="582" t="s">
        <v>1516</v>
      </c>
      <c r="M57" s="582" t="s">
        <v>1517</v>
      </c>
      <c r="O57" s="578" t="s">
        <v>1053</v>
      </c>
      <c r="P57" s="578" t="s">
        <v>1054</v>
      </c>
      <c r="Q57" s="578" t="s">
        <v>1055</v>
      </c>
      <c r="R57" s="578" t="s">
        <v>1518</v>
      </c>
      <c r="S57" s="578" t="s">
        <v>1519</v>
      </c>
      <c r="T57" s="578" t="s">
        <v>1059</v>
      </c>
      <c r="U57" s="578" t="s">
        <v>1056</v>
      </c>
      <c r="V57" s="578" t="s">
        <v>1520</v>
      </c>
    </row>
    <row r="58" spans="1:23" x14ac:dyDescent="0.3">
      <c r="B58" t="s">
        <v>1489</v>
      </c>
      <c r="C58">
        <v>926.1</v>
      </c>
      <c r="D58">
        <v>967.8</v>
      </c>
      <c r="E58">
        <v>807.7</v>
      </c>
      <c r="F58">
        <v>840.3</v>
      </c>
      <c r="G58">
        <v>1020.1</v>
      </c>
      <c r="H58">
        <v>1272.8</v>
      </c>
      <c r="I58">
        <v>709.7</v>
      </c>
      <c r="J58">
        <v>760</v>
      </c>
      <c r="K58">
        <v>471.6</v>
      </c>
      <c r="L58" s="1">
        <f>AVERAGE(C58:K58)</f>
        <v>864.01111111111129</v>
      </c>
      <c r="M58" s="84">
        <f>L58/$L$78</f>
        <v>1.0865179057972028</v>
      </c>
      <c r="N58" s="444" t="s">
        <v>1489</v>
      </c>
      <c r="O58" s="574">
        <f>O$78*$M58/$M$78</f>
        <v>103.86507576118174</v>
      </c>
      <c r="P58" s="574">
        <f t="shared" ref="P58:V58" si="10">P$78*$M58/$M$78</f>
        <v>40.04324678566568</v>
      </c>
      <c r="Q58" s="574">
        <f t="shared" si="10"/>
        <v>152.4060387937441</v>
      </c>
      <c r="R58" s="574">
        <f t="shared" si="10"/>
        <v>0</v>
      </c>
      <c r="S58" s="574">
        <f t="shared" si="10"/>
        <v>102.08187818325474</v>
      </c>
      <c r="T58" s="574">
        <f t="shared" si="10"/>
        <v>126.15085512338621</v>
      </c>
      <c r="U58" s="574">
        <f t="shared" si="10"/>
        <v>126.15085512338621</v>
      </c>
      <c r="V58" s="574">
        <f t="shared" si="10"/>
        <v>179.6953507887095</v>
      </c>
    </row>
    <row r="59" spans="1:23" x14ac:dyDescent="0.3">
      <c r="B59" t="s">
        <v>1490</v>
      </c>
      <c r="C59">
        <v>774.3</v>
      </c>
      <c r="D59">
        <v>888.6</v>
      </c>
      <c r="E59">
        <v>789.5</v>
      </c>
      <c r="F59">
        <v>786.7</v>
      </c>
      <c r="G59">
        <v>861</v>
      </c>
      <c r="H59">
        <v>1138.2</v>
      </c>
      <c r="I59">
        <v>742.4</v>
      </c>
      <c r="J59">
        <v>783.6</v>
      </c>
      <c r="K59">
        <v>452.4</v>
      </c>
      <c r="L59" s="1">
        <f t="shared" ref="L59:L78" si="11">AVERAGE(C59:K59)</f>
        <v>801.8555555555555</v>
      </c>
      <c r="M59" s="84">
        <f t="shared" ref="M59:M78" si="12">L59/$L$78</f>
        <v>1.0083555729435927</v>
      </c>
      <c r="N59" s="21" t="s">
        <v>1490</v>
      </c>
      <c r="O59" s="78">
        <f t="shared" ref="O59:V77" si="13">O$78*$M59/$M$78</f>
        <v>96.39319096278598</v>
      </c>
      <c r="P59" s="78">
        <f t="shared" si="13"/>
        <v>37.162600671045055</v>
      </c>
      <c r="Q59" s="78">
        <f t="shared" si="13"/>
        <v>141.4421959803517</v>
      </c>
      <c r="R59" s="78">
        <f t="shared" si="13"/>
        <v>0</v>
      </c>
      <c r="S59" s="78">
        <f t="shared" si="13"/>
        <v>94.738273721414885</v>
      </c>
      <c r="T59" s="78">
        <f t="shared" si="13"/>
        <v>117.07576756586734</v>
      </c>
      <c r="U59" s="78">
        <f t="shared" si="13"/>
        <v>117.07576756586734</v>
      </c>
      <c r="V59" s="78">
        <f t="shared" si="13"/>
        <v>166.76835920794224</v>
      </c>
    </row>
    <row r="60" spans="1:23" x14ac:dyDescent="0.3">
      <c r="B60" t="s">
        <v>1491</v>
      </c>
      <c r="C60">
        <v>808.4</v>
      </c>
      <c r="D60">
        <v>982.3</v>
      </c>
      <c r="E60">
        <v>733.6</v>
      </c>
      <c r="F60">
        <v>848.9</v>
      </c>
      <c r="G60">
        <v>1044.5999999999999</v>
      </c>
      <c r="H60">
        <v>1312</v>
      </c>
      <c r="I60">
        <v>655.5</v>
      </c>
      <c r="J60">
        <v>752.5</v>
      </c>
      <c r="K60">
        <v>620.4</v>
      </c>
      <c r="L60" s="1">
        <f t="shared" si="11"/>
        <v>862.02222222222213</v>
      </c>
      <c r="M60" s="84">
        <f t="shared" si="12"/>
        <v>1.0840168229261269</v>
      </c>
      <c r="N60" s="444" t="s">
        <v>1491</v>
      </c>
      <c r="O60" s="574">
        <f t="shared" si="13"/>
        <v>103.625986133203</v>
      </c>
      <c r="P60" s="574">
        <f t="shared" si="13"/>
        <v>39.95107022962042</v>
      </c>
      <c r="Q60" s="574">
        <f t="shared" si="13"/>
        <v>152.05521150314749</v>
      </c>
      <c r="R60" s="574">
        <f t="shared" si="13"/>
        <v>0</v>
      </c>
      <c r="S60" s="574">
        <f t="shared" si="13"/>
        <v>101.84689334259161</v>
      </c>
      <c r="T60" s="574">
        <f t="shared" si="13"/>
        <v>125.8604652998617</v>
      </c>
      <c r="U60" s="574">
        <f t="shared" si="13"/>
        <v>125.8604652998617</v>
      </c>
      <c r="V60" s="574">
        <f t="shared" si="13"/>
        <v>179.28170554506315</v>
      </c>
    </row>
    <row r="61" spans="1:23" x14ac:dyDescent="0.3">
      <c r="B61" t="s">
        <v>1492</v>
      </c>
      <c r="C61">
        <v>868.3</v>
      </c>
      <c r="D61">
        <v>837</v>
      </c>
      <c r="E61">
        <v>720.4</v>
      </c>
      <c r="F61">
        <v>1041.9000000000001</v>
      </c>
      <c r="G61">
        <v>1045.0999999999999</v>
      </c>
      <c r="H61">
        <v>1393.6</v>
      </c>
      <c r="I61">
        <v>651.1</v>
      </c>
      <c r="J61">
        <v>792.9</v>
      </c>
      <c r="K61">
        <v>717.5</v>
      </c>
      <c r="L61" s="1">
        <f t="shared" si="11"/>
        <v>896.4222222222221</v>
      </c>
      <c r="M61" s="84">
        <f t="shared" si="12"/>
        <v>1.1272757758247283</v>
      </c>
      <c r="N61" s="21" t="s">
        <v>1492</v>
      </c>
      <c r="O61" s="78">
        <f t="shared" si="13"/>
        <v>107.76130170986249</v>
      </c>
      <c r="P61" s="78">
        <f t="shared" si="13"/>
        <v>41.545364182224183</v>
      </c>
      <c r="Q61" s="78">
        <f t="shared" si="13"/>
        <v>158.1231516801698</v>
      </c>
      <c r="R61" s="78">
        <f t="shared" si="13"/>
        <v>0</v>
      </c>
      <c r="S61" s="78">
        <f t="shared" si="13"/>
        <v>105.911212150932</v>
      </c>
      <c r="T61" s="78">
        <f t="shared" si="13"/>
        <v>130.88307364417315</v>
      </c>
      <c r="U61" s="78">
        <f t="shared" si="13"/>
        <v>130.88307364417315</v>
      </c>
      <c r="V61" s="78">
        <f t="shared" si="13"/>
        <v>186.4361506530459</v>
      </c>
    </row>
    <row r="62" spans="1:23" x14ac:dyDescent="0.3">
      <c r="B62" t="s">
        <v>1493</v>
      </c>
      <c r="C62">
        <v>904.3</v>
      </c>
      <c r="D62">
        <v>1009.1</v>
      </c>
      <c r="E62">
        <v>733</v>
      </c>
      <c r="F62">
        <v>977.8</v>
      </c>
      <c r="G62">
        <v>1160</v>
      </c>
      <c r="H62">
        <v>1422.3</v>
      </c>
      <c r="I62">
        <v>704.2</v>
      </c>
      <c r="J62">
        <v>961</v>
      </c>
      <c r="K62">
        <v>865.3</v>
      </c>
      <c r="L62" s="1">
        <f t="shared" si="11"/>
        <v>970.77777777777783</v>
      </c>
      <c r="M62" s="84">
        <f t="shared" si="12"/>
        <v>1.2207799466249352</v>
      </c>
      <c r="N62" s="444" t="s">
        <v>1493</v>
      </c>
      <c r="O62" s="574">
        <f t="shared" si="13"/>
        <v>116.69978098602701</v>
      </c>
      <c r="P62" s="574">
        <f t="shared" si="13"/>
        <v>44.991428500965903</v>
      </c>
      <c r="Q62" s="574">
        <f t="shared" si="13"/>
        <v>171.23899653308754</v>
      </c>
      <c r="R62" s="574">
        <f t="shared" si="13"/>
        <v>0</v>
      </c>
      <c r="S62" s="574">
        <f t="shared" si="13"/>
        <v>114.69623200410186</v>
      </c>
      <c r="T62" s="574">
        <f t="shared" si="13"/>
        <v>141.73943509124433</v>
      </c>
      <c r="U62" s="574">
        <f t="shared" si="13"/>
        <v>141.73943509124433</v>
      </c>
      <c r="V62" s="574">
        <f t="shared" si="13"/>
        <v>201.90047451048144</v>
      </c>
    </row>
    <row r="63" spans="1:23" x14ac:dyDescent="0.3">
      <c r="B63" t="s">
        <v>1494</v>
      </c>
      <c r="C63">
        <v>1116</v>
      </c>
      <c r="D63">
        <v>1189.7</v>
      </c>
      <c r="E63">
        <v>821.7</v>
      </c>
      <c r="F63">
        <v>1160.8</v>
      </c>
      <c r="G63">
        <v>1337.7</v>
      </c>
      <c r="H63">
        <v>1665.4</v>
      </c>
      <c r="I63">
        <v>872.1</v>
      </c>
      <c r="J63">
        <v>1185.2</v>
      </c>
      <c r="K63">
        <v>1052.3</v>
      </c>
      <c r="L63" s="1">
        <f t="shared" si="11"/>
        <v>1155.6555555555556</v>
      </c>
      <c r="M63" s="84">
        <f t="shared" si="12"/>
        <v>1.4532688733949055</v>
      </c>
      <c r="N63" s="21" t="s">
        <v>1494</v>
      </c>
      <c r="O63" s="78">
        <f t="shared" si="13"/>
        <v>138.9244308180804</v>
      </c>
      <c r="P63" s="78">
        <f t="shared" si="13"/>
        <v>53.559728590556979</v>
      </c>
      <c r="Q63" s="78">
        <f t="shared" si="13"/>
        <v>203.85025512658697</v>
      </c>
      <c r="R63" s="78">
        <f t="shared" si="13"/>
        <v>0</v>
      </c>
      <c r="S63" s="78">
        <f t="shared" si="13"/>
        <v>136.53932006998548</v>
      </c>
      <c r="T63" s="78">
        <f t="shared" si="13"/>
        <v>168.73271036288466</v>
      </c>
      <c r="U63" s="78">
        <f t="shared" si="13"/>
        <v>168.73271036288466</v>
      </c>
      <c r="V63" s="78">
        <f t="shared" si="13"/>
        <v>240.35099523132271</v>
      </c>
    </row>
    <row r="64" spans="1:23" x14ac:dyDescent="0.3">
      <c r="B64" t="s">
        <v>1495</v>
      </c>
      <c r="C64">
        <v>969.8</v>
      </c>
      <c r="D64">
        <v>931.8</v>
      </c>
      <c r="E64">
        <v>785.2</v>
      </c>
      <c r="F64">
        <v>838</v>
      </c>
      <c r="G64">
        <v>1116.2</v>
      </c>
      <c r="H64">
        <v>1358.6</v>
      </c>
      <c r="I64">
        <v>700.2</v>
      </c>
      <c r="J64">
        <v>793.8</v>
      </c>
      <c r="K64">
        <v>580.20000000000005</v>
      </c>
      <c r="L64" s="1">
        <f t="shared" si="11"/>
        <v>897.08888888888896</v>
      </c>
      <c r="M64" s="84">
        <f t="shared" si="12"/>
        <v>1.128114127625089</v>
      </c>
      <c r="N64" s="21" t="s">
        <v>1495</v>
      </c>
      <c r="O64" s="78">
        <f t="shared" si="13"/>
        <v>107.84144348460399</v>
      </c>
      <c r="P64" s="78">
        <f t="shared" si="13"/>
        <v>41.576261351848295</v>
      </c>
      <c r="Q64" s="78">
        <f t="shared" si="13"/>
        <v>158.24074742003461</v>
      </c>
      <c r="R64" s="78">
        <f t="shared" si="13"/>
        <v>0</v>
      </c>
      <c r="S64" s="78">
        <f t="shared" si="13"/>
        <v>105.98997801931071</v>
      </c>
      <c r="T64" s="78">
        <f t="shared" si="13"/>
        <v>130.98041101518697</v>
      </c>
      <c r="U64" s="78">
        <f t="shared" si="13"/>
        <v>130.98041101518697</v>
      </c>
      <c r="V64" s="78">
        <f t="shared" si="13"/>
        <v>186.57480269002235</v>
      </c>
    </row>
    <row r="65" spans="2:22" x14ac:dyDescent="0.3">
      <c r="B65" t="s">
        <v>1496</v>
      </c>
      <c r="C65">
        <v>801.8</v>
      </c>
      <c r="D65">
        <v>970.1</v>
      </c>
      <c r="E65">
        <v>624.9</v>
      </c>
      <c r="F65">
        <v>737.4</v>
      </c>
      <c r="G65">
        <v>1030.0999999999999</v>
      </c>
      <c r="H65">
        <v>1177.5</v>
      </c>
      <c r="I65">
        <v>730.2</v>
      </c>
      <c r="J65">
        <v>817.9</v>
      </c>
      <c r="K65">
        <v>746.4</v>
      </c>
      <c r="L65" s="1">
        <f t="shared" si="11"/>
        <v>848.47777777777765</v>
      </c>
      <c r="M65" s="84">
        <f t="shared" si="12"/>
        <v>1.0669843088488029</v>
      </c>
      <c r="N65" s="444" t="s">
        <v>1496</v>
      </c>
      <c r="O65" s="574">
        <f t="shared" si="13"/>
        <v>101.99777240970562</v>
      </c>
      <c r="P65" s="574">
        <f t="shared" si="13"/>
        <v>39.323342733424049</v>
      </c>
      <c r="Q65" s="574">
        <f t="shared" si="13"/>
        <v>149.66605805489485</v>
      </c>
      <c r="R65" s="574">
        <f t="shared" si="13"/>
        <v>0</v>
      </c>
      <c r="S65" s="574">
        <f t="shared" si="13"/>
        <v>100.24663345003124</v>
      </c>
      <c r="T65" s="574">
        <f t="shared" si="13"/>
        <v>123.8828943787649</v>
      </c>
      <c r="U65" s="574">
        <f t="shared" si="13"/>
        <v>123.8828943787649</v>
      </c>
      <c r="V65" s="574">
        <f t="shared" si="13"/>
        <v>176.4647583271591</v>
      </c>
    </row>
    <row r="66" spans="2:22" x14ac:dyDescent="0.3">
      <c r="B66" t="s">
        <v>1497</v>
      </c>
      <c r="C66">
        <v>833.1</v>
      </c>
      <c r="D66">
        <v>1020.9</v>
      </c>
      <c r="E66">
        <v>592.29999999999995</v>
      </c>
      <c r="F66">
        <v>818.8</v>
      </c>
      <c r="G66">
        <v>1032.0999999999999</v>
      </c>
      <c r="H66">
        <v>1154.0999999999999</v>
      </c>
      <c r="I66">
        <v>728.1</v>
      </c>
      <c r="J66">
        <v>882.4</v>
      </c>
      <c r="K66">
        <v>617.29999999999995</v>
      </c>
      <c r="L66" s="1">
        <f t="shared" si="11"/>
        <v>853.23333333333346</v>
      </c>
      <c r="M66" s="84">
        <f t="shared" si="12"/>
        <v>1.0729645516913748</v>
      </c>
      <c r="N66" s="59" t="s">
        <v>1497</v>
      </c>
      <c r="O66" s="574">
        <f t="shared" si="13"/>
        <v>102.56945040286142</v>
      </c>
      <c r="P66" s="574">
        <f t="shared" si="13"/>
        <v>39.543742543409337</v>
      </c>
      <c r="Q66" s="574">
        <f t="shared" si="13"/>
        <v>150.50490766593029</v>
      </c>
      <c r="R66" s="574">
        <f t="shared" si="13"/>
        <v>0</v>
      </c>
      <c r="S66" s="574">
        <f t="shared" si="13"/>
        <v>100.80849664446593</v>
      </c>
      <c r="T66" s="574">
        <f t="shared" si="13"/>
        <v>124.57723429199665</v>
      </c>
      <c r="U66" s="574">
        <f t="shared" si="13"/>
        <v>124.57723429199665</v>
      </c>
      <c r="V66" s="574">
        <f t="shared" si="13"/>
        <v>177.45380952425757</v>
      </c>
    </row>
    <row r="67" spans="2:22" x14ac:dyDescent="0.3">
      <c r="B67" t="s">
        <v>1498</v>
      </c>
      <c r="C67">
        <v>867.5</v>
      </c>
      <c r="D67">
        <v>1067.7</v>
      </c>
      <c r="E67">
        <v>575.5</v>
      </c>
      <c r="F67">
        <v>868.3</v>
      </c>
      <c r="G67">
        <v>1073.2</v>
      </c>
      <c r="H67">
        <v>1074.5999999999999</v>
      </c>
      <c r="I67">
        <v>758.6</v>
      </c>
      <c r="J67">
        <v>800.3</v>
      </c>
      <c r="K67">
        <v>588.79999999999995</v>
      </c>
      <c r="L67" s="1">
        <f t="shared" si="11"/>
        <v>852.72222222222217</v>
      </c>
      <c r="M67" s="84">
        <f t="shared" si="12"/>
        <v>1.0723218153110983</v>
      </c>
      <c r="N67" s="21" t="s">
        <v>1498</v>
      </c>
      <c r="O67" s="78">
        <f t="shared" si="13"/>
        <v>102.50800837555961</v>
      </c>
      <c r="P67" s="78">
        <f t="shared" si="13"/>
        <v>39.520054713364182</v>
      </c>
      <c r="Q67" s="78">
        <f t="shared" si="13"/>
        <v>150.41475093203391</v>
      </c>
      <c r="R67" s="78">
        <f t="shared" si="13"/>
        <v>0</v>
      </c>
      <c r="S67" s="78">
        <f t="shared" si="13"/>
        <v>100.74810947870891</v>
      </c>
      <c r="T67" s="78">
        <f t="shared" si="13"/>
        <v>124.50260897421938</v>
      </c>
      <c r="U67" s="78">
        <f t="shared" si="13"/>
        <v>124.50260897421938</v>
      </c>
      <c r="V67" s="78">
        <f t="shared" si="13"/>
        <v>177.3475096292423</v>
      </c>
    </row>
    <row r="68" spans="2:22" x14ac:dyDescent="0.3">
      <c r="B68" t="s">
        <v>1499</v>
      </c>
      <c r="C68">
        <v>839</v>
      </c>
      <c r="D68">
        <v>1036.7</v>
      </c>
      <c r="E68">
        <v>579.6</v>
      </c>
      <c r="F68">
        <v>837.8</v>
      </c>
      <c r="G68">
        <v>1033.5</v>
      </c>
      <c r="H68">
        <v>1050.8</v>
      </c>
      <c r="I68">
        <v>787.3</v>
      </c>
      <c r="J68">
        <v>771.4</v>
      </c>
      <c r="K68">
        <v>648.4</v>
      </c>
      <c r="L68" s="1">
        <f t="shared" si="11"/>
        <v>842.72222222222217</v>
      </c>
      <c r="M68" s="84">
        <f t="shared" si="12"/>
        <v>1.0597465383056908</v>
      </c>
      <c r="N68" s="444" t="s">
        <v>1499</v>
      </c>
      <c r="O68" s="574">
        <f t="shared" si="13"/>
        <v>101.30588175443766</v>
      </c>
      <c r="P68" s="574">
        <f t="shared" si="13"/>
        <v>39.056597169002622</v>
      </c>
      <c r="Q68" s="574">
        <f t="shared" si="13"/>
        <v>148.65081483406232</v>
      </c>
      <c r="R68" s="574">
        <f t="shared" si="13"/>
        <v>0</v>
      </c>
      <c r="S68" s="574">
        <f t="shared" si="13"/>
        <v>99.56662145302856</v>
      </c>
      <c r="T68" s="574">
        <f t="shared" si="13"/>
        <v>123.04254840901254</v>
      </c>
      <c r="U68" s="574">
        <f t="shared" si="13"/>
        <v>123.04254840901254</v>
      </c>
      <c r="V68" s="574">
        <f t="shared" si="13"/>
        <v>175.26772907459613</v>
      </c>
    </row>
    <row r="69" spans="2:22" x14ac:dyDescent="0.3">
      <c r="B69" t="s">
        <v>1500</v>
      </c>
      <c r="C69">
        <v>958.2</v>
      </c>
      <c r="D69">
        <v>1100.9000000000001</v>
      </c>
      <c r="E69">
        <v>646.9</v>
      </c>
      <c r="F69">
        <v>896.8</v>
      </c>
      <c r="G69">
        <v>1076.4000000000001</v>
      </c>
      <c r="H69">
        <v>1087.0999999999999</v>
      </c>
      <c r="I69">
        <v>800.1</v>
      </c>
      <c r="J69">
        <v>750.8</v>
      </c>
      <c r="K69">
        <v>538.29999999999995</v>
      </c>
      <c r="L69" s="1">
        <f t="shared" si="11"/>
        <v>872.83333333333348</v>
      </c>
      <c r="M69" s="84">
        <f t="shared" si="12"/>
        <v>1.0976120946219732</v>
      </c>
      <c r="N69" s="444" t="s">
        <v>1500</v>
      </c>
      <c r="O69" s="574">
        <f t="shared" si="13"/>
        <v>104.92561858026043</v>
      </c>
      <c r="P69" s="574">
        <f t="shared" si="13"/>
        <v>40.452119330357988</v>
      </c>
      <c r="Q69" s="574">
        <f t="shared" si="13"/>
        <v>153.96222241795459</v>
      </c>
      <c r="R69" s="574">
        <f t="shared" si="13"/>
        <v>0</v>
      </c>
      <c r="S69" s="574">
        <f t="shared" si="13"/>
        <v>103.12421317479939</v>
      </c>
      <c r="T69" s="574">
        <f t="shared" si="13"/>
        <v>127.438952999802</v>
      </c>
      <c r="U69" s="574">
        <f t="shared" si="13"/>
        <v>127.438952999802</v>
      </c>
      <c r="V69" s="574">
        <f t="shared" si="13"/>
        <v>181.53017941136397</v>
      </c>
    </row>
    <row r="70" spans="2:22" x14ac:dyDescent="0.3">
      <c r="B70" t="s">
        <v>1501</v>
      </c>
      <c r="C70">
        <v>1001.7</v>
      </c>
      <c r="D70">
        <v>1025.5999999999999</v>
      </c>
      <c r="E70">
        <v>674.7</v>
      </c>
      <c r="F70">
        <v>873.6</v>
      </c>
      <c r="G70">
        <v>1057.9000000000001</v>
      </c>
      <c r="H70">
        <v>985.7</v>
      </c>
      <c r="I70">
        <v>818.9</v>
      </c>
      <c r="J70">
        <v>730.2</v>
      </c>
      <c r="K70">
        <v>640</v>
      </c>
      <c r="L70" s="1">
        <f t="shared" si="11"/>
        <v>867.58888888888885</v>
      </c>
      <c r="M70" s="84">
        <f t="shared" si="12"/>
        <v>1.0910170604591372</v>
      </c>
      <c r="N70" s="444" t="s">
        <v>1501</v>
      </c>
      <c r="O70" s="574">
        <f t="shared" si="13"/>
        <v>104.29516995229423</v>
      </c>
      <c r="P70" s="574">
        <f t="shared" si="13"/>
        <v>40.209061595981694</v>
      </c>
      <c r="Q70" s="574">
        <f t="shared" si="13"/>
        <v>153.03713593101835</v>
      </c>
      <c r="R70" s="574">
        <f t="shared" si="13"/>
        <v>0</v>
      </c>
      <c r="S70" s="574">
        <f t="shared" si="13"/>
        <v>102.50458834355369</v>
      </c>
      <c r="T70" s="574">
        <f t="shared" si="13"/>
        <v>126.67323234782684</v>
      </c>
      <c r="U70" s="574">
        <f t="shared" si="13"/>
        <v>126.67323234782684</v>
      </c>
      <c r="V70" s="574">
        <f t="shared" si="13"/>
        <v>180.43945005381622</v>
      </c>
    </row>
    <row r="71" spans="2:22" x14ac:dyDescent="0.3">
      <c r="B71" t="s">
        <v>1502</v>
      </c>
      <c r="C71">
        <v>1066.9000000000001</v>
      </c>
      <c r="D71">
        <v>1043</v>
      </c>
      <c r="E71">
        <v>719</v>
      </c>
      <c r="F71">
        <v>785</v>
      </c>
      <c r="G71">
        <v>969.7</v>
      </c>
      <c r="H71">
        <v>885.7</v>
      </c>
      <c r="I71">
        <v>878.6</v>
      </c>
      <c r="J71">
        <v>803.6</v>
      </c>
      <c r="K71">
        <v>615.4</v>
      </c>
      <c r="L71" s="1">
        <f t="shared" si="11"/>
        <v>862.98888888888894</v>
      </c>
      <c r="M71" s="84">
        <f t="shared" si="12"/>
        <v>1.0852324330366498</v>
      </c>
      <c r="N71" s="444" t="s">
        <v>1502</v>
      </c>
      <c r="O71" s="574">
        <f t="shared" si="13"/>
        <v>103.74219170657815</v>
      </c>
      <c r="P71" s="574">
        <f t="shared" si="13"/>
        <v>39.995871125575384</v>
      </c>
      <c r="Q71" s="574">
        <f t="shared" si="13"/>
        <v>152.22572532595143</v>
      </c>
      <c r="R71" s="574">
        <f t="shared" si="13"/>
        <v>0</v>
      </c>
      <c r="S71" s="574">
        <f t="shared" si="13"/>
        <v>101.96110385174073</v>
      </c>
      <c r="T71" s="574">
        <f t="shared" si="13"/>
        <v>126.00160448783171</v>
      </c>
      <c r="U71" s="574">
        <f t="shared" si="13"/>
        <v>126.00160448783171</v>
      </c>
      <c r="V71" s="574">
        <f t="shared" si="13"/>
        <v>179.48275099867899</v>
      </c>
    </row>
    <row r="72" spans="2:22" x14ac:dyDescent="0.3">
      <c r="B72" t="s">
        <v>1503</v>
      </c>
      <c r="C72">
        <v>1040.7</v>
      </c>
      <c r="D72">
        <v>1084.7</v>
      </c>
      <c r="E72">
        <v>734.5</v>
      </c>
      <c r="F72">
        <v>827.8</v>
      </c>
      <c r="G72">
        <v>1013.5</v>
      </c>
      <c r="H72">
        <v>883.4</v>
      </c>
      <c r="I72">
        <v>880.6</v>
      </c>
      <c r="J72">
        <v>835.4</v>
      </c>
      <c r="K72">
        <v>549.9</v>
      </c>
      <c r="L72" s="1">
        <f t="shared" si="11"/>
        <v>872.27777777777771</v>
      </c>
      <c r="M72" s="84">
        <f t="shared" si="12"/>
        <v>1.0969134681216726</v>
      </c>
      <c r="N72" s="21" t="s">
        <v>1503</v>
      </c>
      <c r="O72" s="78">
        <f t="shared" si="13"/>
        <v>104.85883376797585</v>
      </c>
      <c r="P72" s="78">
        <f t="shared" si="13"/>
        <v>40.426371689004561</v>
      </c>
      <c r="Q72" s="78">
        <f t="shared" si="13"/>
        <v>153.86422596806727</v>
      </c>
      <c r="R72" s="78">
        <f t="shared" si="13"/>
        <v>0</v>
      </c>
      <c r="S72" s="78">
        <f t="shared" si="13"/>
        <v>103.05857495115046</v>
      </c>
      <c r="T72" s="78">
        <f t="shared" si="13"/>
        <v>127.35783852395716</v>
      </c>
      <c r="U72" s="78">
        <f t="shared" si="13"/>
        <v>127.35783852395716</v>
      </c>
      <c r="V72" s="78">
        <f t="shared" si="13"/>
        <v>181.41463604721693</v>
      </c>
    </row>
    <row r="73" spans="2:22" x14ac:dyDescent="0.3">
      <c r="B73" t="s">
        <v>1504</v>
      </c>
      <c r="C73">
        <v>812.1</v>
      </c>
      <c r="D73">
        <v>774.4</v>
      </c>
      <c r="E73">
        <v>630</v>
      </c>
      <c r="F73">
        <v>624</v>
      </c>
      <c r="G73">
        <v>685.8</v>
      </c>
      <c r="H73">
        <v>678.3</v>
      </c>
      <c r="I73">
        <v>690.2</v>
      </c>
      <c r="J73">
        <v>655.29999999999995</v>
      </c>
      <c r="K73">
        <v>505.6</v>
      </c>
      <c r="L73" s="1">
        <f t="shared" si="11"/>
        <v>672.85555555555561</v>
      </c>
      <c r="M73" s="84">
        <f t="shared" si="12"/>
        <v>0.84613449957383779</v>
      </c>
      <c r="N73" s="444" t="s">
        <v>1504</v>
      </c>
      <c r="O73" s="574">
        <f t="shared" si="13"/>
        <v>80.885757550312903</v>
      </c>
      <c r="P73" s="574">
        <f t="shared" si="13"/>
        <v>31.183998348780964</v>
      </c>
      <c r="Q73" s="574">
        <f t="shared" si="13"/>
        <v>118.68742031651807</v>
      </c>
      <c r="R73" s="574">
        <f t="shared" si="13"/>
        <v>0</v>
      </c>
      <c r="S73" s="574">
        <f t="shared" si="13"/>
        <v>79.497078190138467</v>
      </c>
      <c r="T73" s="574">
        <f t="shared" si="13"/>
        <v>98.240986274699381</v>
      </c>
      <c r="U73" s="574">
        <f t="shared" si="13"/>
        <v>98.240986274699381</v>
      </c>
      <c r="V73" s="574">
        <f t="shared" si="13"/>
        <v>139.93919005300705</v>
      </c>
    </row>
    <row r="74" spans="2:22" x14ac:dyDescent="0.3">
      <c r="B74" t="s">
        <v>1079</v>
      </c>
      <c r="C74">
        <v>865.1</v>
      </c>
      <c r="D74">
        <v>892.7</v>
      </c>
      <c r="E74">
        <v>680.9</v>
      </c>
      <c r="F74">
        <v>678.7</v>
      </c>
      <c r="G74">
        <v>796.9</v>
      </c>
      <c r="H74">
        <v>686.7</v>
      </c>
      <c r="I74">
        <v>733.7</v>
      </c>
      <c r="J74">
        <v>738.7</v>
      </c>
      <c r="K74">
        <v>487.9</v>
      </c>
      <c r="L74" s="1">
        <f t="shared" si="11"/>
        <v>729.0333333333333</v>
      </c>
      <c r="M74" s="84">
        <f t="shared" si="12"/>
        <v>0.91677961128421503</v>
      </c>
      <c r="N74" s="444" t="s">
        <v>1079</v>
      </c>
      <c r="O74" s="574">
        <f t="shared" si="13"/>
        <v>87.639037768526848</v>
      </c>
      <c r="P74" s="574">
        <f t="shared" si="13"/>
        <v>33.787599842438773</v>
      </c>
      <c r="Q74" s="574">
        <f t="shared" si="13"/>
        <v>128.59682132912295</v>
      </c>
      <c r="R74" s="574">
        <f t="shared" si="13"/>
        <v>0</v>
      </c>
      <c r="S74" s="574">
        <f t="shared" si="13"/>
        <v>86.13441536551602</v>
      </c>
      <c r="T74" s="574">
        <f t="shared" si="13"/>
        <v>106.4432820721279</v>
      </c>
      <c r="U74" s="574">
        <f t="shared" si="13"/>
        <v>106.4432820721279</v>
      </c>
      <c r="V74" s="574">
        <f t="shared" si="13"/>
        <v>151.62293503555244</v>
      </c>
    </row>
    <row r="75" spans="2:22" x14ac:dyDescent="0.3">
      <c r="B75" t="s">
        <v>1505</v>
      </c>
      <c r="C75">
        <v>988.9</v>
      </c>
      <c r="D75">
        <v>965.2</v>
      </c>
      <c r="E75">
        <v>732.4</v>
      </c>
      <c r="F75">
        <v>865.4</v>
      </c>
      <c r="G75">
        <v>832.2</v>
      </c>
      <c r="H75">
        <v>711</v>
      </c>
      <c r="I75">
        <v>862.2</v>
      </c>
      <c r="J75">
        <v>795.7</v>
      </c>
      <c r="K75">
        <v>504.2</v>
      </c>
      <c r="L75" s="1">
        <f t="shared" si="11"/>
        <v>806.3555555555555</v>
      </c>
      <c r="M75" s="84">
        <f t="shared" si="12"/>
        <v>1.014014447596026</v>
      </c>
      <c r="N75" s="444" t="s">
        <v>1505</v>
      </c>
      <c r="O75" s="574">
        <f t="shared" si="13"/>
        <v>96.934147942290863</v>
      </c>
      <c r="P75" s="574">
        <f t="shared" si="13"/>
        <v>37.371156566007755</v>
      </c>
      <c r="Q75" s="574">
        <f t="shared" si="13"/>
        <v>142.23596722443892</v>
      </c>
      <c r="R75" s="574">
        <f t="shared" si="13"/>
        <v>0</v>
      </c>
      <c r="S75" s="574">
        <f t="shared" si="13"/>
        <v>95.269943332971039</v>
      </c>
      <c r="T75" s="574">
        <f t="shared" si="13"/>
        <v>117.73279482021042</v>
      </c>
      <c r="U75" s="574">
        <f t="shared" si="13"/>
        <v>117.73279482021042</v>
      </c>
      <c r="V75" s="574">
        <f t="shared" si="13"/>
        <v>167.704260457533</v>
      </c>
    </row>
    <row r="76" spans="2:22" x14ac:dyDescent="0.3">
      <c r="B76" t="s">
        <v>1506</v>
      </c>
      <c r="C76">
        <v>836</v>
      </c>
      <c r="D76">
        <v>819.7</v>
      </c>
      <c r="E76">
        <v>655.20000000000005</v>
      </c>
      <c r="F76">
        <v>657.6</v>
      </c>
      <c r="G76">
        <v>744.5</v>
      </c>
      <c r="H76">
        <v>626.9</v>
      </c>
      <c r="I76">
        <v>876.6</v>
      </c>
      <c r="J76">
        <v>555.29999999999995</v>
      </c>
      <c r="K76">
        <v>510.9</v>
      </c>
      <c r="L76" s="1">
        <f t="shared" si="11"/>
        <v>698.07777777777778</v>
      </c>
      <c r="M76" s="84">
        <f t="shared" si="12"/>
        <v>0.87785214268747636</v>
      </c>
      <c r="N76" s="21" t="s">
        <v>1506</v>
      </c>
      <c r="O76" s="78">
        <f t="shared" si="13"/>
        <v>83.917788028031595</v>
      </c>
      <c r="P76" s="78">
        <f t="shared" si="13"/>
        <v>32.352941266226225</v>
      </c>
      <c r="Q76" s="78">
        <f t="shared" si="13"/>
        <v>123.13645914140199</v>
      </c>
      <c r="R76" s="78">
        <f t="shared" si="13"/>
        <v>0</v>
      </c>
      <c r="S76" s="78">
        <f t="shared" si="13"/>
        <v>82.477053543798888</v>
      </c>
      <c r="T76" s="78">
        <f t="shared" si="13"/>
        <v>101.92358347805435</v>
      </c>
      <c r="U76" s="78">
        <f t="shared" si="13"/>
        <v>101.92358347805435</v>
      </c>
      <c r="V76" s="78">
        <f t="shared" si="13"/>
        <v>145.18485878528119</v>
      </c>
    </row>
    <row r="77" spans="2:22" x14ac:dyDescent="0.3">
      <c r="B77" t="s">
        <v>1507</v>
      </c>
      <c r="C77">
        <v>470.4</v>
      </c>
      <c r="D77">
        <v>642.9</v>
      </c>
      <c r="E77">
        <v>609.9</v>
      </c>
      <c r="F77">
        <v>572.6</v>
      </c>
      <c r="G77">
        <v>685.6</v>
      </c>
      <c r="H77">
        <v>433.6</v>
      </c>
      <c r="I77">
        <v>502.6</v>
      </c>
      <c r="J77">
        <v>409.6</v>
      </c>
      <c r="K77">
        <v>285.3</v>
      </c>
      <c r="L77" s="1">
        <f t="shared" si="11"/>
        <v>512.5</v>
      </c>
      <c r="M77" s="84">
        <f t="shared" si="12"/>
        <v>0.64448294652712756</v>
      </c>
      <c r="N77" s="21" t="s">
        <v>1507</v>
      </c>
      <c r="O77" s="78">
        <f t="shared" si="13"/>
        <v>61.608989332499668</v>
      </c>
      <c r="P77" s="78">
        <f t="shared" si="13"/>
        <v>23.752199148529844</v>
      </c>
      <c r="Q77" s="78">
        <f t="shared" si="13"/>
        <v>90.401725021044555</v>
      </c>
      <c r="R77" s="78">
        <f t="shared" si="13"/>
        <v>0</v>
      </c>
      <c r="S77" s="78">
        <f t="shared" si="13"/>
        <v>60.551261316117646</v>
      </c>
      <c r="T77" s="78">
        <f t="shared" si="13"/>
        <v>74.828103966849554</v>
      </c>
      <c r="U77" s="78">
        <f t="shared" si="13"/>
        <v>74.828103966849554</v>
      </c>
      <c r="V77" s="78">
        <f t="shared" si="13"/>
        <v>106.5887534256147</v>
      </c>
    </row>
    <row r="78" spans="2:22" s="19" customFormat="1" x14ac:dyDescent="0.3">
      <c r="B78" s="19" t="s">
        <v>1508</v>
      </c>
      <c r="C78" s="19">
        <v>849.9</v>
      </c>
      <c r="D78" s="19">
        <v>917.7</v>
      </c>
      <c r="E78" s="19">
        <v>680.5</v>
      </c>
      <c r="F78" s="19">
        <v>792.2</v>
      </c>
      <c r="G78" s="19">
        <v>923.9</v>
      </c>
      <c r="H78" s="19">
        <v>964.8</v>
      </c>
      <c r="I78" s="19">
        <v>734.3</v>
      </c>
      <c r="J78" s="19">
        <v>725</v>
      </c>
      <c r="K78" s="19">
        <v>568.6</v>
      </c>
      <c r="L78" s="587">
        <f t="shared" si="11"/>
        <v>795.21111111111122</v>
      </c>
      <c r="M78" s="588">
        <f t="shared" si="12"/>
        <v>1</v>
      </c>
      <c r="N78" s="32" t="s">
        <v>1508</v>
      </c>
      <c r="O78" s="79">
        <f>F49*'indice PIL pro capite'!$C$13</f>
        <v>95.594444607862755</v>
      </c>
      <c r="P78" s="79">
        <f>C46*'indice PIL pro capite'!$C$13</f>
        <v>36.85465888045816</v>
      </c>
      <c r="Q78" s="79">
        <f>D47*'indice PIL pro capite'!$C$13</f>
        <v>140.27015843969949</v>
      </c>
      <c r="R78" s="584">
        <f>J53*'indice PIL pro capite'!$C$13</f>
        <v>0</v>
      </c>
      <c r="S78" s="79">
        <f>G50*'indice PIL pro capite'!$C$13</f>
        <v>93.953240566573967</v>
      </c>
      <c r="T78" s="79">
        <f>E48*'indice PIL pro capite'!$C$13</f>
        <v>116.10563843476328</v>
      </c>
      <c r="U78" s="79">
        <f>E48*'indice PIL pro capite'!$C$13</f>
        <v>116.10563843476328</v>
      </c>
      <c r="V78" s="79">
        <f>I52*'indice PIL pro capite'!$C$13</f>
        <v>165.38646057274406</v>
      </c>
    </row>
    <row r="79" spans="2:22" x14ac:dyDescent="0.3">
      <c r="D79" s="651" t="s">
        <v>1514</v>
      </c>
    </row>
    <row r="80" spans="2:22" x14ac:dyDescent="0.3">
      <c r="C80" t="s">
        <v>1517</v>
      </c>
    </row>
    <row r="81" spans="2:3" x14ac:dyDescent="0.3">
      <c r="B81" t="s">
        <v>1584</v>
      </c>
      <c r="C81" s="84">
        <f>M58</f>
        <v>1.0865179057972028</v>
      </c>
    </row>
    <row r="82" spans="2:3" x14ac:dyDescent="0.3">
      <c r="B82" t="s">
        <v>1491</v>
      </c>
      <c r="C82" s="84">
        <f>M60</f>
        <v>1.0840168229261269</v>
      </c>
    </row>
    <row r="83" spans="2:3" x14ac:dyDescent="0.3">
      <c r="B83" t="s">
        <v>1493</v>
      </c>
      <c r="C83" s="84">
        <f>M62</f>
        <v>1.2207799466249352</v>
      </c>
    </row>
    <row r="84" spans="2:3" x14ac:dyDescent="0.3">
      <c r="B84" t="s">
        <v>1496</v>
      </c>
      <c r="C84" s="84">
        <f t="shared" ref="C84:C90" si="14">M65</f>
        <v>1.0669843088488029</v>
      </c>
    </row>
    <row r="85" spans="2:3" x14ac:dyDescent="0.3">
      <c r="B85" t="s">
        <v>1497</v>
      </c>
      <c r="C85" s="84">
        <f t="shared" si="14"/>
        <v>1.0729645516913748</v>
      </c>
    </row>
    <row r="86" spans="2:3" x14ac:dyDescent="0.3">
      <c r="B86" t="s">
        <v>1498</v>
      </c>
      <c r="C86" s="84">
        <f t="shared" si="14"/>
        <v>1.0723218153110983</v>
      </c>
    </row>
    <row r="87" spans="2:3" x14ac:dyDescent="0.3">
      <c r="B87" t="s">
        <v>1499</v>
      </c>
      <c r="C87" s="84">
        <f t="shared" si="14"/>
        <v>1.0597465383056908</v>
      </c>
    </row>
    <row r="88" spans="2:3" x14ac:dyDescent="0.3">
      <c r="B88" t="s">
        <v>1500</v>
      </c>
      <c r="C88" s="84">
        <f t="shared" si="14"/>
        <v>1.0976120946219732</v>
      </c>
    </row>
    <row r="89" spans="2:3" x14ac:dyDescent="0.3">
      <c r="B89" t="s">
        <v>1501</v>
      </c>
      <c r="C89" s="84">
        <f t="shared" si="14"/>
        <v>1.0910170604591372</v>
      </c>
    </row>
    <row r="90" spans="2:3" x14ac:dyDescent="0.3">
      <c r="B90" t="s">
        <v>1502</v>
      </c>
      <c r="C90" s="84">
        <f t="shared" si="14"/>
        <v>1.0852324330366498</v>
      </c>
    </row>
    <row r="91" spans="2:3" x14ac:dyDescent="0.3">
      <c r="B91" t="s">
        <v>1504</v>
      </c>
      <c r="C91" s="84">
        <f>M73</f>
        <v>0.84613449957383779</v>
      </c>
    </row>
    <row r="92" spans="2:3" x14ac:dyDescent="0.3">
      <c r="B92" t="s">
        <v>1079</v>
      </c>
      <c r="C92" s="84">
        <f>M74</f>
        <v>0.91677961128421503</v>
      </c>
    </row>
    <row r="93" spans="2:3" x14ac:dyDescent="0.3">
      <c r="B93" t="s">
        <v>1505</v>
      </c>
      <c r="C93" s="84">
        <f>M75</f>
        <v>1.014014447596026</v>
      </c>
    </row>
    <row r="94" spans="2:3" x14ac:dyDescent="0.3">
      <c r="B94" s="19" t="s">
        <v>1508</v>
      </c>
      <c r="C94" s="84">
        <f>M78</f>
        <v>1</v>
      </c>
    </row>
    <row r="111" spans="3:3" x14ac:dyDescent="0.3">
      <c r="C111" t="s">
        <v>1515</v>
      </c>
    </row>
    <row r="112" spans="3:3" x14ac:dyDescent="0.3">
      <c r="C112" t="s">
        <v>1539</v>
      </c>
    </row>
  </sheetData>
  <mergeCells count="1">
    <mergeCell ref="A42:G42"/>
  </mergeCells>
  <phoneticPr fontId="10" type="noConversion"/>
  <conditionalFormatting sqref="M58:M78">
    <cfRule type="colorScale" priority="1">
      <colorScale>
        <cfvo type="min"/>
        <cfvo type="percentile" val="50"/>
        <cfvo type="max"/>
        <color rgb="FFF8696B"/>
        <color rgb="FFFCFCFF"/>
        <color rgb="FF63BE7B"/>
      </colorScale>
    </cfRule>
  </conditionalFormatting>
  <hyperlinks>
    <hyperlink ref="D79" r:id="rId1" xr:uid="{3312F77B-ACEA-4374-A9A6-DB3A94B3513A}"/>
  </hyperlinks>
  <pageMargins left="0.7" right="0.7" top="0.75" bottom="0.75" header="0.3" footer="0.3"/>
  <pageSetup paperSize="9" orientation="portrait" r:id="rId2"/>
  <drawing r:id="rId3"/>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132D9-73AD-40DC-BC54-3F60D548184F}">
  <dimension ref="A1:F32"/>
  <sheetViews>
    <sheetView showGridLines="0" topLeftCell="A31" workbookViewId="0">
      <selection activeCell="L42" sqref="L42"/>
    </sheetView>
  </sheetViews>
  <sheetFormatPr defaultColWidth="9.109375" defaultRowHeight="13.2" x14ac:dyDescent="0.25"/>
  <cols>
    <col min="1" max="1" width="27.44140625" style="342" customWidth="1"/>
    <col min="2" max="2" width="2.44140625" style="342" customWidth="1"/>
    <col min="3" max="3" width="22.109375" style="342" customWidth="1"/>
    <col min="4" max="4" width="24.109375" style="342" customWidth="1"/>
    <col min="5" max="5" width="11.33203125" style="342" bestFit="1" customWidth="1"/>
    <col min="6" max="16384" width="9.109375" style="342"/>
  </cols>
  <sheetData>
    <row r="1" spans="1:5" hidden="1" x14ac:dyDescent="0.25">
      <c r="A1" s="341" t="e">
        <f ca="1">DotStatQuery(B1)</f>
        <v>#NAME?</v>
      </c>
      <c r="B1" s="341" t="s">
        <v>1192</v>
      </c>
    </row>
    <row r="2" spans="1:5" ht="23.4" x14ac:dyDescent="0.25">
      <c r="A2" s="343" t="s">
        <v>1193</v>
      </c>
    </row>
    <row r="3" spans="1:5" x14ac:dyDescent="0.25">
      <c r="A3" s="1161" t="s">
        <v>1066</v>
      </c>
      <c r="B3" s="1162"/>
      <c r="C3" s="1163" t="s">
        <v>429</v>
      </c>
      <c r="D3" s="1165"/>
    </row>
    <row r="4" spans="1:5" ht="34.5" customHeight="1" x14ac:dyDescent="0.25">
      <c r="A4" s="1161" t="s">
        <v>1194</v>
      </c>
      <c r="B4" s="1162"/>
      <c r="C4" s="1202" t="s">
        <v>1195</v>
      </c>
      <c r="D4" s="1203"/>
    </row>
    <row r="5" spans="1:5" x14ac:dyDescent="0.25">
      <c r="A5" s="1161" t="s">
        <v>1196</v>
      </c>
      <c r="B5" s="1162"/>
      <c r="C5" s="1163" t="s">
        <v>1197</v>
      </c>
      <c r="D5" s="1165"/>
    </row>
    <row r="6" spans="1:5" x14ac:dyDescent="0.25">
      <c r="A6" s="1161" t="s">
        <v>1198</v>
      </c>
      <c r="B6" s="1162"/>
      <c r="C6" s="1163" t="s">
        <v>1197</v>
      </c>
      <c r="D6" s="1165"/>
    </row>
    <row r="7" spans="1:5" x14ac:dyDescent="0.25">
      <c r="A7" s="1166" t="s">
        <v>1073</v>
      </c>
      <c r="B7" s="1167"/>
      <c r="C7" s="344" t="s">
        <v>325</v>
      </c>
      <c r="D7" s="447" t="s">
        <v>326</v>
      </c>
    </row>
    <row r="8" spans="1:5" x14ac:dyDescent="0.25">
      <c r="A8" s="1166" t="s">
        <v>1199</v>
      </c>
      <c r="B8" s="1167"/>
      <c r="C8" s="1204" t="s">
        <v>1197</v>
      </c>
      <c r="D8" s="1205"/>
    </row>
    <row r="9" spans="1:5" ht="13.8" x14ac:dyDescent="0.3">
      <c r="A9" s="345" t="s">
        <v>1200</v>
      </c>
      <c r="B9" s="346" t="s">
        <v>269</v>
      </c>
      <c r="C9" s="346" t="s">
        <v>269</v>
      </c>
      <c r="D9" s="346" t="s">
        <v>269</v>
      </c>
    </row>
    <row r="10" spans="1:5" ht="13.8" x14ac:dyDescent="0.3">
      <c r="A10" s="448" t="s">
        <v>1201</v>
      </c>
      <c r="B10" s="346" t="s">
        <v>269</v>
      </c>
      <c r="C10" s="449">
        <v>822</v>
      </c>
      <c r="D10" s="449">
        <v>804</v>
      </c>
    </row>
    <row r="11" spans="1:5" ht="13.8" x14ac:dyDescent="0.3">
      <c r="A11" s="448" t="s">
        <v>1202</v>
      </c>
      <c r="B11" s="346" t="s">
        <v>269</v>
      </c>
      <c r="C11" s="450">
        <v>9070355</v>
      </c>
      <c r="D11" s="451">
        <v>9018119</v>
      </c>
    </row>
    <row r="12" spans="1:5" ht="20.399999999999999" x14ac:dyDescent="0.3">
      <c r="A12" s="347" t="s">
        <v>1203</v>
      </c>
      <c r="B12" s="346" t="s">
        <v>269</v>
      </c>
      <c r="C12" s="449">
        <v>10184902</v>
      </c>
      <c r="D12" s="452">
        <v>10258525</v>
      </c>
      <c r="E12" s="462">
        <f>D12-('SE3 approvv idrico'!B37*1000)</f>
        <v>10170662.5</v>
      </c>
    </row>
    <row r="13" spans="1:5" ht="20.399999999999999" x14ac:dyDescent="0.3">
      <c r="A13" s="448" t="s">
        <v>1204</v>
      </c>
      <c r="B13" s="346" t="s">
        <v>269</v>
      </c>
      <c r="C13" s="450">
        <v>4866006</v>
      </c>
      <c r="D13" s="450">
        <v>4705996</v>
      </c>
    </row>
    <row r="14" spans="1:5" ht="20.399999999999999" x14ac:dyDescent="0.3">
      <c r="A14" s="448" t="s">
        <v>1205</v>
      </c>
      <c r="B14" s="346" t="s">
        <v>269</v>
      </c>
      <c r="C14" s="449">
        <v>2973651</v>
      </c>
      <c r="D14" s="449">
        <v>2847452</v>
      </c>
    </row>
    <row r="15" spans="1:5" ht="20.399999999999999" x14ac:dyDescent="0.3">
      <c r="A15" s="448" t="s">
        <v>1206</v>
      </c>
      <c r="B15" s="346" t="s">
        <v>269</v>
      </c>
      <c r="C15" s="450">
        <v>4933477</v>
      </c>
      <c r="D15" s="450">
        <v>5108455</v>
      </c>
    </row>
    <row r="16" spans="1:5" ht="20.399999999999999" x14ac:dyDescent="0.3">
      <c r="A16" s="448" t="s">
        <v>1207</v>
      </c>
      <c r="B16" s="346" t="s">
        <v>269</v>
      </c>
      <c r="C16" s="449">
        <v>1892365</v>
      </c>
      <c r="D16" s="449">
        <v>1858544</v>
      </c>
    </row>
    <row r="17" spans="1:6" ht="13.8" x14ac:dyDescent="0.3">
      <c r="A17" s="448" t="s">
        <v>1208</v>
      </c>
      <c r="B17" s="346" t="s">
        <v>269</v>
      </c>
      <c r="C17" s="450">
        <v>1336497</v>
      </c>
      <c r="D17" s="450">
        <v>1315290</v>
      </c>
    </row>
    <row r="18" spans="1:6" ht="20.399999999999999" x14ac:dyDescent="0.3">
      <c r="A18" s="347" t="s">
        <v>1209</v>
      </c>
      <c r="B18" s="346" t="s">
        <v>269</v>
      </c>
      <c r="C18" s="449">
        <v>1343834</v>
      </c>
      <c r="D18" s="449">
        <v>1259562</v>
      </c>
      <c r="E18" s="462">
        <f>SUM(D26:D31)</f>
        <v>1254696</v>
      </c>
      <c r="F18" s="342" t="s">
        <v>1233</v>
      </c>
    </row>
    <row r="19" spans="1:6" ht="20.399999999999999" x14ac:dyDescent="0.3">
      <c r="A19" s="347" t="s">
        <v>1210</v>
      </c>
      <c r="B19" s="346" t="s">
        <v>269</v>
      </c>
      <c r="C19" s="450">
        <v>4623841</v>
      </c>
      <c r="D19" s="451">
        <v>8272130</v>
      </c>
      <c r="E19" s="462"/>
    </row>
    <row r="20" spans="1:6" ht="30.6" x14ac:dyDescent="0.3">
      <c r="A20" s="347" t="s">
        <v>1211</v>
      </c>
      <c r="B20" s="346" t="s">
        <v>269</v>
      </c>
      <c r="C20" s="449">
        <v>245644</v>
      </c>
      <c r="D20" s="449">
        <v>366824</v>
      </c>
    </row>
    <row r="21" spans="1:6" ht="20.399999999999999" x14ac:dyDescent="0.3">
      <c r="A21" s="347" t="s">
        <v>1212</v>
      </c>
      <c r="B21" s="346" t="s">
        <v>269</v>
      </c>
      <c r="C21" s="450">
        <v>3786491</v>
      </c>
      <c r="D21" s="450">
        <v>4051580</v>
      </c>
    </row>
    <row r="22" spans="1:6" ht="20.399999999999999" x14ac:dyDescent="0.3">
      <c r="A22" s="347" t="s">
        <v>1213</v>
      </c>
      <c r="B22" s="346" t="s">
        <v>269</v>
      </c>
      <c r="C22" s="449">
        <v>4638837</v>
      </c>
      <c r="D22" s="449">
        <v>4219162</v>
      </c>
    </row>
    <row r="23" spans="1:6" ht="30.6" x14ac:dyDescent="0.3">
      <c r="A23" s="347" t="s">
        <v>1214</v>
      </c>
      <c r="B23" s="346" t="s">
        <v>269</v>
      </c>
      <c r="C23" s="450">
        <v>645029</v>
      </c>
      <c r="D23" s="450">
        <v>747376</v>
      </c>
    </row>
    <row r="24" spans="1:6" ht="30.6" x14ac:dyDescent="0.3">
      <c r="A24" s="347" t="s">
        <v>1215</v>
      </c>
      <c r="B24" s="346" t="s">
        <v>269</v>
      </c>
      <c r="C24" s="449">
        <v>0</v>
      </c>
      <c r="D24" s="449">
        <v>0</v>
      </c>
    </row>
    <row r="25" spans="1:6" ht="30.6" x14ac:dyDescent="0.3">
      <c r="A25" s="347" t="s">
        <v>1216</v>
      </c>
      <c r="B25" s="346" t="s">
        <v>269</v>
      </c>
      <c r="C25" s="450">
        <v>0</v>
      </c>
      <c r="D25" s="450">
        <v>0</v>
      </c>
    </row>
    <row r="26" spans="1:6" ht="20.399999999999999" x14ac:dyDescent="0.3">
      <c r="A26" s="347" t="s">
        <v>1217</v>
      </c>
      <c r="B26" s="346" t="s">
        <v>269</v>
      </c>
      <c r="C26" s="449">
        <v>346064</v>
      </c>
      <c r="D26" s="449">
        <v>216960</v>
      </c>
    </row>
    <row r="27" spans="1:6" ht="30.6" x14ac:dyDescent="0.3">
      <c r="A27" s="347" t="s">
        <v>1218</v>
      </c>
      <c r="B27" s="346" t="s">
        <v>269</v>
      </c>
      <c r="C27" s="450">
        <v>78355</v>
      </c>
      <c r="D27" s="450">
        <v>98979</v>
      </c>
    </row>
    <row r="28" spans="1:6" ht="30.6" x14ac:dyDescent="0.3">
      <c r="A28" s="347" t="s">
        <v>1219</v>
      </c>
      <c r="B28" s="346" t="s">
        <v>269</v>
      </c>
      <c r="C28" s="449">
        <v>760867</v>
      </c>
      <c r="D28" s="449">
        <v>842727</v>
      </c>
    </row>
    <row r="29" spans="1:6" ht="20.399999999999999" x14ac:dyDescent="0.3">
      <c r="A29" s="347" t="s">
        <v>1220</v>
      </c>
      <c r="B29" s="346" t="s">
        <v>269</v>
      </c>
      <c r="C29" s="450">
        <v>56476</v>
      </c>
      <c r="D29" s="450">
        <v>68365</v>
      </c>
    </row>
    <row r="30" spans="1:6" ht="20.399999999999999" x14ac:dyDescent="0.3">
      <c r="A30" s="347" t="s">
        <v>1221</v>
      </c>
      <c r="B30" s="346" t="s">
        <v>269</v>
      </c>
      <c r="C30" s="449">
        <v>15576</v>
      </c>
      <c r="D30" s="449">
        <v>8355</v>
      </c>
    </row>
    <row r="31" spans="1:6" ht="20.399999999999999" x14ac:dyDescent="0.3">
      <c r="A31" s="347" t="s">
        <v>1222</v>
      </c>
      <c r="B31" s="346" t="s">
        <v>269</v>
      </c>
      <c r="C31" s="450">
        <v>75530</v>
      </c>
      <c r="D31" s="450">
        <v>19310</v>
      </c>
    </row>
    <row r="32" spans="1:6" x14ac:dyDescent="0.25">
      <c r="A32" s="349" t="s">
        <v>1223</v>
      </c>
    </row>
  </sheetData>
  <mergeCells count="11">
    <mergeCell ref="A6:B6"/>
    <mergeCell ref="C6:D6"/>
    <mergeCell ref="A7:B7"/>
    <mergeCell ref="A8:B8"/>
    <mergeCell ref="C8:D8"/>
    <mergeCell ref="A3:B3"/>
    <mergeCell ref="C3:D3"/>
    <mergeCell ref="A4:B4"/>
    <mergeCell ref="C4:D4"/>
    <mergeCell ref="A5:B5"/>
    <mergeCell ref="C5:D5"/>
  </mergeCells>
  <hyperlinks>
    <hyperlink ref="A2" r:id="rId1" display="http://dati.istat.it/OECDStat_Metadata/ShowMetadata.ashx?Dataset=DCSP_SBSNAZ&amp;ShowOnWeb=true&amp;Lang=it" xr:uid="{269D947A-276D-44D2-A8B3-35098090168B}"/>
    <hyperlink ref="D7" r:id="rId2" display="http://dati.istat.it/OECDStat_Metadata/ShowMetadata.ashx?Dataset=DCSP_SBSNAZ&amp;Coords=[TIME].[2017]&amp;ShowOnWeb=true&amp;Lang=it" xr:uid="{69B8AB74-75AD-4920-8A27-333321969DB5}"/>
    <hyperlink ref="A10" r:id="rId3" display="http://dati.istat.it/OECDStat_Metadata/ShowMetadata.ashx?Dataset=DCSP_SBSNAZ&amp;Coords=[TIPO_DATO29].[11110]&amp;ShowOnWeb=true&amp;Lang=it" xr:uid="{4FFA2481-6E15-4EE7-84FD-9F09716DE113}"/>
    <hyperlink ref="A11" r:id="rId4" display="http://dati.istat.it/OECDStat_Metadata/ShowMetadata.ashx?Dataset=DCSP_SBSNAZ&amp;Coords=[TIPO_DATO29].[12110]&amp;ShowOnWeb=true&amp;Lang=it" xr:uid="{18717BD7-DF1B-4049-82E2-BED34561772C}"/>
    <hyperlink ref="A13" r:id="rId5" display="http://dati.istat.it/OECDStat_Metadata/ShowMetadata.ashx?Dataset=DCSP_SBSNAZ&amp;Coords=[TIPO_DATO29].[12150]&amp;ShowOnWeb=true&amp;Lang=it" xr:uid="{2DCA0283-278C-4B23-8F67-8BAD0E9739E9}"/>
    <hyperlink ref="A14" r:id="rId6" display="http://dati.istat.it/OECDStat_Metadata/ShowMetadata.ashx?Dataset=DCSP_SBSNAZ&amp;Coords=[TIPO_DATO29].[12170]&amp;ShowOnWeb=true&amp;Lang=it" xr:uid="{01895B94-8226-439B-8C79-424B71CEDD8C}"/>
    <hyperlink ref="A15" r:id="rId7" display="http://dati.istat.it/OECDStat_Metadata/ShowMetadata.ashx?Dataset=DCSP_SBSNAZ&amp;Coords=[TIPO_DATO29].[13110]&amp;ShowOnWeb=true&amp;Lang=it" xr:uid="{2F4A6551-D836-4B04-BC7E-FEEBCECF32BE}"/>
    <hyperlink ref="A16" r:id="rId8" display="http://dati.istat.it/OECDStat_Metadata/ShowMetadata.ashx?Dataset=DCSP_SBSNAZ&amp;Coords=[TIPO_DATO29].[13310]&amp;ShowOnWeb=true&amp;Lang=it" xr:uid="{DFC22B76-0B9A-4558-B758-BA2AFDFFC86F}"/>
    <hyperlink ref="A17" r:id="rId9" display="http://dati.istat.it/OECDStat_Metadata/ShowMetadata.ashx?Dataset=DCSP_SBSNAZ&amp;Coords=[TIPO_DATO29].[13320]&amp;ShowOnWeb=true&amp;Lang=it" xr:uid="{0C716A1E-09C8-499C-9BF5-42B3407948DE}"/>
    <hyperlink ref="A32" r:id="rId10" display="http://dativ7b.istat.it//index.aspx?DatasetCode=DCSP_SBSNAZ" xr:uid="{5A2C2F70-99E9-4AA9-ADB7-08FEBA285F41}"/>
  </hyperlinks>
  <pageMargins left="0.75" right="0.75" top="1" bottom="1" header="0.5" footer="0.5"/>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CBBD3-4108-4542-A0D4-473FF772120F}">
  <sheetPr>
    <tabColor rgb="FF00B050"/>
  </sheetPr>
  <dimension ref="A1:O61"/>
  <sheetViews>
    <sheetView topLeftCell="A39" workbookViewId="0">
      <selection activeCell="I37" sqref="I37"/>
    </sheetView>
  </sheetViews>
  <sheetFormatPr defaultColWidth="9.109375" defaultRowHeight="14.4" x14ac:dyDescent="0.3"/>
  <cols>
    <col min="1" max="1" width="37" style="91" customWidth="1"/>
    <col min="2" max="4" width="16.44140625" style="91" customWidth="1"/>
    <col min="5" max="6" width="15.33203125" style="91" customWidth="1"/>
    <col min="7" max="7" width="15.6640625" style="91" customWidth="1"/>
    <col min="8" max="8" width="12" style="91" customWidth="1"/>
    <col min="9" max="9" width="13.33203125" style="91" customWidth="1"/>
    <col min="10" max="10" width="12" style="91" customWidth="1"/>
    <col min="11" max="11" width="13" style="91" customWidth="1"/>
    <col min="12" max="12" width="11.5546875" style="91" bestFit="1" customWidth="1"/>
    <col min="13" max="13" width="11.6640625" style="91" customWidth="1"/>
    <col min="14" max="16384" width="9.109375" style="91"/>
  </cols>
  <sheetData>
    <row r="1" spans="1:15" ht="18" x14ac:dyDescent="0.35">
      <c r="A1" s="89" t="s">
        <v>389</v>
      </c>
      <c r="B1" s="90"/>
      <c r="C1" s="90"/>
      <c r="D1" s="90"/>
      <c r="E1" s="90"/>
    </row>
    <row r="2" spans="1:15" ht="18.600000000000001" thickBot="1" x14ac:dyDescent="0.4">
      <c r="A2" s="89" t="s">
        <v>2330</v>
      </c>
      <c r="B2" s="90"/>
      <c r="C2" s="90"/>
      <c r="D2" s="90"/>
      <c r="E2" s="90"/>
    </row>
    <row r="3" spans="1:15" ht="80.25" customHeight="1" thickBot="1" x14ac:dyDescent="0.35">
      <c r="A3" s="310" t="s">
        <v>2076</v>
      </c>
      <c r="B3" s="1206" t="s">
        <v>2072</v>
      </c>
      <c r="C3" s="1207"/>
      <c r="D3" s="1207"/>
      <c r="E3" s="1208"/>
      <c r="F3" s="1206" t="s">
        <v>2073</v>
      </c>
      <c r="G3" s="1209"/>
      <c r="H3" s="1209"/>
      <c r="I3" s="1208"/>
      <c r="J3" s="1210" t="s">
        <v>180</v>
      </c>
      <c r="K3" s="1211"/>
      <c r="L3" s="1211"/>
      <c r="M3" s="1212"/>
    </row>
    <row r="4" spans="1:15" ht="35.25" customHeight="1" thickBot="1" x14ac:dyDescent="0.4">
      <c r="A4" s="971" t="s">
        <v>181</v>
      </c>
      <c r="B4" s="982">
        <v>2018</v>
      </c>
      <c r="C4" s="983">
        <v>2019</v>
      </c>
      <c r="D4" s="975">
        <v>2020</v>
      </c>
      <c r="E4" s="978" t="s">
        <v>2327</v>
      </c>
      <c r="F4" s="914">
        <v>2018</v>
      </c>
      <c r="G4" s="973">
        <v>2019</v>
      </c>
      <c r="H4" s="984">
        <v>2020</v>
      </c>
      <c r="I4" s="981" t="s">
        <v>2327</v>
      </c>
      <c r="J4" s="1002">
        <v>2018</v>
      </c>
      <c r="K4" s="973">
        <v>2019</v>
      </c>
      <c r="L4" s="975">
        <v>2020</v>
      </c>
      <c r="M4" s="981" t="s">
        <v>2328</v>
      </c>
    </row>
    <row r="5" spans="1:15" ht="29.4" thickBot="1" x14ac:dyDescent="0.35">
      <c r="A5" s="100" t="s">
        <v>486</v>
      </c>
      <c r="B5" s="976" t="s">
        <v>138</v>
      </c>
      <c r="C5" s="974" t="s">
        <v>138</v>
      </c>
      <c r="D5" s="979" t="s">
        <v>138</v>
      </c>
      <c r="E5" s="1004" t="s">
        <v>138</v>
      </c>
      <c r="F5" s="976" t="s">
        <v>163</v>
      </c>
      <c r="G5" s="977" t="s">
        <v>163</v>
      </c>
      <c r="H5" s="979" t="s">
        <v>162</v>
      </c>
      <c r="I5" s="1004" t="s">
        <v>163</v>
      </c>
      <c r="J5" s="1003" t="s">
        <v>2333</v>
      </c>
      <c r="K5" s="980" t="s">
        <v>2333</v>
      </c>
      <c r="L5" s="980" t="s">
        <v>2333</v>
      </c>
      <c r="M5" s="1001" t="s">
        <v>2333</v>
      </c>
      <c r="O5" s="91" t="s">
        <v>183</v>
      </c>
    </row>
    <row r="6" spans="1:15" x14ac:dyDescent="0.3">
      <c r="A6" s="236" t="s">
        <v>394</v>
      </c>
      <c r="B6" s="1007">
        <f>8157.42465972375*10</f>
        <v>81574.246597237492</v>
      </c>
      <c r="C6" s="986">
        <f>8232.41213538298*10</f>
        <v>82324.121353829803</v>
      </c>
      <c r="D6" s="1009">
        <f>8307.4*10</f>
        <v>83074</v>
      </c>
      <c r="E6" s="988"/>
      <c r="F6" s="724">
        <f>-26476.0740978762/1000</f>
        <v>-26.4760740978762</v>
      </c>
      <c r="G6" s="989">
        <f>-30374.1509503765/1000</f>
        <v>-30.374150950376499</v>
      </c>
      <c r="H6" s="1006">
        <f>-25039.5504593987/1000</f>
        <v>-25.039550459398701</v>
      </c>
      <c r="I6" s="988"/>
      <c r="J6" s="990">
        <f t="shared" ref="J6:L8" si="0">1000000*F6/(100*B6)</f>
        <v>-3.2456412657536955</v>
      </c>
      <c r="K6" s="990">
        <f t="shared" si="0"/>
        <v>-3.6895809455199808</v>
      </c>
      <c r="L6" s="990">
        <f t="shared" si="0"/>
        <v>-3.0141260152874185</v>
      </c>
      <c r="M6" s="991">
        <f>AVERAGE(J6:L6)</f>
        <v>-3.3164494088536984</v>
      </c>
      <c r="O6" s="118">
        <f t="shared" ref="O6:O12" si="1">(D6)/($D$12)</f>
        <v>0.30894628161633525</v>
      </c>
    </row>
    <row r="7" spans="1:15" x14ac:dyDescent="0.3">
      <c r="A7" s="236" t="s">
        <v>395</v>
      </c>
      <c r="B7" s="1007">
        <f>8845.49844*10</f>
        <v>88454.984399999987</v>
      </c>
      <c r="C7" s="992">
        <f>8845.49844*10</f>
        <v>88454.984399999987</v>
      </c>
      <c r="D7" s="1008">
        <f>8845.49844*10</f>
        <v>88454.984399999987</v>
      </c>
      <c r="E7" s="993"/>
      <c r="F7" s="724">
        <f>-1471.68847540928/1000</f>
        <v>-1.4716884754092801</v>
      </c>
      <c r="G7" s="319">
        <f>-1675.43271019305/1000</f>
        <v>-1.6754327101930502</v>
      </c>
      <c r="H7" s="1006">
        <f>-342.532339686754/1000</f>
        <v>-0.34253233968675401</v>
      </c>
      <c r="I7" s="993"/>
      <c r="J7" s="994">
        <f t="shared" si="0"/>
        <v>-0.16637711095557892</v>
      </c>
      <c r="K7" s="994">
        <f t="shared" si="0"/>
        <v>-0.18941077448124566</v>
      </c>
      <c r="L7" s="994">
        <f t="shared" si="0"/>
        <v>-3.872391612639909E-2</v>
      </c>
      <c r="M7" s="991">
        <f t="shared" ref="M7:M13" si="2">AVERAGE(J7:L7)</f>
        <v>-0.1315039338544079</v>
      </c>
      <c r="O7" s="118">
        <f t="shared" si="1"/>
        <v>0.32895777885753591</v>
      </c>
    </row>
    <row r="8" spans="1:15" x14ac:dyDescent="0.3">
      <c r="A8" s="236" t="s">
        <v>396</v>
      </c>
      <c r="B8" s="1007">
        <f>6749.94081905213*10</f>
        <v>67499.408190521295</v>
      </c>
      <c r="C8" s="992">
        <f>6698.32117023355*10</f>
        <v>66983.211702335509</v>
      </c>
      <c r="D8" s="1008">
        <f>6646.6666188448*10</f>
        <v>66466.666188447998</v>
      </c>
      <c r="E8" s="993"/>
      <c r="F8" s="724">
        <f>-2880.67660284959/1000</f>
        <v>-2.88067660284959</v>
      </c>
      <c r="G8" s="319">
        <f>-2669.98952182846/1000</f>
        <v>-2.6699895218284602</v>
      </c>
      <c r="H8" s="1006">
        <f>-2304.01376514575/1000</f>
        <v>-2.3040137651457497</v>
      </c>
      <c r="I8" s="993"/>
      <c r="J8" s="994">
        <f t="shared" si="0"/>
        <v>-0.4267706458579163</v>
      </c>
      <c r="K8" s="994">
        <f t="shared" si="0"/>
        <v>-0.39860577807071096</v>
      </c>
      <c r="L8" s="994">
        <f t="shared" si="0"/>
        <v>-0.34664199323813699</v>
      </c>
      <c r="M8" s="991">
        <f t="shared" si="2"/>
        <v>-0.39067280572225477</v>
      </c>
      <c r="O8" s="118">
        <f t="shared" si="1"/>
        <v>0.24718479151545855</v>
      </c>
    </row>
    <row r="9" spans="1:15" x14ac:dyDescent="0.3">
      <c r="A9" s="236" t="s">
        <v>397</v>
      </c>
      <c r="B9" s="1007">
        <f>513.849535*10</f>
        <v>5138.4953499999992</v>
      </c>
      <c r="C9" s="992">
        <f>514.3231615*10</f>
        <v>5143.2316149999997</v>
      </c>
      <c r="D9" s="1008">
        <f>514.796788*10</f>
        <v>5147.9678800000002</v>
      </c>
      <c r="E9" s="993"/>
      <c r="F9" s="1010" t="s">
        <v>2069</v>
      </c>
      <c r="G9" s="1010" t="s">
        <v>2069</v>
      </c>
      <c r="H9" s="1010" t="s">
        <v>2069</v>
      </c>
      <c r="I9" s="993"/>
      <c r="J9" s="994"/>
      <c r="K9" s="994"/>
      <c r="L9" s="987"/>
      <c r="M9" s="1014">
        <v>0</v>
      </c>
      <c r="O9" s="118">
        <f t="shared" si="1"/>
        <v>1.9144925420785424E-2</v>
      </c>
    </row>
    <row r="10" spans="1:15" x14ac:dyDescent="0.3">
      <c r="A10" s="236" t="s">
        <v>399</v>
      </c>
      <c r="B10" s="1007">
        <f>1864.85164766668*10</f>
        <v>18648.516476666802</v>
      </c>
      <c r="C10" s="992">
        <f>1892.45683250001*10</f>
        <v>18924.568325000102</v>
      </c>
      <c r="D10" s="1008">
        <f>1920.06201733334*10</f>
        <v>19200.620173333402</v>
      </c>
      <c r="E10" s="993"/>
      <c r="F10" s="1011" t="s">
        <v>2329</v>
      </c>
      <c r="G10" s="1011" t="s">
        <v>2329</v>
      </c>
      <c r="H10" s="1011" t="s">
        <v>2329</v>
      </c>
      <c r="I10" s="993"/>
      <c r="J10" s="994"/>
      <c r="K10" s="994"/>
      <c r="L10" s="987"/>
      <c r="M10" s="991">
        <v>0</v>
      </c>
      <c r="O10" s="118">
        <f t="shared" si="1"/>
        <v>7.1405737141331208E-2</v>
      </c>
    </row>
    <row r="11" spans="1:15" x14ac:dyDescent="0.3">
      <c r="A11" s="236" t="s">
        <v>400</v>
      </c>
      <c r="B11" s="1007">
        <f>655.040403*10</f>
        <v>6550.4040299999997</v>
      </c>
      <c r="C11" s="992">
        <f>655.040403*10</f>
        <v>6550.4040299999997</v>
      </c>
      <c r="D11" s="1008">
        <f>655.040403*10</f>
        <v>6550.4040299999997</v>
      </c>
      <c r="E11" s="993"/>
      <c r="F11" s="1012"/>
      <c r="G11" s="1013" t="s">
        <v>343</v>
      </c>
      <c r="H11" s="1013" t="s">
        <v>343</v>
      </c>
      <c r="I11" s="993"/>
      <c r="J11" s="995"/>
      <c r="K11" s="995"/>
      <c r="L11" s="987"/>
      <c r="M11" s="991">
        <v>0</v>
      </c>
      <c r="O11" s="118">
        <f t="shared" si="1"/>
        <v>2.4360485448553786E-2</v>
      </c>
    </row>
    <row r="12" spans="1:15" ht="15" thickBot="1" x14ac:dyDescent="0.35">
      <c r="A12" s="126" t="s">
        <v>402</v>
      </c>
      <c r="B12" s="996">
        <f t="shared" ref="B12" si="3">SUM(B6:B11)</f>
        <v>267866.05504442559</v>
      </c>
      <c r="C12" s="997">
        <f>SUM(C6:C11)</f>
        <v>268380.52142616536</v>
      </c>
      <c r="D12" s="997">
        <f>SUM(D6:D11)</f>
        <v>268894.64267178136</v>
      </c>
      <c r="E12" s="985"/>
      <c r="F12" s="998">
        <f>SUM(F6:F11)</f>
        <v>-30.82843917613507</v>
      </c>
      <c r="G12" s="999">
        <f>SUM(G6:G11)</f>
        <v>-34.719573182398015</v>
      </c>
      <c r="H12" s="999">
        <f>SUM(H6:H11)</f>
        <v>-27.686096564231207</v>
      </c>
      <c r="I12" s="985"/>
      <c r="J12" s="1000">
        <f>1000000*F12/(100*(B6+B7+B8))</f>
        <v>-1.2978830376646151</v>
      </c>
      <c r="K12" s="1000">
        <f>1000000*G12/(100*(C6+C7+C8))</f>
        <v>-1.4602639120389225</v>
      </c>
      <c r="L12" s="987">
        <f t="shared" ref="L12" si="4">H12/D12</f>
        <v>-1.0296261870127869E-4</v>
      </c>
      <c r="M12" s="991">
        <f t="shared" si="2"/>
        <v>-0.91941663744074631</v>
      </c>
      <c r="N12" s="91" t="s">
        <v>2332</v>
      </c>
      <c r="O12" s="118">
        <f t="shared" si="1"/>
        <v>1</v>
      </c>
    </row>
    <row r="13" spans="1:15" x14ac:dyDescent="0.3">
      <c r="A13" s="247" t="s">
        <v>403</v>
      </c>
      <c r="B13" s="248"/>
      <c r="C13" s="972">
        <f>10*(1291.46345541242+155.610359999999+1366.69525030909+71.9294245857891+409.850367076173)</f>
        <v>32955.488573834707</v>
      </c>
      <c r="E13" s="972"/>
      <c r="F13" s="250"/>
      <c r="G13" s="250"/>
      <c r="H13" s="250"/>
      <c r="I13" s="250"/>
      <c r="J13" s="251">
        <f>1000000*F12/($C$14*100)</f>
        <v>-1.023058584207545</v>
      </c>
      <c r="K13" s="251">
        <f t="shared" ref="K13:L13" si="5">1000000*G12/($C$14*100)</f>
        <v>-1.1521879904893546</v>
      </c>
      <c r="L13" s="251">
        <f t="shared" si="5"/>
        <v>-0.91877822913468588</v>
      </c>
      <c r="M13" s="991">
        <f t="shared" si="2"/>
        <v>-1.0313416012771952</v>
      </c>
      <c r="N13" s="91" t="s">
        <v>2331</v>
      </c>
    </row>
    <row r="14" spans="1:15" x14ac:dyDescent="0.3">
      <c r="A14" s="247" t="s">
        <v>404</v>
      </c>
      <c r="B14" s="248"/>
      <c r="C14" s="320">
        <f>C12+C13</f>
        <v>301336.01000000007</v>
      </c>
      <c r="E14" s="250"/>
      <c r="F14" s="250"/>
      <c r="G14" s="250"/>
      <c r="H14" s="250"/>
      <c r="I14" s="250"/>
      <c r="J14" s="251"/>
      <c r="K14" s="252"/>
      <c r="L14" s="118"/>
    </row>
    <row r="15" spans="1:15" x14ac:dyDescent="0.3">
      <c r="A15" s="135" t="s">
        <v>2070</v>
      </c>
      <c r="B15" s="136"/>
      <c r="C15" s="136"/>
      <c r="L15" s="134">
        <f>SUM(O6:O11)</f>
        <v>1.0000000000000002</v>
      </c>
    </row>
    <row r="16" spans="1:15" x14ac:dyDescent="0.3">
      <c r="A16" s="91" t="s">
        <v>2071</v>
      </c>
      <c r="B16" s="136"/>
      <c r="C16" s="136"/>
    </row>
    <row r="17" spans="1:11" ht="15.6" x14ac:dyDescent="0.3">
      <c r="A17" s="253" t="s">
        <v>2374</v>
      </c>
      <c r="B17" s="136"/>
      <c r="C17" s="136"/>
    </row>
    <row r="18" spans="1:11" ht="15.6" x14ac:dyDescent="0.3">
      <c r="A18" s="253" t="s">
        <v>2334</v>
      </c>
    </row>
    <row r="19" spans="1:11" ht="43.2" x14ac:dyDescent="0.3">
      <c r="A19" s="112" t="s">
        <v>174</v>
      </c>
      <c r="B19" s="138" t="s">
        <v>148</v>
      </c>
      <c r="C19" s="138" t="s">
        <v>149</v>
      </c>
      <c r="D19" s="138" t="s">
        <v>150</v>
      </c>
      <c r="E19" s="138" t="s">
        <v>151</v>
      </c>
      <c r="F19" s="311" t="s">
        <v>152</v>
      </c>
      <c r="G19" s="112" t="s">
        <v>485</v>
      </c>
      <c r="H19" s="91" t="s">
        <v>2335</v>
      </c>
    </row>
    <row r="20" spans="1:11" x14ac:dyDescent="0.3">
      <c r="A20" s="112" t="s">
        <v>148</v>
      </c>
      <c r="B20" s="254">
        <f>M6</f>
        <v>-3.3164494088536984</v>
      </c>
      <c r="C20" s="255">
        <f>M7-M6</f>
        <v>3.1849454749992905</v>
      </c>
      <c r="D20" s="255">
        <f>M8-M6</f>
        <v>2.9257766031314438</v>
      </c>
      <c r="E20" s="261">
        <f>M9-M6</f>
        <v>3.3164494088536984</v>
      </c>
      <c r="F20" s="261">
        <f>M10-M6</f>
        <v>3.3164494088536984</v>
      </c>
      <c r="G20" s="1015">
        <f>M11-M6</f>
        <v>3.3164494088536984</v>
      </c>
    </row>
    <row r="21" spans="1:11" x14ac:dyDescent="0.3">
      <c r="A21" s="112" t="s">
        <v>149</v>
      </c>
      <c r="B21" s="260">
        <f>M6-M7</f>
        <v>-3.1849454749992905</v>
      </c>
      <c r="C21" s="254">
        <f>M7</f>
        <v>-0.1315039338544079</v>
      </c>
      <c r="D21" s="254">
        <f>M8-M7</f>
        <v>-0.25916887186784687</v>
      </c>
      <c r="E21" s="261">
        <f>M9-M7</f>
        <v>0.1315039338544079</v>
      </c>
      <c r="F21" s="1016">
        <f>M10-M7</f>
        <v>0.1315039338544079</v>
      </c>
      <c r="G21" s="1015">
        <f>M11-M7</f>
        <v>0.1315039338544079</v>
      </c>
    </row>
    <row r="22" spans="1:11" s="137" customFormat="1" x14ac:dyDescent="0.3">
      <c r="A22" s="247" t="s">
        <v>150</v>
      </c>
      <c r="B22" s="314">
        <f>M6-M8</f>
        <v>-2.9257766031314438</v>
      </c>
      <c r="C22" s="323">
        <f>M7-M8</f>
        <v>0.25916887186784687</v>
      </c>
      <c r="D22" s="317">
        <f>M8</f>
        <v>-0.39067280572225477</v>
      </c>
      <c r="E22" s="323">
        <f>M9-M8</f>
        <v>0.39067280572225477</v>
      </c>
      <c r="F22" s="316">
        <f>M10-M8</f>
        <v>0.39067280572225477</v>
      </c>
      <c r="G22" s="1017">
        <f>M11-M8</f>
        <v>0.39067280572225477</v>
      </c>
    </row>
    <row r="23" spans="1:11" x14ac:dyDescent="0.3">
      <c r="A23" s="112" t="s">
        <v>151</v>
      </c>
      <c r="B23" s="260">
        <f>M6-M9</f>
        <v>-3.3164494088536984</v>
      </c>
      <c r="C23" s="254">
        <f>M7-M9</f>
        <v>-0.1315039338544079</v>
      </c>
      <c r="D23" s="254">
        <f>M8-M9</f>
        <v>-0.39067280572225477</v>
      </c>
      <c r="E23" s="318">
        <f>M9</f>
        <v>0</v>
      </c>
      <c r="F23" s="312">
        <f>M10-M9</f>
        <v>0</v>
      </c>
      <c r="G23" s="313">
        <f>M11-M9</f>
        <v>0</v>
      </c>
    </row>
    <row r="24" spans="1:11" s="137" customFormat="1" x14ac:dyDescent="0.3">
      <c r="A24" s="247" t="s">
        <v>152</v>
      </c>
      <c r="B24" s="314">
        <f>M6-M10</f>
        <v>-3.3164494088536984</v>
      </c>
      <c r="C24" s="317">
        <f>M7-M10</f>
        <v>-0.1315039338544079</v>
      </c>
      <c r="D24" s="317">
        <f>M8-M10</f>
        <v>-0.39067280572225477</v>
      </c>
      <c r="E24" s="315">
        <f>M9-M10</f>
        <v>0</v>
      </c>
      <c r="F24" s="325">
        <f>M10</f>
        <v>0</v>
      </c>
      <c r="G24" s="324">
        <f>M11-M10</f>
        <v>0</v>
      </c>
    </row>
    <row r="25" spans="1:11" x14ac:dyDescent="0.3">
      <c r="A25" s="112" t="s">
        <v>1062</v>
      </c>
      <c r="B25" s="1018">
        <f>M6-M11</f>
        <v>-3.3164494088536984</v>
      </c>
      <c r="C25" s="1018">
        <f>M7-M11</f>
        <v>-0.1315039338544079</v>
      </c>
      <c r="D25" s="1018">
        <f>M8-M11</f>
        <v>-0.39067280572225477</v>
      </c>
      <c r="E25" s="326">
        <f>M9-M11</f>
        <v>0</v>
      </c>
      <c r="F25" s="326">
        <f>M10-M11</f>
        <v>0</v>
      </c>
      <c r="G25" s="326">
        <f>M11</f>
        <v>0</v>
      </c>
    </row>
    <row r="26" spans="1:11" x14ac:dyDescent="0.3">
      <c r="A26" s="334" t="s">
        <v>1063</v>
      </c>
      <c r="B26" s="327"/>
      <c r="C26" s="327"/>
      <c r="D26" s="327"/>
      <c r="E26" s="328"/>
      <c r="F26" s="328"/>
      <c r="G26" s="328"/>
    </row>
    <row r="27" spans="1:11" ht="40.200000000000003" customHeight="1" x14ac:dyDescent="0.3">
      <c r="A27" s="91" t="s">
        <v>2375</v>
      </c>
    </row>
    <row r="28" spans="1:11" x14ac:dyDescent="0.3">
      <c r="A28" s="90" t="s">
        <v>1994</v>
      </c>
      <c r="B28" s="241">
        <v>107.86303116910148</v>
      </c>
      <c r="C28" s="1148">
        <v>100</v>
      </c>
      <c r="D28" s="329" t="s">
        <v>1993</v>
      </c>
      <c r="E28" s="329"/>
      <c r="H28" s="90"/>
      <c r="I28" s="90"/>
      <c r="J28" s="90"/>
      <c r="K28" s="90"/>
    </row>
    <row r="29" spans="1:11" ht="15.6" x14ac:dyDescent="0.3">
      <c r="A29" s="253" t="s">
        <v>2426</v>
      </c>
      <c r="I29" s="329" t="s">
        <v>2435</v>
      </c>
      <c r="J29" s="329"/>
      <c r="K29" s="329"/>
    </row>
    <row r="30" spans="1:11" ht="43.2" x14ac:dyDescent="0.3">
      <c r="A30" s="335" t="str">
        <f t="shared" ref="A30:G30" si="6">A19</f>
        <v>From (riga) to (colonna)</v>
      </c>
      <c r="B30" s="336" t="str">
        <f t="shared" si="6"/>
        <v>Forest Land - Boschi e foreste</v>
      </c>
      <c r="C30" s="336" t="str">
        <f t="shared" si="6"/>
        <v>Crop Land - Aree agricole coltivate</v>
      </c>
      <c r="D30" s="336" t="str">
        <f t="shared" si="6"/>
        <v>Grass land - Pascoli e praterie</v>
      </c>
      <c r="E30" s="336" t="str">
        <f t="shared" si="6"/>
        <v>Wetlands - Aree umide e corpi idrici</v>
      </c>
      <c r="F30" s="337" t="str">
        <f t="shared" si="6"/>
        <v>Settlements - Insediamenti</v>
      </c>
      <c r="G30" s="105" t="str">
        <f t="shared" si="6"/>
        <v>Other land</v>
      </c>
      <c r="H30" s="91" t="s">
        <v>2335</v>
      </c>
    </row>
    <row r="31" spans="1:11" x14ac:dyDescent="0.3">
      <c r="A31" s="112" t="str">
        <f>A20</f>
        <v>Forest Land - Boschi e foreste</v>
      </c>
      <c r="B31" s="332">
        <f t="shared" ref="B31:G36" si="7">-B20*$C$28</f>
        <v>331.64494088536986</v>
      </c>
      <c r="C31" s="331">
        <f t="shared" si="7"/>
        <v>-318.49454749992907</v>
      </c>
      <c r="D31" s="330">
        <f t="shared" si="7"/>
        <v>-292.57766031314441</v>
      </c>
      <c r="E31" s="330">
        <f t="shared" si="7"/>
        <v>-331.64494088536986</v>
      </c>
      <c r="F31" s="330">
        <f t="shared" si="7"/>
        <v>-331.64494088536986</v>
      </c>
      <c r="G31" s="1019">
        <f t="shared" si="7"/>
        <v>-331.64494088536986</v>
      </c>
    </row>
    <row r="32" spans="1:11" x14ac:dyDescent="0.3">
      <c r="A32" s="112" t="str">
        <f>A21</f>
        <v>Crop Land - Aree agricole coltivate</v>
      </c>
      <c r="B32" s="340">
        <f t="shared" si="7"/>
        <v>318.49454749992907</v>
      </c>
      <c r="C32" s="332">
        <f t="shared" si="7"/>
        <v>13.15039338544079</v>
      </c>
      <c r="D32" s="330">
        <f t="shared" si="7"/>
        <v>25.916887186784688</v>
      </c>
      <c r="E32" s="330">
        <f t="shared" si="7"/>
        <v>-13.15039338544079</v>
      </c>
      <c r="F32" s="1020">
        <f t="shared" si="7"/>
        <v>-13.15039338544079</v>
      </c>
      <c r="G32" s="1019">
        <f t="shared" si="7"/>
        <v>-13.15039338544079</v>
      </c>
    </row>
    <row r="33" spans="1:11" x14ac:dyDescent="0.3">
      <c r="A33" s="1033" t="str">
        <f>A22</f>
        <v>Grass land - Pascoli e praterie</v>
      </c>
      <c r="B33" s="487">
        <f t="shared" si="7"/>
        <v>292.57766031314441</v>
      </c>
      <c r="C33" s="486">
        <f t="shared" si="7"/>
        <v>-25.916887186784688</v>
      </c>
      <c r="D33" s="332">
        <f t="shared" si="7"/>
        <v>39.067280572225478</v>
      </c>
      <c r="E33" s="486">
        <f t="shared" si="7"/>
        <v>-39.067280572225478</v>
      </c>
      <c r="F33" s="1034">
        <f t="shared" si="7"/>
        <v>-39.067280572225478</v>
      </c>
      <c r="G33" s="1031">
        <f t="shared" si="7"/>
        <v>-39.067280572225478</v>
      </c>
    </row>
    <row r="34" spans="1:11" x14ac:dyDescent="0.3">
      <c r="A34" s="1033" t="str">
        <f>A23</f>
        <v>Wetlands - Aree umide e corpi idrici</v>
      </c>
      <c r="B34" s="487">
        <f t="shared" si="7"/>
        <v>331.64494088536986</v>
      </c>
      <c r="C34" s="486">
        <f t="shared" si="7"/>
        <v>13.15039338544079</v>
      </c>
      <c r="D34" s="330">
        <f t="shared" si="7"/>
        <v>39.067280572225478</v>
      </c>
      <c r="E34" s="330">
        <f t="shared" si="7"/>
        <v>0</v>
      </c>
      <c r="F34" s="1020">
        <f t="shared" si="7"/>
        <v>0</v>
      </c>
      <c r="G34" s="1019">
        <f t="shared" si="7"/>
        <v>0</v>
      </c>
    </row>
    <row r="35" spans="1:11" x14ac:dyDescent="0.3">
      <c r="A35" s="1033" t="str">
        <f>A24</f>
        <v>Settlements - Insediamenti</v>
      </c>
      <c r="B35" s="487">
        <f t="shared" si="7"/>
        <v>331.64494088536986</v>
      </c>
      <c r="C35" s="486">
        <f t="shared" si="7"/>
        <v>13.15039338544079</v>
      </c>
      <c r="D35" s="486">
        <f t="shared" si="7"/>
        <v>39.067280572225478</v>
      </c>
      <c r="E35" s="332">
        <f t="shared" si="7"/>
        <v>0</v>
      </c>
      <c r="F35" s="333">
        <f t="shared" si="7"/>
        <v>0</v>
      </c>
      <c r="G35" s="1021">
        <f t="shared" si="7"/>
        <v>0</v>
      </c>
    </row>
    <row r="36" spans="1:11" x14ac:dyDescent="0.3">
      <c r="A36" s="112" t="s">
        <v>1062</v>
      </c>
      <c r="B36" s="1031">
        <f t="shared" si="7"/>
        <v>331.64494088536986</v>
      </c>
      <c r="C36" s="1031">
        <f t="shared" si="7"/>
        <v>13.15039338544079</v>
      </c>
      <c r="D36" s="1019">
        <f t="shared" si="7"/>
        <v>39.067280572225478</v>
      </c>
      <c r="E36" s="1022">
        <f t="shared" si="7"/>
        <v>0</v>
      </c>
      <c r="F36" s="1022">
        <f t="shared" si="7"/>
        <v>0</v>
      </c>
      <c r="G36" s="1022">
        <f t="shared" si="7"/>
        <v>0</v>
      </c>
    </row>
    <row r="37" spans="1:11" x14ac:dyDescent="0.3">
      <c r="A37" s="334" t="s">
        <v>1063</v>
      </c>
      <c r="B37" s="1032"/>
      <c r="C37" s="1032"/>
    </row>
    <row r="38" spans="1:11" ht="21" x14ac:dyDescent="0.4">
      <c r="A38" s="568" t="s">
        <v>2376</v>
      </c>
    </row>
    <row r="39" spans="1:11" x14ac:dyDescent="0.3">
      <c r="A39" s="1039" t="s">
        <v>2345</v>
      </c>
    </row>
    <row r="40" spans="1:11" x14ac:dyDescent="0.3">
      <c r="A40" s="224" t="s">
        <v>2434</v>
      </c>
      <c r="B40" s="360"/>
      <c r="C40" s="360"/>
      <c r="D40" s="360"/>
      <c r="E40" s="360"/>
      <c r="F40" s="360"/>
      <c r="G40" s="360"/>
      <c r="H40"/>
      <c r="I40"/>
      <c r="J40"/>
    </row>
    <row r="41" spans="1:11" ht="55.2" x14ac:dyDescent="0.3">
      <c r="A41" s="474" t="s">
        <v>174</v>
      </c>
      <c r="B41" s="475" t="s">
        <v>1053</v>
      </c>
      <c r="C41" s="475" t="s">
        <v>1054</v>
      </c>
      <c r="D41" s="475" t="s">
        <v>1055</v>
      </c>
      <c r="E41" s="475" t="s">
        <v>1059</v>
      </c>
      <c r="F41" s="476" t="s">
        <v>1056</v>
      </c>
      <c r="G41" s="476" t="s">
        <v>2337</v>
      </c>
      <c r="H41" s="475" t="s">
        <v>1388</v>
      </c>
      <c r="I41" s="476" t="s">
        <v>2336</v>
      </c>
      <c r="J41" s="475" t="s">
        <v>1519</v>
      </c>
      <c r="K41" s="475" t="s">
        <v>2241</v>
      </c>
    </row>
    <row r="42" spans="1:11" ht="24.6" customHeight="1" x14ac:dyDescent="0.3">
      <c r="A42" s="474" t="s">
        <v>1053</v>
      </c>
      <c r="B42" s="1029">
        <f>B31</f>
        <v>331.64494088536986</v>
      </c>
      <c r="C42" s="1028">
        <f>C32-B42</f>
        <v>-318.49454749992907</v>
      </c>
      <c r="D42" s="1028">
        <f>D33-B42</f>
        <v>-292.57766031314441</v>
      </c>
      <c r="E42" s="1028">
        <f>$D$33-B42</f>
        <v>-292.57766031314441</v>
      </c>
      <c r="F42" s="1028">
        <f>F46-B42</f>
        <v>-331.64494088536986</v>
      </c>
      <c r="G42" s="1028">
        <f>G47-B42</f>
        <v>-331.64494088536986</v>
      </c>
      <c r="H42" s="1038" t="s">
        <v>1425</v>
      </c>
      <c r="I42" s="1038" t="s">
        <v>1425</v>
      </c>
      <c r="J42" s="1038" t="s">
        <v>1425</v>
      </c>
      <c r="K42" s="1038" t="s">
        <v>1425</v>
      </c>
    </row>
    <row r="43" spans="1:11" ht="24.6" customHeight="1" x14ac:dyDescent="0.3">
      <c r="A43" s="474" t="s">
        <v>1054</v>
      </c>
      <c r="B43" s="478">
        <f>$B$31-C43</f>
        <v>318.49454749992907</v>
      </c>
      <c r="C43" s="552">
        <f>$C$32</f>
        <v>13.15039338544079</v>
      </c>
      <c r="D43" s="478">
        <f>$D$33-C43</f>
        <v>25.916887186784688</v>
      </c>
      <c r="E43" s="478">
        <f>$D$33-C43</f>
        <v>25.916887186784688</v>
      </c>
      <c r="F43" s="478">
        <f>F46-C43</f>
        <v>-13.15039338544079</v>
      </c>
      <c r="G43" s="478">
        <f>G47-C43</f>
        <v>-13.15039338544079</v>
      </c>
      <c r="H43" s="1036" t="s">
        <v>1425</v>
      </c>
      <c r="I43" s="1036" t="s">
        <v>1425</v>
      </c>
      <c r="J43" s="1036" t="s">
        <v>1425</v>
      </c>
      <c r="K43" s="1036" t="s">
        <v>1425</v>
      </c>
    </row>
    <row r="44" spans="1:11" ht="24.6" customHeight="1" x14ac:dyDescent="0.3">
      <c r="A44" s="474" t="s">
        <v>1055</v>
      </c>
      <c r="B44" s="478">
        <f>$B$31-D44</f>
        <v>292.57766031314441</v>
      </c>
      <c r="C44" s="478">
        <f>$C$32-D44</f>
        <v>-25.916887186784688</v>
      </c>
      <c r="D44" s="552">
        <f>$D$33</f>
        <v>39.067280572225478</v>
      </c>
      <c r="E44" s="478">
        <f>$D$33-D44</f>
        <v>0</v>
      </c>
      <c r="F44" s="478">
        <f>F46-D44</f>
        <v>-39.067280572225478</v>
      </c>
      <c r="G44" s="478">
        <f>G47-D44</f>
        <v>-39.067280572225478</v>
      </c>
      <c r="H44" s="1036" t="s">
        <v>1425</v>
      </c>
      <c r="I44" s="1036" t="s">
        <v>1425</v>
      </c>
      <c r="J44" s="1036" t="s">
        <v>1425</v>
      </c>
      <c r="K44" s="1036" t="s">
        <v>1425</v>
      </c>
    </row>
    <row r="45" spans="1:11" ht="24.6" customHeight="1" x14ac:dyDescent="0.3">
      <c r="A45" s="474" t="s">
        <v>1059</v>
      </c>
      <c r="B45" s="478">
        <f>$B$31-E45</f>
        <v>292.57766031314441</v>
      </c>
      <c r="C45" s="478">
        <f>$C$32-E45</f>
        <v>-25.916887186784688</v>
      </c>
      <c r="D45" s="478">
        <f>$D$33-E45</f>
        <v>0</v>
      </c>
      <c r="E45" s="552">
        <f>$D$33</f>
        <v>39.067280572225478</v>
      </c>
      <c r="F45" s="478">
        <f>F46-E45</f>
        <v>-39.067280572225478</v>
      </c>
      <c r="G45" s="478">
        <f>G47-E45</f>
        <v>-39.067280572225478</v>
      </c>
      <c r="H45" s="1036" t="s">
        <v>1425</v>
      </c>
      <c r="I45" s="1036" t="s">
        <v>1425</v>
      </c>
      <c r="J45" s="1036" t="s">
        <v>1425</v>
      </c>
      <c r="K45" s="1036" t="s">
        <v>1425</v>
      </c>
    </row>
    <row r="46" spans="1:11" ht="24.6" customHeight="1" x14ac:dyDescent="0.3">
      <c r="A46" s="555" t="s">
        <v>1056</v>
      </c>
      <c r="B46" s="478">
        <f>$B$31-F46</f>
        <v>331.64494088536986</v>
      </c>
      <c r="C46" s="478">
        <f>$C$32-F46</f>
        <v>13.15039338544079</v>
      </c>
      <c r="D46" s="478">
        <f>$D$33-F46</f>
        <v>39.067280572225478</v>
      </c>
      <c r="E46" s="478">
        <f>$D$33-F46</f>
        <v>39.067280572225478</v>
      </c>
      <c r="F46" s="552">
        <v>0</v>
      </c>
      <c r="G46" s="478">
        <f>G47-F46</f>
        <v>0</v>
      </c>
      <c r="H46" s="1036" t="s">
        <v>1425</v>
      </c>
      <c r="I46" s="1036" t="s">
        <v>1425</v>
      </c>
      <c r="J46" s="1036" t="s">
        <v>1425</v>
      </c>
      <c r="K46" s="1036" t="s">
        <v>1425</v>
      </c>
    </row>
    <row r="47" spans="1:11" ht="24.6" customHeight="1" x14ac:dyDescent="0.3">
      <c r="A47" s="555" t="s">
        <v>2337</v>
      </c>
      <c r="B47" s="478">
        <f>$B$31-G47</f>
        <v>331.64494088536986</v>
      </c>
      <c r="C47" s="478">
        <f>$C$32-G47</f>
        <v>13.15039338544079</v>
      </c>
      <c r="D47" s="478">
        <f>$D$33-G47</f>
        <v>39.067280572225478</v>
      </c>
      <c r="E47" s="478">
        <f>$D$33-G47</f>
        <v>39.067280572225478</v>
      </c>
      <c r="F47" s="1036">
        <f>F46-G47</f>
        <v>0</v>
      </c>
      <c r="G47" s="1035">
        <v>0</v>
      </c>
      <c r="H47" s="1037" t="s">
        <v>1425</v>
      </c>
      <c r="I47" s="1037" t="s">
        <v>1425</v>
      </c>
      <c r="J47" s="1037" t="s">
        <v>1425</v>
      </c>
      <c r="K47" s="1037" t="s">
        <v>1425</v>
      </c>
    </row>
    <row r="48" spans="1:11" ht="24.6" customHeight="1" x14ac:dyDescent="0.3">
      <c r="A48" s="555" t="s">
        <v>1388</v>
      </c>
      <c r="B48" s="1037" t="s">
        <v>1425</v>
      </c>
      <c r="C48" s="1037" t="s">
        <v>1425</v>
      </c>
      <c r="D48" s="1037" t="s">
        <v>1425</v>
      </c>
      <c r="E48" s="1037" t="s">
        <v>1425</v>
      </c>
      <c r="F48" s="1037" t="s">
        <v>1425</v>
      </c>
      <c r="G48" s="1037" t="s">
        <v>1425</v>
      </c>
      <c r="H48" s="550" t="s">
        <v>1425</v>
      </c>
      <c r="I48" s="1036" t="s">
        <v>1425</v>
      </c>
      <c r="J48" s="1036" t="s">
        <v>1425</v>
      </c>
      <c r="K48" s="1036" t="s">
        <v>1425</v>
      </c>
    </row>
    <row r="49" spans="1:11" ht="24.6" customHeight="1" x14ac:dyDescent="0.3">
      <c r="A49" s="555" t="s">
        <v>2336</v>
      </c>
      <c r="B49" s="1037" t="s">
        <v>1425</v>
      </c>
      <c r="C49" s="1037" t="s">
        <v>1425</v>
      </c>
      <c r="D49" s="1037" t="s">
        <v>1425</v>
      </c>
      <c r="E49" s="1037" t="s">
        <v>1425</v>
      </c>
      <c r="F49" s="1037" t="s">
        <v>1425</v>
      </c>
      <c r="G49" s="1037" t="s">
        <v>1425</v>
      </c>
      <c r="H49" s="1036" t="s">
        <v>1425</v>
      </c>
      <c r="I49" s="1035" t="s">
        <v>1425</v>
      </c>
      <c r="J49" s="1036" t="s">
        <v>1425</v>
      </c>
      <c r="K49" s="1036" t="s">
        <v>1425</v>
      </c>
    </row>
    <row r="50" spans="1:11" ht="24.6" customHeight="1" x14ac:dyDescent="0.3">
      <c r="A50" s="474" t="s">
        <v>1519</v>
      </c>
      <c r="B50" s="1037" t="s">
        <v>1425</v>
      </c>
      <c r="C50" s="1037" t="s">
        <v>1425</v>
      </c>
      <c r="D50" s="1037" t="s">
        <v>1425</v>
      </c>
      <c r="E50" s="1037" t="s">
        <v>1425</v>
      </c>
      <c r="F50" s="1037" t="s">
        <v>1425</v>
      </c>
      <c r="G50" s="1037" t="s">
        <v>1425</v>
      </c>
      <c r="H50" s="1036" t="s">
        <v>1425</v>
      </c>
      <c r="I50" s="1036" t="s">
        <v>1425</v>
      </c>
      <c r="J50" s="1035" t="s">
        <v>1425</v>
      </c>
      <c r="K50" s="1036" t="s">
        <v>1425</v>
      </c>
    </row>
    <row r="51" spans="1:11" ht="24.6" customHeight="1" x14ac:dyDescent="0.3">
      <c r="A51" s="474" t="s">
        <v>2241</v>
      </c>
      <c r="B51" s="1037" t="s">
        <v>1425</v>
      </c>
      <c r="C51" s="1037" t="s">
        <v>1425</v>
      </c>
      <c r="D51" s="1037" t="s">
        <v>1425</v>
      </c>
      <c r="E51" s="1037" t="s">
        <v>1425</v>
      </c>
      <c r="F51" s="1037" t="s">
        <v>1425</v>
      </c>
      <c r="G51" s="1037" t="s">
        <v>1425</v>
      </c>
      <c r="H51" s="1036" t="s">
        <v>1425</v>
      </c>
      <c r="I51" s="1036" t="s">
        <v>1425</v>
      </c>
      <c r="J51" s="1036" t="s">
        <v>1425</v>
      </c>
      <c r="K51" s="1035" t="s">
        <v>1425</v>
      </c>
    </row>
    <row r="52" spans="1:11" x14ac:dyDescent="0.3">
      <c r="A52" s="1030"/>
      <c r="B52" s="1026"/>
      <c r="C52" s="1026"/>
      <c r="D52" s="1026"/>
      <c r="E52" s="1026"/>
      <c r="F52" s="1026"/>
      <c r="G52" s="438"/>
      <c r="H52" s="1027"/>
      <c r="I52" s="1027"/>
      <c r="J52" s="1027"/>
      <c r="K52" s="1027"/>
    </row>
    <row r="53" spans="1:11" x14ac:dyDescent="0.3">
      <c r="A53" s="1024" t="s">
        <v>2427</v>
      </c>
    </row>
    <row r="54" spans="1:11" x14ac:dyDescent="0.3">
      <c r="A54" s="1023" t="s">
        <v>2344</v>
      </c>
      <c r="B54" s="1024"/>
      <c r="C54" s="1024"/>
      <c r="E54" s="91" t="s">
        <v>1444</v>
      </c>
    </row>
    <row r="55" spans="1:11" x14ac:dyDescent="0.3">
      <c r="A55" s="1023" t="s">
        <v>2339</v>
      </c>
      <c r="B55" s="1024"/>
      <c r="C55" s="1024"/>
    </row>
    <row r="56" spans="1:11" ht="14.25" customHeight="1" x14ac:dyDescent="0.3">
      <c r="A56" s="1025" t="s">
        <v>1441</v>
      </c>
      <c r="B56" s="1024"/>
      <c r="C56" s="1024"/>
    </row>
    <row r="57" spans="1:11" x14ac:dyDescent="0.3">
      <c r="A57" s="561" t="s">
        <v>2340</v>
      </c>
      <c r="B57" s="91" t="s">
        <v>136</v>
      </c>
      <c r="D57" s="91" t="s">
        <v>1442</v>
      </c>
    </row>
    <row r="58" spans="1:11" ht="28.8" x14ac:dyDescent="0.3">
      <c r="A58" s="560" t="s">
        <v>1437</v>
      </c>
      <c r="B58" s="558">
        <f>'PITESAI tipi ecosistemi Italia'!B44</f>
        <v>514470.74600407796</v>
      </c>
      <c r="C58" s="562">
        <f>B58/B61</f>
        <v>0.51428571428571423</v>
      </c>
      <c r="D58" s="91">
        <v>0</v>
      </c>
    </row>
    <row r="59" spans="1:11" x14ac:dyDescent="0.3">
      <c r="A59" s="560" t="s">
        <v>1433</v>
      </c>
      <c r="B59" s="558">
        <f>'PITESAI tipi ecosistemi Italia'!B34</f>
        <v>485889.03789274028</v>
      </c>
      <c r="C59" s="562">
        <f>B59/B61</f>
        <v>0.48571428571428565</v>
      </c>
      <c r="D59" s="563">
        <f>D44/2</f>
        <v>19.533640286112739</v>
      </c>
      <c r="E59" s="91" t="s">
        <v>2338</v>
      </c>
    </row>
    <row r="60" spans="1:11" x14ac:dyDescent="0.3">
      <c r="A60" s="560" t="s">
        <v>2341</v>
      </c>
      <c r="B60" s="558" t="s">
        <v>2342</v>
      </c>
      <c r="C60" s="562"/>
      <c r="D60" s="563">
        <f>B46/2</f>
        <v>165.82247044268493</v>
      </c>
      <c r="E60" s="91" t="s">
        <v>2343</v>
      </c>
    </row>
    <row r="61" spans="1:11" x14ac:dyDescent="0.3">
      <c r="A61" s="137" t="s">
        <v>1443</v>
      </c>
      <c r="B61" s="564">
        <f>SUM(B58:B59)</f>
        <v>1000359.7838968183</v>
      </c>
      <c r="C61" s="564">
        <f>SUM(C58:C59)</f>
        <v>0.99999999999999989</v>
      </c>
      <c r="D61" s="565"/>
      <c r="E61" s="759"/>
    </row>
  </sheetData>
  <mergeCells count="3">
    <mergeCell ref="B3:E3"/>
    <mergeCell ref="F3:I3"/>
    <mergeCell ref="J3:M3"/>
  </mergeCells>
  <phoneticPr fontId="10" type="noConversion"/>
  <hyperlinks>
    <hyperlink ref="A3" r:id="rId1" xr:uid="{5DEB7888-BAC3-4CB4-9D9A-F76DD5BB7DD8}"/>
  </hyperlinks>
  <pageMargins left="0.7" right="0.7" top="0.75" bottom="0.75" header="0.3" footer="0.3"/>
  <pageSetup paperSize="9" orientation="portrait"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2B7B7-D33C-48E3-A5F8-B3D8A190D669}">
  <sheetPr>
    <tabColor rgb="FF92D050"/>
  </sheetPr>
  <dimension ref="A1:AH141"/>
  <sheetViews>
    <sheetView topLeftCell="M16" zoomScaleNormal="100" workbookViewId="0">
      <selection activeCell="AF12" sqref="AF12"/>
    </sheetView>
  </sheetViews>
  <sheetFormatPr defaultRowHeight="14.4" x14ac:dyDescent="0.3"/>
  <cols>
    <col min="1" max="1" width="20.44140625" customWidth="1"/>
    <col min="2" max="2" width="10.5546875" customWidth="1"/>
    <col min="32" max="32" width="12" bestFit="1" customWidth="1"/>
    <col min="33" max="33" width="12" customWidth="1"/>
  </cols>
  <sheetData>
    <row r="1" spans="1:34" ht="18" x14ac:dyDescent="0.35">
      <c r="A1" s="51" t="s">
        <v>387</v>
      </c>
    </row>
    <row r="2" spans="1:34" x14ac:dyDescent="0.3">
      <c r="A2" t="s">
        <v>1082</v>
      </c>
    </row>
    <row r="3" spans="1:34" x14ac:dyDescent="0.3">
      <c r="A3" t="s">
        <v>341</v>
      </c>
    </row>
    <row r="4" spans="1:34" x14ac:dyDescent="0.3">
      <c r="A4" t="s">
        <v>1081</v>
      </c>
    </row>
    <row r="6" spans="1:34" x14ac:dyDescent="0.3">
      <c r="A6" t="s">
        <v>388</v>
      </c>
    </row>
    <row r="7" spans="1:34" ht="24.6" x14ac:dyDescent="0.3">
      <c r="A7" s="215" t="s">
        <v>362</v>
      </c>
      <c r="B7" s="1213" t="s">
        <v>345</v>
      </c>
      <c r="C7" s="1213"/>
      <c r="D7" s="1213"/>
      <c r="E7" s="1213"/>
      <c r="F7" s="1213"/>
      <c r="G7" s="1214" t="s">
        <v>346</v>
      </c>
      <c r="H7" s="1214"/>
      <c r="I7" s="1214"/>
      <c r="J7" s="1214"/>
      <c r="K7" s="1214"/>
      <c r="L7" s="1214"/>
      <c r="M7" s="1214"/>
      <c r="N7" s="1214"/>
      <c r="O7" s="1214"/>
      <c r="P7" s="1214"/>
      <c r="Q7" s="221"/>
      <c r="R7" s="1215" t="s">
        <v>347</v>
      </c>
      <c r="S7" s="1215"/>
      <c r="T7" s="1215"/>
      <c r="U7" s="1215"/>
      <c r="V7" s="1215"/>
      <c r="W7" s="1215"/>
      <c r="X7" s="1215"/>
      <c r="Y7" s="1215"/>
      <c r="Z7" s="1215"/>
      <c r="AA7" s="1215"/>
      <c r="AB7" s="1215"/>
      <c r="AC7" s="215"/>
      <c r="AD7" s="215"/>
      <c r="AE7" s="1216" t="s">
        <v>363</v>
      </c>
      <c r="AF7" s="1215" t="s">
        <v>385</v>
      </c>
      <c r="AG7" s="1215" t="s">
        <v>385</v>
      </c>
    </row>
    <row r="8" spans="1:34" ht="48.75" customHeight="1" x14ac:dyDescent="0.3">
      <c r="A8" s="1215" t="s">
        <v>348</v>
      </c>
      <c r="B8" s="1215" t="s">
        <v>349</v>
      </c>
      <c r="C8" s="1215" t="s">
        <v>364</v>
      </c>
      <c r="D8" s="1215" t="s">
        <v>350</v>
      </c>
      <c r="E8" s="1215" t="s">
        <v>351</v>
      </c>
      <c r="F8" s="1215" t="s">
        <v>352</v>
      </c>
      <c r="G8" s="1215" t="s">
        <v>365</v>
      </c>
      <c r="H8" s="1215"/>
      <c r="I8" s="1215"/>
      <c r="J8" s="1215" t="s">
        <v>366</v>
      </c>
      <c r="K8" s="1215"/>
      <c r="L8" s="1215"/>
      <c r="M8" s="1215" t="s">
        <v>367</v>
      </c>
      <c r="N8" s="1215" t="s">
        <v>368</v>
      </c>
      <c r="O8" s="1215" t="s">
        <v>369</v>
      </c>
      <c r="P8" s="1215"/>
      <c r="Q8" s="215" t="s">
        <v>154</v>
      </c>
      <c r="R8" s="1215" t="s">
        <v>370</v>
      </c>
      <c r="S8" s="1215"/>
      <c r="T8" s="1215"/>
      <c r="U8" s="1215" t="s">
        <v>371</v>
      </c>
      <c r="V8" s="1215"/>
      <c r="W8" s="1215"/>
      <c r="X8" s="1215" t="s">
        <v>372</v>
      </c>
      <c r="Y8" s="1215" t="s">
        <v>373</v>
      </c>
      <c r="Z8" s="1215" t="s">
        <v>374</v>
      </c>
      <c r="AA8" s="1215"/>
      <c r="AB8" s="1215" t="s">
        <v>375</v>
      </c>
      <c r="AC8" s="215" t="s">
        <v>382</v>
      </c>
      <c r="AD8" s="215" t="s">
        <v>383</v>
      </c>
      <c r="AE8" s="1216"/>
      <c r="AF8" s="1215"/>
      <c r="AG8" s="1215"/>
    </row>
    <row r="9" spans="1:34" x14ac:dyDescent="0.3">
      <c r="A9" s="1215"/>
      <c r="B9" s="1215"/>
      <c r="C9" s="1215"/>
      <c r="D9" s="1215"/>
      <c r="E9" s="1215"/>
      <c r="F9" s="1215"/>
      <c r="G9" s="1215" t="s">
        <v>353</v>
      </c>
      <c r="H9" s="1215" t="s">
        <v>354</v>
      </c>
      <c r="I9" s="1215" t="s">
        <v>355</v>
      </c>
      <c r="J9" s="1215" t="s">
        <v>353</v>
      </c>
      <c r="K9" s="1215" t="s">
        <v>354</v>
      </c>
      <c r="L9" s="1215" t="s">
        <v>355</v>
      </c>
      <c r="M9" s="1215"/>
      <c r="N9" s="1215"/>
      <c r="O9" s="1217" t="s">
        <v>356</v>
      </c>
      <c r="P9" s="1217" t="s">
        <v>376</v>
      </c>
      <c r="Q9" s="222" t="s">
        <v>353</v>
      </c>
      <c r="R9" s="1215" t="s">
        <v>353</v>
      </c>
      <c r="S9" s="1215" t="s">
        <v>354</v>
      </c>
      <c r="T9" s="1215" t="s">
        <v>355</v>
      </c>
      <c r="U9" s="1215" t="s">
        <v>353</v>
      </c>
      <c r="V9" s="1215" t="s">
        <v>354</v>
      </c>
      <c r="W9" s="1215" t="s">
        <v>355</v>
      </c>
      <c r="X9" s="1215"/>
      <c r="Y9" s="1215"/>
      <c r="Z9" s="1217" t="s">
        <v>356</v>
      </c>
      <c r="AA9" s="1217" t="s">
        <v>377</v>
      </c>
      <c r="AB9" s="1215"/>
      <c r="AC9" s="215" t="s">
        <v>353</v>
      </c>
      <c r="AD9" s="215" t="s">
        <v>353</v>
      </c>
      <c r="AE9" s="1216"/>
      <c r="AF9" s="1215"/>
      <c r="AG9" s="1215"/>
    </row>
    <row r="10" spans="1:34" x14ac:dyDescent="0.3">
      <c r="A10" s="1215"/>
      <c r="B10" s="1215"/>
      <c r="C10" s="1215"/>
      <c r="D10" s="1215"/>
      <c r="E10" s="1215"/>
      <c r="F10" s="1215"/>
      <c r="G10" s="1215"/>
      <c r="H10" s="1215"/>
      <c r="I10" s="1215"/>
      <c r="J10" s="1215"/>
      <c r="K10" s="1215"/>
      <c r="L10" s="1215"/>
      <c r="M10" s="1215"/>
      <c r="N10" s="1215"/>
      <c r="O10" s="1217"/>
      <c r="P10" s="1217"/>
      <c r="Q10" s="222"/>
      <c r="R10" s="1215"/>
      <c r="S10" s="1215"/>
      <c r="T10" s="1215"/>
      <c r="U10" s="1215"/>
      <c r="V10" s="1215"/>
      <c r="W10" s="1215"/>
      <c r="X10" s="1215"/>
      <c r="Y10" s="1215"/>
      <c r="Z10" s="1217"/>
      <c r="AA10" s="1217"/>
      <c r="AB10" s="1215"/>
      <c r="AC10" s="215"/>
      <c r="AD10" s="215"/>
      <c r="AE10" s="1216"/>
      <c r="AF10" s="1215"/>
      <c r="AG10" s="1215"/>
    </row>
    <row r="11" spans="1:34" x14ac:dyDescent="0.3">
      <c r="A11" s="1215"/>
      <c r="B11" s="1215"/>
      <c r="C11" s="1215"/>
      <c r="D11" s="1219" t="s">
        <v>357</v>
      </c>
      <c r="E11" s="1219"/>
      <c r="F11" s="1219"/>
      <c r="G11" s="1220" t="s">
        <v>358</v>
      </c>
      <c r="H11" s="1220"/>
      <c r="I11" s="1220"/>
      <c r="J11" s="1220"/>
      <c r="K11" s="1220"/>
      <c r="L11" s="1220"/>
      <c r="M11" s="1220"/>
      <c r="N11" s="1220"/>
      <c r="O11" s="1220"/>
      <c r="P11" s="1220"/>
      <c r="Q11" s="223" t="s">
        <v>381</v>
      </c>
      <c r="R11" s="1215" t="s">
        <v>359</v>
      </c>
      <c r="S11" s="1215"/>
      <c r="T11" s="1215"/>
      <c r="U11" s="1215"/>
      <c r="V11" s="1215"/>
      <c r="W11" s="1215"/>
      <c r="X11" s="1215"/>
      <c r="Y11" s="1215"/>
      <c r="Z11" s="1215"/>
      <c r="AA11" s="1215"/>
      <c r="AB11" s="1215"/>
      <c r="AC11" s="215" t="s">
        <v>380</v>
      </c>
      <c r="AD11" s="215" t="s">
        <v>380</v>
      </c>
      <c r="AE11" s="216" t="s">
        <v>378</v>
      </c>
      <c r="AF11" s="215" t="s">
        <v>409</v>
      </c>
      <c r="AG11" s="215" t="s">
        <v>408</v>
      </c>
      <c r="AH11" s="217" t="s">
        <v>384</v>
      </c>
    </row>
    <row r="12" spans="1:34" ht="24.6" x14ac:dyDescent="0.3">
      <c r="A12" s="218" t="s">
        <v>379</v>
      </c>
      <c r="B12" s="213" t="s">
        <v>269</v>
      </c>
      <c r="C12" s="213" t="s">
        <v>269</v>
      </c>
      <c r="D12" s="214">
        <v>7449.2863421583907</v>
      </c>
      <c r="E12" s="214">
        <v>7449.2863421583907</v>
      </c>
      <c r="F12" s="214" t="s">
        <v>360</v>
      </c>
      <c r="G12" s="214">
        <v>2.08408092112948</v>
      </c>
      <c r="H12" s="214">
        <v>-1.3006331054554301</v>
      </c>
      <c r="I12" s="214">
        <v>0.78344781567404997</v>
      </c>
      <c r="J12" s="214">
        <v>0.42880241111966</v>
      </c>
      <c r="K12" s="214">
        <v>-0.27127183924263998</v>
      </c>
      <c r="L12" s="214">
        <v>0.15753057187701</v>
      </c>
      <c r="M12" s="214">
        <v>2.6399037100599998E-3</v>
      </c>
      <c r="N12" s="214">
        <v>1.5350029475199999E-3</v>
      </c>
      <c r="O12" s="214" t="s">
        <v>361</v>
      </c>
      <c r="P12" s="214" t="s">
        <v>360</v>
      </c>
      <c r="Q12" s="220">
        <f>I12+L12+M12+N12</f>
        <v>0.94515329420863992</v>
      </c>
      <c r="R12" s="214">
        <v>15566.811134695083</v>
      </c>
      <c r="S12" s="214">
        <v>-12121.268187467993</v>
      </c>
      <c r="T12" s="214">
        <v>3445.5429472270885</v>
      </c>
      <c r="U12" s="214">
        <v>3199.8114066821295</v>
      </c>
      <c r="V12" s="214">
        <v>-2513.0930485223143</v>
      </c>
      <c r="W12" s="214">
        <v>686.71835815981524</v>
      </c>
      <c r="X12" s="214">
        <v>19.665398651973799</v>
      </c>
      <c r="Y12" s="214">
        <v>11.43467649211185</v>
      </c>
      <c r="Z12" s="214" t="s">
        <v>361</v>
      </c>
      <c r="AA12" s="214" t="s">
        <v>360</v>
      </c>
      <c r="AB12" s="214">
        <v>44.154569202101037</v>
      </c>
      <c r="AC12" s="220">
        <f>T12+W12+X12+Y12+AB12</f>
        <v>4207.5159497330906</v>
      </c>
      <c r="AD12" s="220">
        <f>Q12*D12</f>
        <v>7040.7175257944327</v>
      </c>
      <c r="AE12" s="262">
        <v>-25999.412306656399</v>
      </c>
      <c r="AF12" s="263">
        <f>AE12*1000/(D12*1000)</f>
        <v>-3.4901883365008639</v>
      </c>
      <c r="AG12" s="263">
        <f>AF12*1000/10000</f>
        <v>-0.3490188336500864</v>
      </c>
      <c r="AH12">
        <f>AE12/AD12</f>
        <v>-3.6927219720724103</v>
      </c>
    </row>
    <row r="13" spans="1:34" x14ac:dyDescent="0.3">
      <c r="AF13" s="214"/>
      <c r="AG13" s="263"/>
    </row>
    <row r="14" spans="1:34" ht="17.399999999999999" x14ac:dyDescent="0.3">
      <c r="A14" s="219" t="s">
        <v>342</v>
      </c>
      <c r="B14" s="358" t="s">
        <v>342</v>
      </c>
      <c r="C14" s="357">
        <v>2018</v>
      </c>
      <c r="D14" s="214">
        <v>235.95127545806645</v>
      </c>
      <c r="E14" s="205">
        <v>235.95127545806645</v>
      </c>
      <c r="F14" s="205" t="s">
        <v>343</v>
      </c>
      <c r="G14" s="214">
        <v>2.20746547049571</v>
      </c>
      <c r="H14" s="214">
        <v>-0.85381327125864004</v>
      </c>
      <c r="I14" s="220">
        <v>1.35365219923707</v>
      </c>
      <c r="J14" s="214">
        <v>0.43946726330098002</v>
      </c>
      <c r="K14" s="214">
        <v>-0.17461876807887</v>
      </c>
      <c r="L14" s="220">
        <v>0.26484849522211001</v>
      </c>
      <c r="M14" s="220">
        <v>5.6742050864800001E-3</v>
      </c>
      <c r="N14" s="220">
        <v>1.42255471834E-3</v>
      </c>
      <c r="O14" s="214" t="s">
        <v>344</v>
      </c>
      <c r="P14" s="214" t="s">
        <v>343</v>
      </c>
      <c r="Q14" s="220">
        <f>I14+L14+M14+N14</f>
        <v>1.6255974542639999</v>
      </c>
      <c r="R14" s="205">
        <v>522.30114415516698</v>
      </c>
      <c r="S14" s="205">
        <v>-345.72842620688402</v>
      </c>
      <c r="T14" s="220">
        <v>176.57271794828296</v>
      </c>
      <c r="U14" s="205">
        <v>103.80805991706499</v>
      </c>
      <c r="V14" s="205">
        <v>-69.5694247349319</v>
      </c>
      <c r="W14" s="220">
        <v>34.238635182133088</v>
      </c>
      <c r="X14" s="220">
        <v>1.33883592736576</v>
      </c>
      <c r="Y14" s="220">
        <v>0.33565360020022</v>
      </c>
      <c r="Z14" s="205" t="s">
        <v>344</v>
      </c>
      <c r="AA14" s="205" t="s">
        <v>343</v>
      </c>
      <c r="AB14" s="213">
        <v>0</v>
      </c>
      <c r="AC14" s="220">
        <f>T14+W14+X14+Y14+AB14</f>
        <v>212.48584265798203</v>
      </c>
      <c r="AD14" s="220">
        <f>Q14*D14</f>
        <v>383.5617927149766</v>
      </c>
      <c r="AE14" s="262">
        <v>-1406.393239954918</v>
      </c>
      <c r="AF14" s="264">
        <f>AE14*1000/(D14*1000)</f>
        <v>-5.960523998968017</v>
      </c>
      <c r="AG14" s="359">
        <f>AF14*1000/10000</f>
        <v>-0.5960523998968017</v>
      </c>
      <c r="AH14">
        <f>AE14/AD14</f>
        <v>-3.6666666666666767</v>
      </c>
    </row>
    <row r="15" spans="1:34" ht="17.399999999999999" x14ac:dyDescent="0.3">
      <c r="A15" s="219" t="s">
        <v>504</v>
      </c>
      <c r="B15" s="358" t="s">
        <v>504</v>
      </c>
      <c r="C15" s="357">
        <v>2018</v>
      </c>
      <c r="D15" s="214">
        <v>473.58617938972139</v>
      </c>
      <c r="E15" s="352">
        <v>473.58617938972139</v>
      </c>
      <c r="F15" s="352" t="s">
        <v>343</v>
      </c>
      <c r="G15" s="214">
        <v>1.70132332319672</v>
      </c>
      <c r="H15" s="214">
        <v>-0.88267705045094003</v>
      </c>
      <c r="I15" s="220">
        <v>0.81864627274577995</v>
      </c>
      <c r="J15" s="214">
        <v>0.32109904306846998</v>
      </c>
      <c r="K15" s="214">
        <v>-0.16478668288604001</v>
      </c>
      <c r="L15" s="220">
        <v>0.15631236018242001</v>
      </c>
      <c r="M15" s="220">
        <v>1.82387506952E-3</v>
      </c>
      <c r="N15" s="220">
        <v>1.3166072709500001E-3</v>
      </c>
      <c r="O15" s="214" t="s">
        <v>344</v>
      </c>
      <c r="P15" s="214" t="s">
        <v>343</v>
      </c>
      <c r="Q15" s="220">
        <f>I15+L15+M15+N15</f>
        <v>0.97809911526866988</v>
      </c>
      <c r="R15" s="352">
        <v>805.723212539359</v>
      </c>
      <c r="S15" s="352">
        <v>-418.023651958051</v>
      </c>
      <c r="T15" s="220">
        <v>387.69956058130799</v>
      </c>
      <c r="U15" s="352">
        <v>152.06806901249001</v>
      </c>
      <c r="V15" s="352">
        <v>-78.040695562306098</v>
      </c>
      <c r="W15" s="220">
        <v>74.027373450183916</v>
      </c>
      <c r="X15" s="220">
        <v>0.86376202585718997</v>
      </c>
      <c r="Y15" s="220">
        <v>0.62352700720706999</v>
      </c>
      <c r="Z15" s="352" t="s">
        <v>344</v>
      </c>
      <c r="AA15" s="352" t="s">
        <v>343</v>
      </c>
      <c r="AB15" s="213">
        <v>0</v>
      </c>
      <c r="AC15" s="220">
        <f>T15+W15+X15+Y15+AB15</f>
        <v>463.21422306455617</v>
      </c>
      <c r="AD15" s="220">
        <f>Q15*D15</f>
        <v>463.21422306455605</v>
      </c>
      <c r="AE15" s="262">
        <v>-1698.4521512367076</v>
      </c>
      <c r="AF15" s="264">
        <f>(AF14/3.66667)</f>
        <v>-1.6255959764494807</v>
      </c>
      <c r="AG15" s="359">
        <f>AF15*1000/10000</f>
        <v>-0.16255959764494807</v>
      </c>
      <c r="AH15" t="s">
        <v>386</v>
      </c>
    </row>
    <row r="16" spans="1:34" x14ac:dyDescent="0.3">
      <c r="A16" s="224" t="s">
        <v>1084</v>
      </c>
      <c r="B16" s="224"/>
      <c r="C16" s="224"/>
      <c r="D16" s="224"/>
      <c r="E16" s="224"/>
      <c r="F16" s="224"/>
      <c r="G16" s="224"/>
    </row>
    <row r="17" spans="1:27" x14ac:dyDescent="0.3">
      <c r="A17" s="224" t="s">
        <v>1083</v>
      </c>
      <c r="B17" s="360"/>
      <c r="C17" s="360"/>
      <c r="D17" s="360"/>
      <c r="E17" s="360"/>
      <c r="F17" s="360"/>
      <c r="G17" s="360"/>
    </row>
    <row r="18" spans="1:27" ht="21" x14ac:dyDescent="0.4">
      <c r="A18" s="147" t="s">
        <v>185</v>
      </c>
      <c r="B18" s="91"/>
      <c r="C18" s="91"/>
      <c r="D18" s="91"/>
      <c r="E18" s="91"/>
      <c r="F18" s="91"/>
      <c r="G18" s="91"/>
      <c r="H18" s="91"/>
      <c r="I18" s="91"/>
      <c r="J18" s="91"/>
      <c r="K18" s="91"/>
      <c r="L18" s="91"/>
      <c r="M18" s="91"/>
      <c r="N18" s="91"/>
      <c r="O18" s="91"/>
      <c r="P18" s="91"/>
      <c r="Q18" s="91"/>
      <c r="R18" s="91"/>
      <c r="S18" s="91"/>
      <c r="T18" s="91"/>
      <c r="U18" s="91"/>
      <c r="V18" s="91"/>
      <c r="W18" s="91"/>
      <c r="X18" s="91"/>
      <c r="Y18" s="91"/>
      <c r="Z18" s="91"/>
      <c r="AA18" s="91"/>
    </row>
    <row r="19" spans="1:27" x14ac:dyDescent="0.3">
      <c r="A19" s="63" t="s">
        <v>111</v>
      </c>
      <c r="H19" s="91"/>
      <c r="I19" s="91"/>
      <c r="J19" s="91"/>
      <c r="K19" s="91"/>
      <c r="L19" s="91"/>
      <c r="M19" s="91"/>
      <c r="N19" s="91"/>
      <c r="O19" s="91"/>
      <c r="P19" s="91"/>
      <c r="Q19" s="91"/>
      <c r="R19" s="91"/>
      <c r="S19" s="91"/>
      <c r="T19" s="91"/>
      <c r="U19" s="91"/>
      <c r="V19" s="91"/>
      <c r="W19" s="91"/>
      <c r="X19" s="91"/>
      <c r="Y19" s="91"/>
      <c r="Z19" s="91"/>
      <c r="AA19" s="91"/>
    </row>
    <row r="20" spans="1:27" x14ac:dyDescent="0.3">
      <c r="A20" s="1218" t="s">
        <v>173</v>
      </c>
      <c r="B20" s="1186"/>
      <c r="C20" s="1186"/>
      <c r="D20" s="1186"/>
      <c r="E20" s="1186"/>
      <c r="F20" s="1186"/>
      <c r="G20" s="1186"/>
      <c r="H20" s="91"/>
      <c r="I20" s="91"/>
      <c r="J20" s="91"/>
      <c r="K20" s="91"/>
      <c r="L20" s="91"/>
      <c r="M20" s="91"/>
      <c r="N20" s="91"/>
      <c r="O20" s="91"/>
      <c r="P20" s="91"/>
      <c r="Q20" s="91"/>
      <c r="R20" s="91"/>
      <c r="S20" s="91"/>
      <c r="T20" s="91"/>
      <c r="U20" s="91"/>
      <c r="V20" s="91"/>
      <c r="W20" s="91"/>
      <c r="X20" s="91"/>
      <c r="Y20" s="91"/>
      <c r="Z20" s="91"/>
      <c r="AA20" s="91"/>
    </row>
    <row r="21" spans="1:27" ht="93.75" customHeight="1" x14ac:dyDescent="0.3">
      <c r="A21" s="1186" t="s">
        <v>145</v>
      </c>
      <c r="B21" s="1186"/>
      <c r="C21" s="1186"/>
      <c r="D21" s="1186"/>
      <c r="E21" s="1186"/>
      <c r="F21" s="1186"/>
      <c r="G21" s="1186"/>
      <c r="H21" s="1186"/>
      <c r="I21" s="1186"/>
      <c r="J21" s="1186"/>
      <c r="K21" s="91"/>
      <c r="L21" s="91"/>
      <c r="M21" s="91"/>
      <c r="N21" s="91"/>
      <c r="O21" s="91"/>
      <c r="P21" s="91"/>
      <c r="Q21" s="91"/>
      <c r="R21" s="91"/>
      <c r="S21" s="91"/>
      <c r="T21" s="91"/>
      <c r="U21" s="91"/>
      <c r="V21" s="91"/>
      <c r="W21" s="91"/>
      <c r="X21" s="91"/>
      <c r="Y21" s="91"/>
      <c r="Z21" s="91"/>
      <c r="AA21" s="91"/>
    </row>
    <row r="22" spans="1:27" x14ac:dyDescent="0.3">
      <c r="A22" s="77" t="s">
        <v>128</v>
      </c>
      <c r="B22" s="59"/>
      <c r="C22" s="59"/>
      <c r="F22" s="67"/>
      <c r="G22" s="67"/>
      <c r="H22" s="91"/>
      <c r="I22" s="91"/>
      <c r="J22" s="91"/>
      <c r="K22" s="91"/>
      <c r="L22" s="91"/>
      <c r="M22" s="91"/>
      <c r="N22" s="91"/>
      <c r="O22" s="91"/>
      <c r="P22" s="91"/>
      <c r="Q22" s="91"/>
      <c r="R22" s="91"/>
      <c r="S22" s="91"/>
      <c r="T22" s="91"/>
      <c r="U22" s="91"/>
      <c r="V22" s="91"/>
      <c r="W22" s="91"/>
      <c r="X22" s="91"/>
      <c r="Y22" s="91"/>
      <c r="Z22" s="91"/>
      <c r="AA22" s="91"/>
    </row>
    <row r="23" spans="1:27" x14ac:dyDescent="0.3">
      <c r="A23" s="77" t="s">
        <v>115</v>
      </c>
      <c r="B23" s="266">
        <f>(B24+B25)/2</f>
        <v>3.3250000000000002</v>
      </c>
      <c r="C23" s="59" t="s">
        <v>117</v>
      </c>
      <c r="D23" s="84">
        <f>(1000*B23/3.66667)/10000</f>
        <v>9.0681735743876599E-2</v>
      </c>
      <c r="E23" t="s">
        <v>146</v>
      </c>
      <c r="F23" s="265">
        <f>D23*3.66</f>
        <v>0.33189515282258836</v>
      </c>
      <c r="G23" s="59" t="s">
        <v>168</v>
      </c>
      <c r="H23" s="91"/>
      <c r="I23" s="91"/>
      <c r="J23" s="91"/>
      <c r="K23" s="91"/>
      <c r="L23" s="91"/>
      <c r="M23" s="91"/>
      <c r="N23" s="91"/>
      <c r="O23" s="91"/>
      <c r="P23" s="91"/>
      <c r="Q23" s="91"/>
      <c r="R23" s="91"/>
      <c r="S23" s="91"/>
      <c r="T23" s="91"/>
      <c r="U23" s="91"/>
      <c r="V23" s="91"/>
      <c r="W23" s="91"/>
      <c r="X23" s="91"/>
      <c r="Y23" s="91"/>
      <c r="Z23" s="91"/>
      <c r="AA23" s="91"/>
    </row>
    <row r="24" spans="1:27" x14ac:dyDescent="0.3">
      <c r="A24" s="69" t="s">
        <v>67</v>
      </c>
      <c r="B24" s="70">
        <f>320/100</f>
        <v>3.2</v>
      </c>
      <c r="C24" t="s">
        <v>117</v>
      </c>
      <c r="F24" s="67" t="s">
        <v>169</v>
      </c>
      <c r="G24" s="67"/>
      <c r="H24" s="91"/>
      <c r="I24" s="91"/>
      <c r="J24" s="91"/>
      <c r="K24" s="91"/>
      <c r="L24" s="91"/>
      <c r="M24" s="91"/>
      <c r="N24" s="91"/>
      <c r="O24" s="91"/>
      <c r="P24" s="91"/>
      <c r="Q24" s="91"/>
      <c r="R24" s="91"/>
      <c r="S24" s="91"/>
      <c r="T24" s="91"/>
      <c r="U24" s="91"/>
      <c r="V24" s="91"/>
      <c r="W24" s="91"/>
      <c r="X24" s="91"/>
      <c r="Y24" s="91"/>
      <c r="Z24" s="91"/>
      <c r="AA24" s="91"/>
    </row>
    <row r="25" spans="1:27" x14ac:dyDescent="0.3">
      <c r="A25" s="69" t="s">
        <v>46</v>
      </c>
      <c r="B25" s="69">
        <f>345/100</f>
        <v>3.45</v>
      </c>
      <c r="C25" t="s">
        <v>117</v>
      </c>
      <c r="D25" s="64"/>
      <c r="E25" s="64"/>
      <c r="F25" s="64"/>
      <c r="G25" s="64"/>
      <c r="H25" s="90"/>
      <c r="I25" s="90"/>
      <c r="J25" s="90"/>
      <c r="K25" s="90"/>
      <c r="L25" s="91"/>
      <c r="M25" s="91"/>
      <c r="N25" s="91"/>
      <c r="O25" s="91"/>
      <c r="P25" s="91"/>
      <c r="Q25" s="91"/>
      <c r="R25" s="91"/>
      <c r="S25" s="91"/>
      <c r="T25" s="91"/>
      <c r="U25" s="91"/>
      <c r="V25" s="91"/>
      <c r="W25" s="91"/>
      <c r="X25" s="91"/>
      <c r="Y25" s="91"/>
      <c r="Z25" s="91"/>
      <c r="AA25" s="91"/>
    </row>
    <row r="26" spans="1:27" x14ac:dyDescent="0.3">
      <c r="A26" s="69" t="s">
        <v>1085</v>
      </c>
      <c r="B26" s="69"/>
      <c r="D26" s="361"/>
      <c r="E26" s="64"/>
      <c r="F26" s="64"/>
      <c r="G26" s="64"/>
      <c r="H26" s="90"/>
      <c r="I26" s="90"/>
      <c r="J26" s="90"/>
      <c r="K26" s="90"/>
      <c r="L26" s="91"/>
      <c r="M26" s="91"/>
      <c r="N26" s="91"/>
      <c r="O26" s="91"/>
      <c r="P26" s="91"/>
      <c r="Q26" s="91"/>
      <c r="R26" s="91"/>
      <c r="S26" s="91"/>
      <c r="T26" s="91"/>
      <c r="U26" s="91"/>
      <c r="V26" s="91"/>
      <c r="W26" s="91"/>
      <c r="X26" s="91"/>
      <c r="Y26" s="91"/>
      <c r="Z26" s="91"/>
      <c r="AA26" s="91"/>
    </row>
    <row r="27" spans="1:27" x14ac:dyDescent="0.3">
      <c r="A27" s="91" t="s">
        <v>1086</v>
      </c>
      <c r="B27" s="91"/>
      <c r="C27" s="91"/>
      <c r="D27" s="91"/>
      <c r="E27" s="91"/>
      <c r="F27" s="91"/>
      <c r="G27" s="91"/>
      <c r="H27" s="91"/>
      <c r="I27" s="91"/>
      <c r="J27" s="91"/>
      <c r="K27" s="91"/>
      <c r="L27" s="91"/>
      <c r="M27" s="91"/>
      <c r="N27" s="91"/>
      <c r="O27" s="91"/>
      <c r="P27" s="91"/>
      <c r="Q27" s="91"/>
      <c r="R27" s="91"/>
      <c r="S27" s="91"/>
      <c r="T27" s="91"/>
      <c r="U27" s="91"/>
      <c r="V27" s="91"/>
      <c r="W27" s="91"/>
      <c r="X27" s="91"/>
      <c r="Y27" s="91"/>
      <c r="Z27" s="91"/>
      <c r="AA27" s="91"/>
    </row>
    <row r="28" spans="1:27" x14ac:dyDescent="0.3">
      <c r="A28" s="91" t="s">
        <v>1087</v>
      </c>
      <c r="B28" s="91"/>
      <c r="C28" s="91"/>
      <c r="D28" s="91"/>
      <c r="E28" s="91"/>
      <c r="F28" s="91"/>
      <c r="G28" s="91"/>
      <c r="H28" s="91"/>
      <c r="I28" s="91"/>
      <c r="J28" s="91"/>
      <c r="K28" s="91"/>
      <c r="L28" s="91"/>
      <c r="M28" s="91"/>
      <c r="N28" s="91"/>
      <c r="O28" s="91"/>
      <c r="P28" s="91"/>
      <c r="Q28" s="91"/>
      <c r="R28" s="91"/>
      <c r="S28" s="91"/>
      <c r="T28" s="91"/>
      <c r="U28" s="91"/>
      <c r="V28" s="91"/>
      <c r="W28" s="91"/>
      <c r="X28" s="91"/>
      <c r="Y28" s="91"/>
      <c r="Z28" s="91"/>
      <c r="AA28" s="91"/>
    </row>
    <row r="29" spans="1:27" x14ac:dyDescent="0.3">
      <c r="A29" s="91"/>
      <c r="B29" s="91"/>
      <c r="C29" s="91"/>
      <c r="D29" s="91"/>
      <c r="E29" s="91"/>
      <c r="F29" s="91"/>
      <c r="G29" s="91"/>
      <c r="H29" s="91"/>
      <c r="I29" s="91"/>
      <c r="J29" s="91"/>
      <c r="K29" s="91"/>
      <c r="L29" s="91"/>
      <c r="M29" s="91"/>
      <c r="N29" s="91"/>
      <c r="O29" s="91"/>
      <c r="P29" s="91"/>
      <c r="Q29" s="91"/>
      <c r="R29" s="91"/>
      <c r="S29" s="91"/>
      <c r="T29" s="91"/>
      <c r="U29" s="91"/>
      <c r="V29" s="91"/>
      <c r="W29" s="91"/>
      <c r="X29" s="91"/>
      <c r="Y29" s="91"/>
      <c r="Z29" s="91"/>
      <c r="AA29" s="91"/>
    </row>
    <row r="30" spans="1:27" x14ac:dyDescent="0.3">
      <c r="A30" s="91"/>
      <c r="B30" s="91"/>
      <c r="C30" s="91"/>
      <c r="D30" s="91"/>
      <c r="E30" s="91"/>
      <c r="F30" s="91"/>
      <c r="G30" s="91"/>
      <c r="H30" s="91"/>
      <c r="I30" s="91"/>
      <c r="J30" s="91"/>
      <c r="K30" s="91"/>
      <c r="L30" s="91"/>
      <c r="M30" s="91"/>
      <c r="N30" s="91"/>
      <c r="O30" s="91"/>
      <c r="P30" s="91"/>
      <c r="Q30" s="91"/>
      <c r="R30" s="91"/>
      <c r="S30" s="91"/>
      <c r="T30" s="91"/>
      <c r="U30" s="91"/>
      <c r="V30" s="91"/>
      <c r="W30" s="91"/>
      <c r="X30" s="91"/>
      <c r="Y30" s="91"/>
      <c r="Z30" s="91"/>
      <c r="AA30" s="91"/>
    </row>
    <row r="31" spans="1:27" x14ac:dyDescent="0.3">
      <c r="A31" s="91"/>
      <c r="B31" s="91"/>
      <c r="C31" s="91"/>
      <c r="D31" s="91"/>
      <c r="E31" s="91"/>
      <c r="F31" s="91"/>
      <c r="G31" s="91"/>
      <c r="H31" s="91"/>
      <c r="I31" s="91"/>
      <c r="J31" s="91"/>
      <c r="K31" s="91"/>
      <c r="L31" s="91"/>
      <c r="M31" s="91"/>
      <c r="N31" s="91"/>
      <c r="O31" s="91"/>
      <c r="P31" s="91"/>
      <c r="Q31" s="91"/>
      <c r="R31" s="91"/>
      <c r="S31" s="91"/>
      <c r="T31" s="91"/>
      <c r="U31" s="91"/>
      <c r="V31" s="91"/>
      <c r="W31" s="91"/>
      <c r="X31" s="91"/>
      <c r="Y31" s="91"/>
      <c r="Z31" s="91"/>
      <c r="AA31" s="91"/>
    </row>
    <row r="32" spans="1:27" x14ac:dyDescent="0.3">
      <c r="A32" s="91"/>
      <c r="B32" s="91"/>
      <c r="C32" s="91"/>
      <c r="D32" s="91"/>
      <c r="E32" s="91"/>
      <c r="F32" s="91"/>
      <c r="G32" s="91"/>
      <c r="H32" s="91"/>
      <c r="I32" s="91"/>
      <c r="J32" s="91"/>
      <c r="K32" s="91"/>
      <c r="L32" s="91"/>
      <c r="M32" s="91"/>
      <c r="N32" s="91"/>
      <c r="O32" s="91"/>
      <c r="P32" s="91"/>
      <c r="Q32" s="91"/>
      <c r="R32" s="91"/>
      <c r="S32" s="91"/>
      <c r="T32" s="91"/>
      <c r="U32" s="91"/>
      <c r="V32" s="91"/>
      <c r="W32" s="91"/>
      <c r="X32" s="91"/>
      <c r="Y32" s="91"/>
      <c r="Z32" s="91"/>
      <c r="AA32" s="91"/>
    </row>
    <row r="33" spans="1:27" x14ac:dyDescent="0.3">
      <c r="A33" s="91"/>
      <c r="B33" s="91"/>
      <c r="C33" s="91"/>
      <c r="D33" s="91"/>
      <c r="E33" s="91"/>
      <c r="F33" s="91"/>
      <c r="G33" s="91"/>
      <c r="H33" s="91"/>
      <c r="I33" s="91"/>
      <c r="J33" s="91"/>
      <c r="K33" s="91"/>
      <c r="L33" s="91"/>
      <c r="M33" s="91"/>
      <c r="N33" s="91"/>
      <c r="O33" s="91"/>
      <c r="P33" s="91"/>
      <c r="Q33" s="91"/>
      <c r="R33" s="91"/>
      <c r="S33" s="91"/>
      <c r="T33" s="91"/>
      <c r="U33" s="91"/>
      <c r="V33" s="91"/>
      <c r="W33" s="91"/>
      <c r="X33" s="91"/>
      <c r="Y33" s="91"/>
      <c r="Z33" s="91"/>
      <c r="AA33" s="91"/>
    </row>
    <row r="34" spans="1:27" x14ac:dyDescent="0.3">
      <c r="A34" s="91"/>
      <c r="B34" s="91"/>
      <c r="C34" s="91"/>
      <c r="D34" s="91"/>
      <c r="E34" s="91"/>
      <c r="F34" s="91"/>
      <c r="G34" s="91"/>
      <c r="H34" s="91"/>
      <c r="I34" s="91"/>
      <c r="J34" s="91"/>
      <c r="K34" s="91"/>
      <c r="L34" s="91"/>
      <c r="M34" s="91"/>
      <c r="N34" s="91"/>
      <c r="O34" s="91"/>
      <c r="P34" s="91"/>
      <c r="Q34" s="91"/>
      <c r="R34" s="91"/>
      <c r="S34" s="91"/>
      <c r="T34" s="91"/>
      <c r="U34" s="91"/>
      <c r="V34" s="91"/>
      <c r="W34" s="91"/>
      <c r="X34" s="91"/>
      <c r="Y34" s="91"/>
      <c r="Z34" s="91"/>
      <c r="AA34" s="91"/>
    </row>
    <row r="35" spans="1:27" x14ac:dyDescent="0.3">
      <c r="A35" s="91"/>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row>
    <row r="36" spans="1:27" x14ac:dyDescent="0.3">
      <c r="A36" s="91"/>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row>
    <row r="37" spans="1:27" x14ac:dyDescent="0.3">
      <c r="A37" s="91"/>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row>
    <row r="38" spans="1:27" x14ac:dyDescent="0.3">
      <c r="A38" s="91"/>
      <c r="B38" s="91"/>
      <c r="C38" s="91"/>
      <c r="D38" s="91"/>
      <c r="E38" s="91"/>
      <c r="F38" s="91"/>
      <c r="G38" s="91"/>
      <c r="H38" s="91"/>
      <c r="I38" s="91"/>
      <c r="J38" s="91"/>
      <c r="K38" s="91"/>
      <c r="L38" s="91"/>
      <c r="M38" s="91"/>
      <c r="N38" s="91"/>
      <c r="O38" s="91"/>
      <c r="P38" s="91"/>
      <c r="Q38" s="91"/>
      <c r="R38" s="91"/>
      <c r="S38" s="91"/>
      <c r="T38" s="91"/>
      <c r="U38" s="91"/>
      <c r="V38" s="91"/>
      <c r="W38" s="91"/>
      <c r="X38" s="91"/>
      <c r="Y38" s="91"/>
      <c r="Z38" s="91"/>
      <c r="AA38" s="91"/>
    </row>
    <row r="39" spans="1:27" x14ac:dyDescent="0.3">
      <c r="A39" s="91"/>
      <c r="B39" s="91"/>
      <c r="C39" s="91"/>
      <c r="D39" s="91"/>
      <c r="E39" s="91"/>
      <c r="F39" s="91"/>
      <c r="G39" s="91"/>
      <c r="H39" s="91"/>
      <c r="I39" s="91"/>
      <c r="J39" s="91"/>
      <c r="K39" s="91"/>
      <c r="L39" s="91"/>
      <c r="M39" s="91"/>
      <c r="N39" s="91"/>
      <c r="O39" s="91"/>
      <c r="P39" s="91"/>
      <c r="Q39" s="91"/>
      <c r="R39" s="91"/>
      <c r="S39" s="91"/>
      <c r="T39" s="91"/>
      <c r="U39" s="91"/>
      <c r="V39" s="91"/>
      <c r="W39" s="91"/>
      <c r="X39" s="91"/>
      <c r="Y39" s="91"/>
      <c r="Z39" s="91"/>
      <c r="AA39" s="91"/>
    </row>
    <row r="40" spans="1:27" x14ac:dyDescent="0.3">
      <c r="A40" s="91"/>
      <c r="B40" s="91"/>
      <c r="C40" s="91"/>
      <c r="D40" s="91"/>
      <c r="E40" s="91"/>
      <c r="F40" s="91"/>
      <c r="G40" s="91"/>
      <c r="H40" s="91"/>
      <c r="I40" s="91"/>
      <c r="J40" s="91"/>
      <c r="K40" s="91"/>
      <c r="L40" s="91"/>
      <c r="M40" s="91"/>
      <c r="N40" s="91"/>
      <c r="O40" s="91"/>
      <c r="P40" s="91"/>
      <c r="Q40" s="91"/>
      <c r="R40" s="91"/>
      <c r="S40" s="91"/>
      <c r="T40" s="91"/>
      <c r="U40" s="91"/>
      <c r="V40" s="91"/>
      <c r="W40" s="91"/>
      <c r="X40" s="91"/>
      <c r="Y40" s="91"/>
      <c r="Z40" s="91"/>
      <c r="AA40" s="91"/>
    </row>
    <row r="41" spans="1:27" x14ac:dyDescent="0.3">
      <c r="A41" s="91"/>
      <c r="B41" s="91"/>
      <c r="C41" s="91"/>
      <c r="D41" s="91"/>
      <c r="E41" s="91"/>
      <c r="F41" s="91"/>
      <c r="G41" s="91"/>
      <c r="H41" s="91"/>
      <c r="I41" s="91"/>
      <c r="J41" s="91"/>
      <c r="K41" s="91"/>
      <c r="L41" s="91"/>
      <c r="M41" s="91"/>
      <c r="N41" s="91"/>
      <c r="O41" s="91"/>
      <c r="P41" s="91"/>
      <c r="Q41" s="91"/>
      <c r="R41" s="91"/>
      <c r="S41" s="91"/>
      <c r="T41" s="91"/>
      <c r="U41" s="91"/>
      <c r="V41" s="91"/>
      <c r="W41" s="91"/>
      <c r="X41" s="91"/>
      <c r="Y41" s="91"/>
      <c r="Z41" s="91"/>
      <c r="AA41" s="91"/>
    </row>
    <row r="42" spans="1:27" x14ac:dyDescent="0.3">
      <c r="A42" s="91"/>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row>
    <row r="43" spans="1:27" x14ac:dyDescent="0.3">
      <c r="A43" s="91"/>
      <c r="B43" s="91"/>
      <c r="C43" s="91"/>
      <c r="D43" s="91"/>
      <c r="E43" s="91"/>
      <c r="F43" s="91"/>
      <c r="G43" s="91"/>
      <c r="H43" s="91"/>
      <c r="I43" s="91"/>
      <c r="J43" s="91"/>
      <c r="K43" s="91"/>
      <c r="L43" s="91"/>
      <c r="M43" s="91"/>
      <c r="N43" s="91"/>
      <c r="O43" s="91"/>
      <c r="P43" s="91"/>
      <c r="Q43" s="91"/>
      <c r="R43" s="91"/>
      <c r="S43" s="91"/>
      <c r="T43" s="91"/>
      <c r="U43" s="91"/>
      <c r="V43" s="91"/>
      <c r="W43" s="91"/>
      <c r="X43" s="91"/>
      <c r="Y43" s="91"/>
      <c r="Z43" s="91"/>
      <c r="AA43" s="91"/>
    </row>
    <row r="44" spans="1:27" x14ac:dyDescent="0.3">
      <c r="A44" s="91"/>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row>
    <row r="45" spans="1:27" x14ac:dyDescent="0.3">
      <c r="A45" s="91"/>
      <c r="B45" s="91"/>
      <c r="C45" s="91"/>
      <c r="D45" s="91"/>
      <c r="E45" s="91"/>
      <c r="F45" s="91"/>
      <c r="G45" s="91"/>
      <c r="H45" s="91"/>
      <c r="I45" s="91"/>
      <c r="J45" s="91"/>
      <c r="K45" s="91"/>
      <c r="L45" s="91"/>
      <c r="M45" s="91"/>
      <c r="N45" s="91"/>
      <c r="O45" s="91"/>
      <c r="P45" s="91"/>
      <c r="Q45" s="91"/>
      <c r="R45" s="91"/>
      <c r="S45" s="91"/>
      <c r="T45" s="91"/>
      <c r="U45" s="91"/>
      <c r="V45" s="91"/>
      <c r="W45" s="91"/>
      <c r="X45" s="91"/>
      <c r="Y45" s="91"/>
      <c r="Z45" s="91"/>
      <c r="AA45" s="91"/>
    </row>
    <row r="46" spans="1:27" x14ac:dyDescent="0.3">
      <c r="A46" s="91"/>
      <c r="B46" s="91"/>
      <c r="C46" s="91"/>
      <c r="D46" s="91"/>
      <c r="E46" s="91"/>
      <c r="F46" s="91"/>
      <c r="G46" s="91"/>
      <c r="H46" s="91"/>
      <c r="I46" s="91"/>
      <c r="J46" s="91"/>
      <c r="K46" s="91"/>
      <c r="L46" s="91"/>
      <c r="M46" s="91"/>
      <c r="N46" s="91"/>
      <c r="O46" s="91"/>
      <c r="P46" s="91"/>
      <c r="Q46" s="91"/>
      <c r="R46" s="91"/>
      <c r="S46" s="91"/>
      <c r="T46" s="91"/>
      <c r="U46" s="91"/>
      <c r="V46" s="91"/>
      <c r="W46" s="91"/>
      <c r="X46" s="91"/>
      <c r="Y46" s="91"/>
      <c r="Z46" s="91"/>
      <c r="AA46" s="91"/>
    </row>
    <row r="47" spans="1:27" x14ac:dyDescent="0.3">
      <c r="A47" s="91"/>
      <c r="B47" s="91"/>
      <c r="C47" s="91"/>
      <c r="D47" s="91"/>
      <c r="E47" s="91"/>
      <c r="F47" s="91"/>
      <c r="G47" s="91"/>
      <c r="H47" s="91"/>
      <c r="I47" s="91"/>
      <c r="J47" s="91"/>
      <c r="K47" s="91"/>
      <c r="L47" s="91"/>
      <c r="M47" s="91"/>
      <c r="N47" s="91"/>
      <c r="O47" s="91"/>
      <c r="P47" s="91"/>
      <c r="Q47" s="91"/>
      <c r="R47" s="91"/>
      <c r="S47" s="91"/>
      <c r="T47" s="91"/>
      <c r="U47" s="91"/>
      <c r="V47" s="91"/>
      <c r="W47" s="91"/>
      <c r="X47" s="91"/>
      <c r="Y47" s="91"/>
      <c r="Z47" s="91"/>
      <c r="AA47" s="91"/>
    </row>
    <row r="48" spans="1:27" x14ac:dyDescent="0.3">
      <c r="A48" s="91"/>
      <c r="B48" s="91"/>
      <c r="C48" s="91"/>
      <c r="D48" s="91"/>
      <c r="E48" s="91"/>
      <c r="F48" s="91"/>
      <c r="G48" s="91"/>
      <c r="H48" s="91"/>
      <c r="I48" s="91"/>
      <c r="J48" s="91"/>
      <c r="K48" s="91"/>
      <c r="L48" s="91"/>
      <c r="M48" s="91"/>
      <c r="N48" s="91"/>
      <c r="O48" s="91"/>
      <c r="P48" s="91"/>
      <c r="Q48" s="91"/>
      <c r="R48" s="91"/>
      <c r="S48" s="91"/>
      <c r="T48" s="91"/>
      <c r="U48" s="91"/>
      <c r="V48" s="91"/>
      <c r="W48" s="91"/>
      <c r="X48" s="91"/>
      <c r="Y48" s="91"/>
      <c r="Z48" s="91"/>
      <c r="AA48" s="91"/>
    </row>
    <row r="49" spans="1:27" x14ac:dyDescent="0.3">
      <c r="A49" s="9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row>
    <row r="50" spans="1:27" x14ac:dyDescent="0.3">
      <c r="A50" s="91"/>
      <c r="B50" s="91"/>
      <c r="C50" s="91"/>
      <c r="D50" s="91"/>
      <c r="E50" s="91"/>
      <c r="F50" s="91"/>
      <c r="G50" s="91"/>
      <c r="H50" s="91"/>
      <c r="I50" s="91"/>
      <c r="J50" s="91"/>
      <c r="K50" s="91"/>
      <c r="L50" s="91"/>
      <c r="M50" s="91"/>
      <c r="N50" s="91"/>
      <c r="O50" s="91"/>
      <c r="P50" s="91"/>
      <c r="Q50" s="91"/>
      <c r="R50" s="91"/>
      <c r="S50" s="91"/>
      <c r="T50" s="91"/>
      <c r="U50" s="91"/>
      <c r="V50" s="91"/>
      <c r="W50" s="91"/>
      <c r="X50" s="91"/>
      <c r="Y50" s="91"/>
      <c r="Z50" s="91"/>
      <c r="AA50" s="91"/>
    </row>
    <row r="51" spans="1:27" x14ac:dyDescent="0.3">
      <c r="A51" s="91"/>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row>
    <row r="52" spans="1:27" x14ac:dyDescent="0.3">
      <c r="A52" s="91"/>
      <c r="B52" s="91"/>
      <c r="C52" s="91"/>
      <c r="D52" s="91"/>
      <c r="E52" s="91"/>
      <c r="F52" s="91"/>
      <c r="G52" s="91"/>
      <c r="H52" s="91"/>
      <c r="I52" s="91"/>
      <c r="J52" s="91"/>
      <c r="K52" s="91"/>
      <c r="L52" s="91"/>
      <c r="M52" s="91"/>
      <c r="N52" s="91"/>
      <c r="O52" s="91"/>
      <c r="P52" s="91"/>
      <c r="Q52" s="91"/>
      <c r="R52" s="91"/>
      <c r="S52" s="91"/>
      <c r="T52" s="91"/>
      <c r="U52" s="91"/>
      <c r="V52" s="91"/>
      <c r="W52" s="91"/>
      <c r="X52" s="91"/>
      <c r="Y52" s="91"/>
      <c r="Z52" s="91"/>
      <c r="AA52" s="91"/>
    </row>
    <row r="53" spans="1:27" x14ac:dyDescent="0.3">
      <c r="A53" s="91"/>
      <c r="B53" s="91"/>
      <c r="C53" s="91"/>
      <c r="D53" s="91"/>
      <c r="E53" s="91"/>
      <c r="F53" s="91"/>
      <c r="G53" s="91"/>
      <c r="H53" s="91"/>
      <c r="I53" s="91"/>
      <c r="J53" s="91"/>
      <c r="K53" s="91"/>
      <c r="L53" s="91"/>
      <c r="M53" s="91"/>
      <c r="N53" s="91"/>
      <c r="O53" s="91"/>
      <c r="P53" s="91"/>
      <c r="Q53" s="91"/>
      <c r="R53" s="91"/>
      <c r="S53" s="91"/>
      <c r="T53" s="91"/>
      <c r="U53" s="91"/>
      <c r="V53" s="91"/>
      <c r="W53" s="91"/>
      <c r="X53" s="91"/>
      <c r="Y53" s="91"/>
      <c r="Z53" s="91"/>
      <c r="AA53" s="91"/>
    </row>
    <row r="54" spans="1:27" x14ac:dyDescent="0.3">
      <c r="A54" s="91"/>
      <c r="B54" s="91"/>
      <c r="C54" s="91"/>
      <c r="D54" s="91"/>
      <c r="E54" s="91"/>
      <c r="F54" s="91"/>
      <c r="G54" s="91"/>
      <c r="H54" s="91"/>
      <c r="I54" s="91"/>
      <c r="J54" s="91"/>
      <c r="K54" s="91"/>
      <c r="L54" s="91"/>
      <c r="M54" s="91"/>
      <c r="N54" s="91"/>
      <c r="O54" s="91"/>
      <c r="P54" s="91"/>
      <c r="Q54" s="91"/>
      <c r="R54" s="91"/>
      <c r="S54" s="91"/>
      <c r="T54" s="91"/>
      <c r="U54" s="91"/>
      <c r="V54" s="91"/>
      <c r="W54" s="91"/>
      <c r="X54" s="91"/>
      <c r="Y54" s="91"/>
      <c r="Z54" s="91"/>
      <c r="AA54" s="91"/>
    </row>
    <row r="55" spans="1:27" x14ac:dyDescent="0.3">
      <c r="A55" s="91"/>
      <c r="B55" s="91"/>
      <c r="C55" s="91"/>
      <c r="D55" s="91"/>
      <c r="E55" s="91"/>
      <c r="F55" s="91"/>
      <c r="G55" s="91"/>
      <c r="H55" s="91"/>
      <c r="I55" s="91"/>
      <c r="J55" s="91"/>
      <c r="K55" s="91"/>
      <c r="L55" s="91"/>
      <c r="M55" s="91"/>
      <c r="N55" s="91"/>
      <c r="O55" s="91"/>
      <c r="P55" s="91"/>
      <c r="Q55" s="91"/>
      <c r="R55" s="91"/>
      <c r="S55" s="91"/>
      <c r="T55" s="91"/>
      <c r="U55" s="91"/>
      <c r="V55" s="91"/>
      <c r="W55" s="91"/>
      <c r="X55" s="91"/>
      <c r="Y55" s="91"/>
      <c r="Z55" s="91"/>
      <c r="AA55" s="91"/>
    </row>
    <row r="56" spans="1:27" x14ac:dyDescent="0.3">
      <c r="A56" s="91"/>
      <c r="B56" s="91"/>
      <c r="C56" s="91"/>
      <c r="D56" s="91"/>
      <c r="E56" s="91"/>
      <c r="F56" s="91"/>
      <c r="G56" s="91"/>
      <c r="H56" s="91"/>
      <c r="I56" s="91"/>
      <c r="J56" s="91"/>
      <c r="K56" s="91"/>
      <c r="L56" s="91"/>
      <c r="M56" s="91"/>
      <c r="N56" s="91"/>
      <c r="O56" s="91"/>
      <c r="P56" s="91"/>
      <c r="Q56" s="91"/>
      <c r="R56" s="91"/>
      <c r="S56" s="91"/>
      <c r="T56" s="91"/>
      <c r="U56" s="91"/>
      <c r="V56" s="91"/>
      <c r="W56" s="91"/>
      <c r="X56" s="91"/>
      <c r="Y56" s="91"/>
      <c r="Z56" s="91"/>
      <c r="AA56" s="91"/>
    </row>
    <row r="57" spans="1:27" x14ac:dyDescent="0.3">
      <c r="A57" s="91"/>
      <c r="B57" s="91"/>
      <c r="C57" s="91"/>
      <c r="D57" s="91"/>
      <c r="E57" s="91"/>
      <c r="F57" s="91"/>
      <c r="G57" s="91"/>
      <c r="H57" s="91"/>
      <c r="I57" s="91"/>
      <c r="J57" s="91"/>
      <c r="K57" s="91"/>
      <c r="L57" s="91"/>
      <c r="M57" s="91"/>
      <c r="N57" s="91"/>
      <c r="O57" s="91"/>
      <c r="P57" s="91"/>
      <c r="Q57" s="91"/>
      <c r="R57" s="91"/>
      <c r="S57" s="91"/>
      <c r="T57" s="91"/>
      <c r="U57" s="91"/>
      <c r="V57" s="91"/>
      <c r="W57" s="91"/>
      <c r="X57" s="91"/>
      <c r="Y57" s="91"/>
      <c r="Z57" s="91"/>
      <c r="AA57" s="91"/>
    </row>
    <row r="58" spans="1:27" x14ac:dyDescent="0.3">
      <c r="A58" s="91"/>
      <c r="B58" s="91"/>
      <c r="C58" s="91"/>
      <c r="D58" s="91"/>
      <c r="E58" s="91"/>
      <c r="F58" s="91"/>
      <c r="G58" s="91"/>
      <c r="H58" s="91"/>
      <c r="I58" s="91"/>
      <c r="J58" s="91"/>
      <c r="K58" s="91"/>
      <c r="L58" s="91"/>
      <c r="M58" s="91"/>
      <c r="N58" s="91"/>
      <c r="O58" s="91"/>
      <c r="P58" s="91"/>
      <c r="Q58" s="91"/>
      <c r="R58" s="91"/>
      <c r="S58" s="91"/>
      <c r="T58" s="91"/>
      <c r="U58" s="91"/>
      <c r="V58" s="91"/>
      <c r="W58" s="91"/>
      <c r="X58" s="91"/>
      <c r="Y58" s="91"/>
      <c r="Z58" s="91"/>
      <c r="AA58" s="91"/>
    </row>
    <row r="59" spans="1:27" x14ac:dyDescent="0.3">
      <c r="A59" s="91"/>
      <c r="B59" s="91"/>
      <c r="C59" s="91"/>
      <c r="D59" s="91"/>
      <c r="E59" s="91"/>
      <c r="F59" s="91"/>
      <c r="G59" s="91"/>
      <c r="H59" s="91"/>
      <c r="I59" s="91"/>
      <c r="J59" s="91"/>
      <c r="K59" s="91"/>
      <c r="L59" s="91"/>
      <c r="M59" s="91"/>
      <c r="N59" s="91"/>
      <c r="O59" s="91"/>
      <c r="P59" s="91"/>
      <c r="Q59" s="91"/>
      <c r="R59" s="91"/>
      <c r="S59" s="91"/>
      <c r="T59" s="91"/>
      <c r="U59" s="91"/>
      <c r="V59" s="91"/>
      <c r="W59" s="91"/>
      <c r="X59" s="91"/>
      <c r="Y59" s="91"/>
      <c r="Z59" s="91"/>
      <c r="AA59" s="91"/>
    </row>
    <row r="60" spans="1:27" x14ac:dyDescent="0.3">
      <c r="A60" s="91"/>
      <c r="B60" s="91"/>
      <c r="C60" s="91"/>
      <c r="D60" s="91"/>
      <c r="E60" s="91"/>
      <c r="F60" s="91"/>
      <c r="G60" s="91"/>
      <c r="H60" s="91"/>
      <c r="I60" s="91"/>
      <c r="J60" s="91"/>
      <c r="K60" s="91"/>
      <c r="L60" s="91"/>
      <c r="M60" s="91"/>
      <c r="N60" s="91"/>
      <c r="O60" s="91"/>
      <c r="P60" s="91"/>
      <c r="Q60" s="91"/>
      <c r="R60" s="91"/>
      <c r="S60" s="91"/>
      <c r="T60" s="91"/>
      <c r="U60" s="91"/>
      <c r="V60" s="91"/>
      <c r="W60" s="91"/>
      <c r="X60" s="91"/>
      <c r="Y60" s="91"/>
      <c r="Z60" s="91"/>
      <c r="AA60" s="91"/>
    </row>
    <row r="61" spans="1:27" x14ac:dyDescent="0.3">
      <c r="A61" s="91"/>
      <c r="B61" s="91"/>
      <c r="C61" s="91"/>
      <c r="D61" s="91"/>
      <c r="E61" s="91"/>
      <c r="F61" s="91"/>
      <c r="G61" s="91"/>
      <c r="H61" s="91"/>
      <c r="I61" s="91"/>
      <c r="J61" s="91"/>
      <c r="K61" s="91"/>
      <c r="L61" s="91"/>
      <c r="M61" s="91"/>
      <c r="N61" s="91"/>
      <c r="O61" s="91"/>
      <c r="P61" s="91"/>
      <c r="Q61" s="91"/>
      <c r="R61" s="91"/>
      <c r="S61" s="91"/>
      <c r="T61" s="91"/>
      <c r="U61" s="91"/>
      <c r="V61" s="91"/>
      <c r="W61" s="91"/>
      <c r="X61" s="91"/>
      <c r="Y61" s="91"/>
      <c r="Z61" s="91"/>
      <c r="AA61" s="91"/>
    </row>
    <row r="62" spans="1:27" x14ac:dyDescent="0.3">
      <c r="A62" s="91"/>
      <c r="B62" s="91"/>
      <c r="C62" s="91"/>
      <c r="D62" s="91"/>
      <c r="E62" s="91"/>
      <c r="F62" s="91"/>
      <c r="G62" s="91"/>
      <c r="H62" s="91"/>
      <c r="I62" s="91"/>
      <c r="J62" s="91"/>
      <c r="K62" s="91"/>
      <c r="L62" s="91"/>
      <c r="M62" s="91"/>
      <c r="N62" s="91"/>
      <c r="O62" s="91"/>
      <c r="P62" s="91"/>
      <c r="Q62" s="91"/>
      <c r="R62" s="91"/>
      <c r="S62" s="91"/>
      <c r="T62" s="91"/>
      <c r="U62" s="91"/>
      <c r="V62" s="91"/>
      <c r="W62" s="91"/>
      <c r="X62" s="91"/>
      <c r="Y62" s="91"/>
      <c r="Z62" s="91"/>
      <c r="AA62" s="91"/>
    </row>
    <row r="63" spans="1:27" x14ac:dyDescent="0.3">
      <c r="A63" s="91"/>
      <c r="B63" s="91"/>
      <c r="C63" s="91"/>
      <c r="D63" s="91"/>
      <c r="E63" s="91"/>
      <c r="F63" s="91"/>
      <c r="G63" s="91"/>
      <c r="H63" s="91"/>
      <c r="I63" s="91"/>
      <c r="J63" s="91"/>
      <c r="K63" s="91"/>
      <c r="L63" s="91"/>
      <c r="M63" s="91"/>
      <c r="N63" s="91"/>
      <c r="O63" s="91"/>
      <c r="P63" s="91"/>
      <c r="Q63" s="91"/>
      <c r="R63" s="91"/>
      <c r="S63" s="91"/>
      <c r="T63" s="91"/>
      <c r="U63" s="91"/>
      <c r="V63" s="91"/>
      <c r="W63" s="91"/>
      <c r="X63" s="91"/>
      <c r="Y63" s="91"/>
      <c r="Z63" s="91"/>
      <c r="AA63" s="91"/>
    </row>
    <row r="64" spans="1:27" x14ac:dyDescent="0.3">
      <c r="A64" s="91"/>
      <c r="B64" s="91"/>
      <c r="C64" s="91"/>
      <c r="D64" s="91"/>
      <c r="E64" s="91"/>
      <c r="F64" s="91"/>
      <c r="G64" s="91"/>
      <c r="H64" s="91"/>
      <c r="I64" s="91"/>
      <c r="J64" s="91"/>
      <c r="K64" s="91"/>
      <c r="L64" s="91"/>
      <c r="M64" s="91"/>
      <c r="N64" s="91"/>
      <c r="O64" s="91"/>
      <c r="P64" s="91"/>
      <c r="Q64" s="91"/>
      <c r="R64" s="91"/>
      <c r="S64" s="91"/>
      <c r="T64" s="91"/>
      <c r="U64" s="91"/>
      <c r="V64" s="91"/>
      <c r="W64" s="91"/>
      <c r="X64" s="91"/>
      <c r="Y64" s="91"/>
      <c r="Z64" s="91"/>
      <c r="AA64" s="91"/>
    </row>
    <row r="65" spans="1:27" x14ac:dyDescent="0.3">
      <c r="A65" s="91"/>
      <c r="B65" s="91"/>
      <c r="C65" s="91"/>
      <c r="D65" s="91"/>
      <c r="E65" s="91"/>
      <c r="F65" s="91"/>
      <c r="G65" s="91"/>
      <c r="H65" s="91"/>
      <c r="I65" s="91"/>
      <c r="J65" s="91"/>
      <c r="K65" s="91"/>
      <c r="L65" s="91"/>
      <c r="M65" s="91"/>
      <c r="N65" s="91"/>
      <c r="O65" s="91"/>
      <c r="P65" s="91"/>
      <c r="Q65" s="91"/>
      <c r="R65" s="91"/>
      <c r="S65" s="91"/>
      <c r="T65" s="91"/>
      <c r="U65" s="91"/>
      <c r="V65" s="91"/>
      <c r="W65" s="91"/>
      <c r="X65" s="91"/>
      <c r="Y65" s="91"/>
      <c r="Z65" s="91"/>
      <c r="AA65" s="91"/>
    </row>
    <row r="66" spans="1:27" x14ac:dyDescent="0.3">
      <c r="A66" s="91"/>
      <c r="B66" s="91"/>
      <c r="C66" s="91"/>
      <c r="D66" s="91"/>
      <c r="E66" s="91"/>
      <c r="F66" s="91"/>
      <c r="G66" s="91"/>
      <c r="H66" s="91"/>
      <c r="I66" s="91"/>
      <c r="J66" s="91"/>
      <c r="K66" s="91"/>
      <c r="L66" s="91"/>
      <c r="M66" s="91"/>
      <c r="N66" s="91"/>
      <c r="O66" s="91"/>
      <c r="P66" s="91"/>
      <c r="Q66" s="91"/>
      <c r="R66" s="91"/>
      <c r="S66" s="91"/>
      <c r="T66" s="91"/>
      <c r="U66" s="91"/>
      <c r="V66" s="91"/>
      <c r="W66" s="91"/>
      <c r="X66" s="91"/>
      <c r="Y66" s="91"/>
      <c r="Z66" s="91"/>
      <c r="AA66" s="91"/>
    </row>
    <row r="67" spans="1:27" x14ac:dyDescent="0.3">
      <c r="A67" s="91"/>
      <c r="B67" s="91"/>
      <c r="C67" s="91"/>
      <c r="D67" s="91"/>
      <c r="E67" s="91"/>
      <c r="F67" s="91"/>
      <c r="G67" s="91"/>
      <c r="H67" s="91"/>
      <c r="I67" s="91"/>
      <c r="J67" s="91"/>
      <c r="K67" s="91"/>
      <c r="L67" s="91"/>
      <c r="M67" s="91"/>
      <c r="N67" s="91"/>
      <c r="O67" s="91"/>
      <c r="P67" s="91"/>
      <c r="Q67" s="91"/>
      <c r="R67" s="91"/>
      <c r="S67" s="91"/>
      <c r="T67" s="91"/>
      <c r="U67" s="91"/>
      <c r="V67" s="91"/>
      <c r="W67" s="91"/>
      <c r="X67" s="91"/>
      <c r="Y67" s="91"/>
      <c r="Z67" s="91"/>
      <c r="AA67" s="91"/>
    </row>
    <row r="68" spans="1:27" x14ac:dyDescent="0.3">
      <c r="A68" s="91"/>
      <c r="B68" s="91"/>
      <c r="C68" s="91"/>
      <c r="D68" s="91"/>
      <c r="E68" s="91"/>
      <c r="F68" s="91"/>
      <c r="G68" s="91"/>
      <c r="H68" s="91"/>
      <c r="I68" s="91"/>
      <c r="J68" s="91"/>
      <c r="K68" s="91"/>
      <c r="L68" s="91"/>
      <c r="M68" s="91"/>
      <c r="N68" s="91"/>
      <c r="O68" s="91"/>
      <c r="P68" s="91"/>
      <c r="Q68" s="91"/>
      <c r="R68" s="91"/>
      <c r="S68" s="91"/>
      <c r="T68" s="91"/>
      <c r="U68" s="91"/>
      <c r="V68" s="91"/>
      <c r="W68" s="91"/>
      <c r="X68" s="91"/>
      <c r="Y68" s="91"/>
      <c r="Z68" s="91"/>
      <c r="AA68" s="91"/>
    </row>
    <row r="69" spans="1:27" x14ac:dyDescent="0.3">
      <c r="A69" s="91"/>
      <c r="B69" s="91"/>
      <c r="C69" s="91"/>
      <c r="D69" s="91"/>
      <c r="E69" s="91"/>
      <c r="F69" s="91"/>
      <c r="G69" s="91"/>
      <c r="H69" s="91"/>
      <c r="I69" s="91"/>
      <c r="J69" s="91"/>
      <c r="K69" s="91"/>
      <c r="L69" s="91"/>
      <c r="M69" s="91"/>
      <c r="N69" s="91"/>
      <c r="O69" s="91"/>
      <c r="P69" s="91"/>
      <c r="Q69" s="91"/>
      <c r="R69" s="91"/>
      <c r="S69" s="91"/>
      <c r="T69" s="91"/>
      <c r="U69" s="91"/>
      <c r="V69" s="91"/>
      <c r="W69" s="91"/>
      <c r="X69" s="91"/>
      <c r="Y69" s="91"/>
      <c r="Z69" s="91"/>
      <c r="AA69" s="91"/>
    </row>
    <row r="70" spans="1:27" x14ac:dyDescent="0.3">
      <c r="A70" s="91"/>
      <c r="B70" s="91"/>
      <c r="C70" s="91"/>
      <c r="D70" s="91"/>
      <c r="E70" s="91"/>
      <c r="F70" s="91"/>
      <c r="G70" s="91"/>
      <c r="H70" s="91"/>
      <c r="I70" s="91"/>
      <c r="J70" s="91"/>
      <c r="K70" s="91"/>
      <c r="L70" s="91"/>
      <c r="M70" s="91"/>
      <c r="N70" s="91"/>
      <c r="O70" s="91"/>
      <c r="P70" s="91"/>
      <c r="Q70" s="91"/>
      <c r="R70" s="91"/>
      <c r="S70" s="91"/>
      <c r="T70" s="91"/>
      <c r="U70" s="91"/>
      <c r="V70" s="91"/>
      <c r="W70" s="91"/>
      <c r="X70" s="91"/>
      <c r="Y70" s="91"/>
      <c r="Z70" s="91"/>
      <c r="AA70" s="91"/>
    </row>
    <row r="71" spans="1:27" x14ac:dyDescent="0.3">
      <c r="A71" s="91"/>
      <c r="B71" s="91"/>
      <c r="C71" s="91"/>
      <c r="D71" s="91"/>
      <c r="E71" s="91"/>
      <c r="F71" s="91"/>
      <c r="G71" s="91"/>
      <c r="H71" s="91"/>
      <c r="I71" s="91"/>
      <c r="J71" s="91"/>
      <c r="K71" s="91"/>
      <c r="L71" s="91"/>
      <c r="M71" s="91"/>
      <c r="N71" s="91"/>
      <c r="O71" s="91"/>
      <c r="P71" s="91"/>
      <c r="Q71" s="91"/>
      <c r="R71" s="91"/>
      <c r="S71" s="91"/>
      <c r="T71" s="91"/>
      <c r="U71" s="91"/>
      <c r="V71" s="91"/>
      <c r="W71" s="91"/>
      <c r="X71" s="91"/>
      <c r="Y71" s="91"/>
      <c r="Z71" s="91"/>
      <c r="AA71" s="91"/>
    </row>
    <row r="72" spans="1:27" x14ac:dyDescent="0.3">
      <c r="A72" s="91"/>
      <c r="B72" s="91"/>
      <c r="C72" s="91"/>
      <c r="D72" s="91"/>
      <c r="E72" s="91"/>
      <c r="F72" s="91"/>
      <c r="G72" s="91"/>
      <c r="H72" s="91"/>
      <c r="I72" s="91"/>
      <c r="J72" s="91"/>
      <c r="K72" s="91"/>
      <c r="L72" s="91"/>
      <c r="M72" s="91"/>
      <c r="N72" s="91"/>
      <c r="O72" s="91"/>
      <c r="P72" s="91"/>
      <c r="Q72" s="91"/>
      <c r="R72" s="91"/>
      <c r="S72" s="91"/>
      <c r="T72" s="91"/>
      <c r="U72" s="91"/>
      <c r="V72" s="91"/>
      <c r="W72" s="91"/>
      <c r="X72" s="91"/>
      <c r="Y72" s="91"/>
      <c r="Z72" s="91"/>
      <c r="AA72" s="91"/>
    </row>
    <row r="73" spans="1:27" x14ac:dyDescent="0.3">
      <c r="A73" s="91"/>
      <c r="B73" s="91"/>
      <c r="C73" s="91"/>
      <c r="D73" s="91"/>
      <c r="E73" s="91"/>
      <c r="F73" s="91"/>
      <c r="G73" s="91"/>
      <c r="H73" s="91"/>
      <c r="I73" s="91"/>
      <c r="J73" s="91"/>
      <c r="K73" s="91"/>
      <c r="L73" s="91"/>
      <c r="M73" s="91"/>
      <c r="N73" s="91"/>
      <c r="O73" s="91"/>
      <c r="P73" s="91"/>
      <c r="Q73" s="91"/>
      <c r="R73" s="91"/>
      <c r="S73" s="91"/>
      <c r="T73" s="91"/>
      <c r="U73" s="91"/>
      <c r="V73" s="91"/>
      <c r="W73" s="91"/>
      <c r="X73" s="91"/>
      <c r="Y73" s="91"/>
      <c r="Z73" s="91"/>
      <c r="AA73" s="91"/>
    </row>
    <row r="74" spans="1:27" x14ac:dyDescent="0.3">
      <c r="A74" s="91"/>
      <c r="B74" s="91"/>
      <c r="C74" s="91"/>
      <c r="D74" s="91"/>
      <c r="E74" s="91"/>
      <c r="F74" s="91"/>
      <c r="G74" s="91"/>
      <c r="H74" s="91"/>
      <c r="I74" s="91"/>
      <c r="J74" s="91"/>
      <c r="K74" s="91"/>
      <c r="L74" s="91"/>
      <c r="M74" s="91"/>
      <c r="N74" s="91"/>
      <c r="O74" s="91"/>
      <c r="P74" s="91"/>
      <c r="Q74" s="91"/>
      <c r="R74" s="91"/>
      <c r="S74" s="91"/>
      <c r="T74" s="91"/>
      <c r="U74" s="91"/>
      <c r="V74" s="91"/>
      <c r="W74" s="91"/>
      <c r="X74" s="91"/>
      <c r="Y74" s="91"/>
      <c r="Z74" s="91"/>
      <c r="AA74" s="91"/>
    </row>
    <row r="75" spans="1:27" x14ac:dyDescent="0.3">
      <c r="A75" s="91"/>
      <c r="B75" s="91"/>
      <c r="C75" s="91"/>
      <c r="D75" s="91"/>
      <c r="E75" s="91"/>
      <c r="F75" s="91"/>
      <c r="G75" s="91"/>
      <c r="H75" s="91"/>
      <c r="I75" s="91"/>
      <c r="J75" s="91"/>
      <c r="K75" s="91"/>
      <c r="L75" s="91"/>
      <c r="M75" s="91"/>
      <c r="N75" s="91"/>
      <c r="O75" s="91"/>
      <c r="P75" s="91"/>
      <c r="Q75" s="91"/>
      <c r="R75" s="91"/>
      <c r="S75" s="91"/>
      <c r="T75" s="91"/>
      <c r="U75" s="91"/>
      <c r="V75" s="91"/>
      <c r="W75" s="91"/>
      <c r="X75" s="91"/>
      <c r="Y75" s="91"/>
      <c r="Z75" s="91"/>
      <c r="AA75" s="91"/>
    </row>
    <row r="76" spans="1:27" x14ac:dyDescent="0.3">
      <c r="A76" s="91"/>
      <c r="B76" s="91"/>
      <c r="C76" s="91"/>
      <c r="D76" s="91"/>
      <c r="E76" s="91"/>
      <c r="F76" s="91"/>
      <c r="G76" s="91"/>
      <c r="H76" s="91"/>
      <c r="I76" s="91"/>
      <c r="J76" s="91"/>
      <c r="K76" s="91"/>
      <c r="L76" s="91"/>
      <c r="M76" s="91"/>
      <c r="N76" s="91"/>
      <c r="O76" s="91"/>
      <c r="P76" s="91"/>
      <c r="Q76" s="91"/>
      <c r="R76" s="91"/>
      <c r="S76" s="91"/>
      <c r="T76" s="91"/>
      <c r="U76" s="91"/>
      <c r="V76" s="91"/>
      <c r="W76" s="91"/>
      <c r="X76" s="91"/>
      <c r="Y76" s="91"/>
      <c r="Z76" s="91"/>
      <c r="AA76" s="91"/>
    </row>
    <row r="77" spans="1:27" x14ac:dyDescent="0.3">
      <c r="A77" s="91"/>
      <c r="B77" s="91"/>
      <c r="C77" s="91"/>
      <c r="D77" s="91"/>
      <c r="E77" s="91"/>
      <c r="F77" s="91"/>
      <c r="G77" s="91"/>
      <c r="H77" s="91"/>
      <c r="I77" s="91"/>
      <c r="J77" s="91"/>
      <c r="K77" s="91"/>
      <c r="L77" s="91"/>
      <c r="M77" s="91"/>
      <c r="N77" s="91"/>
      <c r="O77" s="91"/>
      <c r="P77" s="91"/>
      <c r="Q77" s="91"/>
      <c r="R77" s="91"/>
      <c r="S77" s="91"/>
      <c r="T77" s="91"/>
      <c r="U77" s="91"/>
      <c r="V77" s="91"/>
      <c r="W77" s="91"/>
      <c r="X77" s="91"/>
      <c r="Y77" s="91"/>
      <c r="Z77" s="91"/>
      <c r="AA77" s="91"/>
    </row>
    <row r="78" spans="1:27" x14ac:dyDescent="0.3">
      <c r="A78" s="91"/>
      <c r="B78" s="91"/>
      <c r="C78" s="91"/>
      <c r="D78" s="91"/>
      <c r="E78" s="91"/>
      <c r="F78" s="91"/>
      <c r="G78" s="91"/>
      <c r="H78" s="91"/>
      <c r="I78" s="91"/>
      <c r="J78" s="91"/>
      <c r="K78" s="91"/>
      <c r="L78" s="91"/>
      <c r="M78" s="91"/>
      <c r="N78" s="91"/>
      <c r="O78" s="91"/>
      <c r="P78" s="91"/>
      <c r="Q78" s="91"/>
      <c r="R78" s="91"/>
      <c r="S78" s="91"/>
      <c r="T78" s="91"/>
      <c r="U78" s="91"/>
      <c r="V78" s="91"/>
      <c r="W78" s="91"/>
      <c r="X78" s="91"/>
      <c r="Y78" s="91"/>
      <c r="Z78" s="91"/>
      <c r="AA78" s="91"/>
    </row>
    <row r="79" spans="1:27" x14ac:dyDescent="0.3">
      <c r="A79" s="91"/>
      <c r="B79" s="91"/>
      <c r="C79" s="91"/>
      <c r="D79" s="91"/>
      <c r="E79" s="91"/>
      <c r="F79" s="91"/>
      <c r="G79" s="91"/>
      <c r="H79" s="91"/>
      <c r="I79" s="91"/>
      <c r="J79" s="91"/>
      <c r="K79" s="91"/>
      <c r="L79" s="91"/>
      <c r="M79" s="91"/>
      <c r="N79" s="91"/>
      <c r="O79" s="91"/>
      <c r="P79" s="91"/>
      <c r="Q79" s="91"/>
      <c r="R79" s="91"/>
      <c r="S79" s="91"/>
      <c r="T79" s="91"/>
      <c r="U79" s="91"/>
      <c r="V79" s="91"/>
      <c r="W79" s="91"/>
      <c r="X79" s="91"/>
      <c r="Y79" s="91"/>
      <c r="Z79" s="91"/>
      <c r="AA79" s="91"/>
    </row>
    <row r="80" spans="1:27" x14ac:dyDescent="0.3">
      <c r="A80" s="91"/>
      <c r="B80" s="91"/>
      <c r="C80" s="91"/>
      <c r="D80" s="91"/>
      <c r="E80" s="91"/>
      <c r="F80" s="91"/>
      <c r="G80" s="91"/>
      <c r="H80" s="91"/>
      <c r="I80" s="91"/>
      <c r="J80" s="91"/>
      <c r="K80" s="91"/>
      <c r="L80" s="91"/>
      <c r="M80" s="91"/>
      <c r="N80" s="91"/>
      <c r="O80" s="91"/>
      <c r="P80" s="91"/>
      <c r="Q80" s="91"/>
      <c r="R80" s="91"/>
      <c r="S80" s="91"/>
      <c r="T80" s="91"/>
      <c r="U80" s="91"/>
      <c r="V80" s="91"/>
      <c r="W80" s="91"/>
      <c r="X80" s="91"/>
      <c r="Y80" s="91"/>
      <c r="Z80" s="91"/>
      <c r="AA80" s="91"/>
    </row>
    <row r="81" spans="1:27" x14ac:dyDescent="0.3">
      <c r="A81" s="91"/>
      <c r="B81" s="91"/>
      <c r="C81" s="91"/>
      <c r="D81" s="91"/>
      <c r="E81" s="91"/>
      <c r="F81" s="91"/>
      <c r="G81" s="91"/>
      <c r="H81" s="91"/>
      <c r="I81" s="91"/>
      <c r="J81" s="91"/>
      <c r="K81" s="91"/>
      <c r="L81" s="91"/>
      <c r="M81" s="91"/>
      <c r="N81" s="91"/>
      <c r="O81" s="91"/>
      <c r="P81" s="91"/>
      <c r="Q81" s="91"/>
      <c r="R81" s="91"/>
      <c r="S81" s="91"/>
      <c r="T81" s="91"/>
      <c r="U81" s="91"/>
      <c r="V81" s="91"/>
      <c r="W81" s="91"/>
      <c r="X81" s="91"/>
      <c r="Y81" s="91"/>
      <c r="Z81" s="91"/>
      <c r="AA81" s="91"/>
    </row>
    <row r="82" spans="1:27" x14ac:dyDescent="0.3">
      <c r="A82" s="91"/>
      <c r="B82" s="91"/>
      <c r="C82" s="91"/>
      <c r="D82" s="91"/>
      <c r="E82" s="91"/>
      <c r="F82" s="91"/>
      <c r="G82" s="91"/>
      <c r="H82" s="91"/>
      <c r="I82" s="91"/>
      <c r="J82" s="91"/>
      <c r="K82" s="91"/>
      <c r="L82" s="91"/>
      <c r="M82" s="91"/>
      <c r="N82" s="91"/>
      <c r="O82" s="91"/>
      <c r="P82" s="91"/>
      <c r="Q82" s="91"/>
      <c r="R82" s="91"/>
      <c r="S82" s="91"/>
      <c r="T82" s="91"/>
      <c r="U82" s="91"/>
      <c r="V82" s="91"/>
      <c r="W82" s="91"/>
      <c r="X82" s="91"/>
      <c r="Y82" s="91"/>
      <c r="Z82" s="91"/>
      <c r="AA82" s="91"/>
    </row>
    <row r="83" spans="1:27" x14ac:dyDescent="0.3">
      <c r="A83" s="91"/>
      <c r="B83" s="91"/>
      <c r="C83" s="91"/>
      <c r="D83" s="91"/>
      <c r="E83" s="91"/>
      <c r="F83" s="91"/>
      <c r="G83" s="91"/>
      <c r="H83" s="91"/>
      <c r="I83" s="91"/>
      <c r="J83" s="91"/>
      <c r="K83" s="91"/>
      <c r="L83" s="91"/>
      <c r="M83" s="91"/>
      <c r="N83" s="91"/>
      <c r="O83" s="91"/>
      <c r="P83" s="91"/>
      <c r="Q83" s="91"/>
      <c r="R83" s="91"/>
      <c r="S83" s="91"/>
      <c r="T83" s="91"/>
      <c r="U83" s="91"/>
      <c r="V83" s="91"/>
      <c r="W83" s="91"/>
      <c r="X83" s="91"/>
      <c r="Y83" s="91"/>
      <c r="Z83" s="91"/>
      <c r="AA83" s="91"/>
    </row>
    <row r="84" spans="1:27" x14ac:dyDescent="0.3">
      <c r="A84" s="91"/>
      <c r="B84" s="91"/>
      <c r="C84" s="91"/>
      <c r="D84" s="91"/>
      <c r="E84" s="91"/>
      <c r="F84" s="91"/>
      <c r="G84" s="91"/>
      <c r="H84" s="91"/>
      <c r="I84" s="91"/>
      <c r="J84" s="91"/>
      <c r="K84" s="91"/>
      <c r="L84" s="91"/>
      <c r="M84" s="91"/>
      <c r="N84" s="91"/>
      <c r="O84" s="91"/>
      <c r="P84" s="91"/>
      <c r="Q84" s="91"/>
      <c r="R84" s="91"/>
      <c r="S84" s="91"/>
      <c r="T84" s="91"/>
      <c r="U84" s="91"/>
      <c r="V84" s="91"/>
      <c r="W84" s="91"/>
      <c r="X84" s="91"/>
      <c r="Y84" s="91"/>
      <c r="Z84" s="91"/>
      <c r="AA84" s="91"/>
    </row>
    <row r="85" spans="1:27" x14ac:dyDescent="0.3">
      <c r="A85" s="91"/>
      <c r="B85" s="91"/>
      <c r="C85" s="91"/>
      <c r="D85" s="91"/>
      <c r="E85" s="91"/>
      <c r="F85" s="91"/>
      <c r="G85" s="91"/>
      <c r="H85" s="91"/>
      <c r="I85" s="91"/>
      <c r="J85" s="91"/>
      <c r="K85" s="91"/>
      <c r="L85" s="91"/>
      <c r="M85" s="91"/>
      <c r="N85" s="91"/>
      <c r="O85" s="91"/>
      <c r="P85" s="91"/>
      <c r="Q85" s="91"/>
      <c r="R85" s="91"/>
      <c r="S85" s="91"/>
      <c r="T85" s="91"/>
      <c r="U85" s="91"/>
      <c r="V85" s="91"/>
      <c r="W85" s="91"/>
      <c r="X85" s="91"/>
      <c r="Y85" s="91"/>
      <c r="Z85" s="91"/>
      <c r="AA85" s="91"/>
    </row>
    <row r="86" spans="1:27" x14ac:dyDescent="0.3">
      <c r="A86" s="91"/>
      <c r="B86" s="91"/>
      <c r="C86" s="91"/>
      <c r="D86" s="91"/>
      <c r="E86" s="91"/>
      <c r="F86" s="91"/>
      <c r="G86" s="91"/>
      <c r="H86" s="91"/>
      <c r="I86" s="91"/>
      <c r="J86" s="91"/>
      <c r="K86" s="91"/>
      <c r="L86" s="91"/>
      <c r="M86" s="91"/>
      <c r="N86" s="91"/>
      <c r="O86" s="91"/>
      <c r="P86" s="91"/>
      <c r="Q86" s="91"/>
      <c r="R86" s="91"/>
      <c r="S86" s="91"/>
      <c r="T86" s="91"/>
      <c r="U86" s="91"/>
      <c r="V86" s="91"/>
      <c r="W86" s="91"/>
      <c r="X86" s="91"/>
      <c r="Y86" s="91"/>
      <c r="Z86" s="91"/>
      <c r="AA86" s="91"/>
    </row>
    <row r="87" spans="1:27" x14ac:dyDescent="0.3">
      <c r="A87" s="91"/>
      <c r="B87" s="91"/>
      <c r="C87" s="91"/>
      <c r="D87" s="91"/>
      <c r="E87" s="91"/>
      <c r="F87" s="91"/>
      <c r="G87" s="91"/>
      <c r="H87" s="91"/>
      <c r="I87" s="91"/>
      <c r="J87" s="91"/>
      <c r="K87" s="91"/>
      <c r="L87" s="91"/>
      <c r="M87" s="91"/>
      <c r="N87" s="91"/>
      <c r="O87" s="91"/>
      <c r="P87" s="91"/>
      <c r="Q87" s="91"/>
      <c r="R87" s="91"/>
      <c r="S87" s="91"/>
      <c r="T87" s="91"/>
      <c r="U87" s="91"/>
      <c r="V87" s="91"/>
      <c r="W87" s="91"/>
      <c r="X87" s="91"/>
      <c r="Y87" s="91"/>
      <c r="Z87" s="91"/>
      <c r="AA87" s="91"/>
    </row>
    <row r="88" spans="1:27" x14ac:dyDescent="0.3">
      <c r="A88" s="91"/>
      <c r="B88" s="91"/>
      <c r="C88" s="91"/>
      <c r="D88" s="91"/>
      <c r="E88" s="91"/>
      <c r="F88" s="91"/>
      <c r="G88" s="91"/>
      <c r="H88" s="91"/>
      <c r="I88" s="91"/>
      <c r="J88" s="91"/>
      <c r="K88" s="91"/>
      <c r="L88" s="91"/>
      <c r="M88" s="91"/>
      <c r="N88" s="91"/>
      <c r="O88" s="91"/>
      <c r="P88" s="91"/>
      <c r="Q88" s="91"/>
      <c r="R88" s="91"/>
      <c r="S88" s="91"/>
      <c r="T88" s="91"/>
      <c r="U88" s="91"/>
      <c r="V88" s="91"/>
      <c r="W88" s="91"/>
      <c r="X88" s="91"/>
      <c r="Y88" s="91"/>
      <c r="Z88" s="91"/>
      <c r="AA88" s="91"/>
    </row>
    <row r="89" spans="1:27" x14ac:dyDescent="0.3">
      <c r="A89" s="91"/>
      <c r="B89" s="91"/>
      <c r="C89" s="91"/>
      <c r="D89" s="91"/>
      <c r="E89" s="91"/>
      <c r="F89" s="91"/>
      <c r="G89" s="91"/>
      <c r="H89" s="91"/>
      <c r="I89" s="91"/>
      <c r="J89" s="91"/>
      <c r="K89" s="91"/>
      <c r="L89" s="91"/>
      <c r="M89" s="91"/>
      <c r="N89" s="91"/>
      <c r="O89" s="91"/>
      <c r="P89" s="91"/>
      <c r="Q89" s="91"/>
      <c r="R89" s="91"/>
      <c r="S89" s="91"/>
      <c r="T89" s="91"/>
      <c r="U89" s="91"/>
      <c r="V89" s="91"/>
      <c r="W89" s="91"/>
      <c r="X89" s="91"/>
      <c r="Y89" s="91"/>
      <c r="Z89" s="91"/>
      <c r="AA89" s="91"/>
    </row>
    <row r="90" spans="1:27" x14ac:dyDescent="0.3">
      <c r="A90" s="91"/>
      <c r="B90" s="91"/>
      <c r="C90" s="91"/>
      <c r="D90" s="91"/>
      <c r="E90" s="91"/>
      <c r="F90" s="91"/>
      <c r="G90" s="91"/>
      <c r="H90" s="91"/>
      <c r="I90" s="91"/>
      <c r="J90" s="91"/>
      <c r="K90" s="91"/>
      <c r="L90" s="91"/>
      <c r="M90" s="91"/>
      <c r="N90" s="91"/>
      <c r="O90" s="91"/>
      <c r="P90" s="91"/>
      <c r="Q90" s="91"/>
      <c r="R90" s="91"/>
      <c r="S90" s="91"/>
      <c r="T90" s="91"/>
      <c r="U90" s="91"/>
      <c r="V90" s="91"/>
      <c r="W90" s="91"/>
      <c r="X90" s="91"/>
      <c r="Y90" s="91"/>
      <c r="Z90" s="91"/>
      <c r="AA90" s="91"/>
    </row>
    <row r="91" spans="1:27" x14ac:dyDescent="0.3">
      <c r="A91" s="91"/>
      <c r="B91" s="91"/>
      <c r="C91" s="91"/>
      <c r="D91" s="91"/>
      <c r="E91" s="91"/>
      <c r="F91" s="91"/>
      <c r="G91" s="91"/>
      <c r="H91" s="91"/>
      <c r="I91" s="91"/>
      <c r="J91" s="91"/>
      <c r="K91" s="91"/>
      <c r="L91" s="91"/>
      <c r="M91" s="91"/>
      <c r="N91" s="91"/>
      <c r="O91" s="91"/>
      <c r="P91" s="91"/>
      <c r="Q91" s="91"/>
      <c r="R91" s="91"/>
      <c r="S91" s="91"/>
      <c r="T91" s="91"/>
      <c r="U91" s="91"/>
      <c r="V91" s="91"/>
      <c r="W91" s="91"/>
      <c r="X91" s="91"/>
      <c r="Y91" s="91"/>
      <c r="Z91" s="91"/>
      <c r="AA91" s="91"/>
    </row>
    <row r="92" spans="1:27" x14ac:dyDescent="0.3">
      <c r="A92" s="91"/>
      <c r="B92" s="91"/>
      <c r="C92" s="91"/>
      <c r="D92" s="91"/>
      <c r="E92" s="91"/>
      <c r="F92" s="91"/>
      <c r="G92" s="91"/>
      <c r="H92" s="91"/>
      <c r="I92" s="91"/>
      <c r="J92" s="91"/>
      <c r="K92" s="91"/>
      <c r="L92" s="91"/>
      <c r="M92" s="91"/>
      <c r="N92" s="91"/>
      <c r="O92" s="91"/>
      <c r="P92" s="91"/>
      <c r="Q92" s="91"/>
      <c r="R92" s="91"/>
      <c r="S92" s="91"/>
      <c r="T92" s="91"/>
      <c r="U92" s="91"/>
      <c r="V92" s="91"/>
      <c r="W92" s="91"/>
      <c r="X92" s="91"/>
      <c r="Y92" s="91"/>
      <c r="Z92" s="91"/>
      <c r="AA92" s="91"/>
    </row>
    <row r="93" spans="1:27" x14ac:dyDescent="0.3">
      <c r="A93" s="91"/>
      <c r="B93" s="91"/>
      <c r="C93" s="91"/>
      <c r="D93" s="91"/>
      <c r="E93" s="91"/>
      <c r="F93" s="91"/>
      <c r="G93" s="91"/>
      <c r="H93" s="91"/>
      <c r="I93" s="91"/>
      <c r="J93" s="91"/>
      <c r="K93" s="91"/>
      <c r="L93" s="91"/>
      <c r="M93" s="91"/>
      <c r="N93" s="91"/>
      <c r="O93" s="91"/>
      <c r="P93" s="91"/>
      <c r="Q93" s="91"/>
      <c r="R93" s="91"/>
      <c r="S93" s="91"/>
      <c r="T93" s="91"/>
      <c r="U93" s="91"/>
      <c r="V93" s="91"/>
      <c r="W93" s="91"/>
      <c r="X93" s="91"/>
      <c r="Y93" s="91"/>
      <c r="Z93" s="91"/>
      <c r="AA93" s="91"/>
    </row>
    <row r="94" spans="1:27" x14ac:dyDescent="0.3">
      <c r="A94" s="91"/>
      <c r="B94" s="91"/>
      <c r="C94" s="91"/>
      <c r="D94" s="91"/>
      <c r="E94" s="91"/>
      <c r="F94" s="91"/>
      <c r="G94" s="91"/>
      <c r="H94" s="91"/>
      <c r="I94" s="91"/>
      <c r="J94" s="91"/>
      <c r="K94" s="91"/>
      <c r="L94" s="91"/>
      <c r="M94" s="91"/>
      <c r="N94" s="91"/>
      <c r="O94" s="91"/>
      <c r="P94" s="91"/>
      <c r="Q94" s="91"/>
      <c r="R94" s="91"/>
      <c r="S94" s="91"/>
      <c r="T94" s="91"/>
      <c r="U94" s="91"/>
      <c r="V94" s="91"/>
      <c r="W94" s="91"/>
      <c r="X94" s="91"/>
      <c r="Y94" s="91"/>
      <c r="Z94" s="91"/>
      <c r="AA94" s="91"/>
    </row>
    <row r="95" spans="1:27" x14ac:dyDescent="0.3">
      <c r="A95" s="91"/>
      <c r="B95" s="91"/>
      <c r="C95" s="91"/>
      <c r="D95" s="91"/>
      <c r="E95" s="91"/>
      <c r="F95" s="91"/>
      <c r="G95" s="91"/>
      <c r="H95" s="91"/>
      <c r="I95" s="91"/>
      <c r="J95" s="91"/>
      <c r="K95" s="91"/>
      <c r="L95" s="91"/>
      <c r="M95" s="91"/>
      <c r="N95" s="91"/>
      <c r="O95" s="91"/>
      <c r="P95" s="91"/>
      <c r="Q95" s="91"/>
      <c r="R95" s="91"/>
      <c r="S95" s="91"/>
      <c r="T95" s="91"/>
      <c r="U95" s="91"/>
      <c r="V95" s="91"/>
      <c r="W95" s="91"/>
      <c r="X95" s="91"/>
      <c r="Y95" s="91"/>
      <c r="Z95" s="91"/>
      <c r="AA95" s="91"/>
    </row>
    <row r="96" spans="1:27" x14ac:dyDescent="0.3">
      <c r="A96" s="91"/>
      <c r="B96" s="91"/>
      <c r="C96" s="91"/>
      <c r="D96" s="91"/>
      <c r="E96" s="91"/>
      <c r="F96" s="91"/>
      <c r="G96" s="91"/>
      <c r="H96" s="91"/>
      <c r="I96" s="91"/>
      <c r="J96" s="91"/>
      <c r="K96" s="91"/>
      <c r="L96" s="91"/>
      <c r="M96" s="91"/>
      <c r="N96" s="91"/>
      <c r="O96" s="91"/>
      <c r="P96" s="91"/>
      <c r="Q96" s="91"/>
      <c r="R96" s="91"/>
      <c r="S96" s="91"/>
      <c r="T96" s="91"/>
      <c r="U96" s="91"/>
      <c r="V96" s="91"/>
      <c r="W96" s="91"/>
      <c r="X96" s="91"/>
      <c r="Y96" s="91"/>
      <c r="Z96" s="91"/>
      <c r="AA96" s="91"/>
    </row>
    <row r="97" spans="1:27" x14ac:dyDescent="0.3">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c r="AA97" s="91"/>
    </row>
    <row r="98" spans="1:27" x14ac:dyDescent="0.3">
      <c r="A98" s="91"/>
      <c r="B98" s="91"/>
      <c r="C98" s="91"/>
      <c r="D98" s="91"/>
      <c r="E98" s="91"/>
      <c r="F98" s="91"/>
      <c r="G98" s="91"/>
      <c r="H98" s="91"/>
      <c r="I98" s="91"/>
      <c r="J98" s="91"/>
      <c r="K98" s="91"/>
      <c r="L98" s="91"/>
      <c r="M98" s="91"/>
      <c r="N98" s="91"/>
      <c r="O98" s="91"/>
      <c r="P98" s="91"/>
      <c r="Q98" s="91"/>
      <c r="R98" s="91"/>
      <c r="S98" s="91"/>
      <c r="T98" s="91"/>
      <c r="U98" s="91"/>
      <c r="V98" s="91"/>
      <c r="W98" s="91"/>
      <c r="X98" s="91"/>
      <c r="Y98" s="91"/>
      <c r="Z98" s="91"/>
      <c r="AA98" s="91"/>
    </row>
    <row r="99" spans="1:27" x14ac:dyDescent="0.3">
      <c r="A99" s="91"/>
      <c r="B99" s="91"/>
      <c r="C99" s="91"/>
      <c r="D99" s="91"/>
      <c r="E99" s="91"/>
      <c r="F99" s="91"/>
      <c r="G99" s="91"/>
      <c r="H99" s="91"/>
      <c r="I99" s="91"/>
      <c r="J99" s="91"/>
      <c r="K99" s="91"/>
      <c r="L99" s="91"/>
      <c r="M99" s="91"/>
      <c r="N99" s="91"/>
      <c r="O99" s="91"/>
      <c r="P99" s="91"/>
      <c r="Q99" s="91"/>
      <c r="R99" s="91"/>
      <c r="S99" s="91"/>
      <c r="T99" s="91"/>
      <c r="U99" s="91"/>
      <c r="V99" s="91"/>
      <c r="W99" s="91"/>
      <c r="X99" s="91"/>
      <c r="Y99" s="91"/>
      <c r="Z99" s="91"/>
      <c r="AA99" s="91"/>
    </row>
    <row r="100" spans="1:27" x14ac:dyDescent="0.3">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c r="AA100" s="91"/>
    </row>
    <row r="101" spans="1:27" x14ac:dyDescent="0.3">
      <c r="A101" s="91"/>
      <c r="B101" s="91"/>
      <c r="C101" s="91"/>
      <c r="D101" s="91"/>
      <c r="E101" s="91"/>
      <c r="F101" s="91"/>
      <c r="G101" s="91"/>
      <c r="H101" s="91"/>
      <c r="I101" s="91"/>
      <c r="J101" s="91"/>
      <c r="K101" s="91"/>
      <c r="L101" s="91"/>
      <c r="M101" s="91"/>
      <c r="N101" s="91"/>
      <c r="O101" s="91"/>
      <c r="P101" s="91"/>
      <c r="Q101" s="91"/>
      <c r="R101" s="91"/>
      <c r="S101" s="91"/>
      <c r="T101" s="91"/>
      <c r="U101" s="91"/>
      <c r="V101" s="91"/>
      <c r="W101" s="91"/>
      <c r="X101" s="91"/>
      <c r="Y101" s="91"/>
      <c r="Z101" s="91"/>
      <c r="AA101" s="91"/>
    </row>
    <row r="102" spans="1:27" x14ac:dyDescent="0.3">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c r="AA102" s="91"/>
    </row>
    <row r="103" spans="1:27" x14ac:dyDescent="0.3">
      <c r="A103" s="91"/>
      <c r="B103" s="91"/>
      <c r="C103" s="91"/>
      <c r="D103" s="91"/>
      <c r="E103" s="91"/>
      <c r="F103" s="91"/>
      <c r="G103" s="91"/>
      <c r="H103" s="91"/>
      <c r="I103" s="91"/>
      <c r="J103" s="91"/>
      <c r="K103" s="91"/>
      <c r="L103" s="91"/>
      <c r="M103" s="91"/>
      <c r="N103" s="91"/>
      <c r="O103" s="91"/>
      <c r="P103" s="91"/>
      <c r="Q103" s="91"/>
      <c r="R103" s="91"/>
      <c r="S103" s="91"/>
      <c r="T103" s="91"/>
      <c r="U103" s="91"/>
      <c r="V103" s="91"/>
      <c r="W103" s="91"/>
      <c r="X103" s="91"/>
      <c r="Y103" s="91"/>
      <c r="Z103" s="91"/>
      <c r="AA103" s="91"/>
    </row>
    <row r="104" spans="1:27" x14ac:dyDescent="0.3">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c r="AA104" s="91"/>
    </row>
    <row r="105" spans="1:27" x14ac:dyDescent="0.3">
      <c r="A105" s="91"/>
      <c r="B105" s="91"/>
      <c r="C105" s="91"/>
      <c r="D105" s="91"/>
      <c r="E105" s="91"/>
      <c r="F105" s="91"/>
      <c r="G105" s="91"/>
      <c r="H105" s="91"/>
      <c r="I105" s="91"/>
      <c r="J105" s="91"/>
      <c r="K105" s="91"/>
      <c r="L105" s="91"/>
      <c r="M105" s="91"/>
      <c r="N105" s="91"/>
      <c r="O105" s="91"/>
      <c r="P105" s="91"/>
      <c r="Q105" s="91"/>
      <c r="R105" s="91"/>
      <c r="S105" s="91"/>
      <c r="T105" s="91"/>
      <c r="U105" s="91"/>
      <c r="V105" s="91"/>
      <c r="W105" s="91"/>
      <c r="X105" s="91"/>
      <c r="Y105" s="91"/>
      <c r="Z105" s="91"/>
      <c r="AA105" s="91"/>
    </row>
    <row r="106" spans="1:27" x14ac:dyDescent="0.3">
      <c r="A106" s="91"/>
      <c r="B106" s="91"/>
      <c r="C106" s="91"/>
      <c r="D106" s="91"/>
      <c r="E106" s="91"/>
      <c r="F106" s="91"/>
      <c r="G106" s="91"/>
      <c r="H106" s="91"/>
      <c r="I106" s="91"/>
      <c r="J106" s="91"/>
      <c r="K106" s="91"/>
      <c r="L106" s="91"/>
      <c r="M106" s="91"/>
      <c r="N106" s="91"/>
      <c r="O106" s="91"/>
      <c r="P106" s="91"/>
      <c r="Q106" s="91"/>
      <c r="R106" s="91"/>
      <c r="S106" s="91"/>
      <c r="T106" s="91"/>
      <c r="U106" s="91"/>
      <c r="V106" s="91"/>
      <c r="W106" s="91"/>
      <c r="X106" s="91"/>
      <c r="Y106" s="91"/>
      <c r="Z106" s="91"/>
      <c r="AA106" s="91"/>
    </row>
    <row r="107" spans="1:27" x14ac:dyDescent="0.3">
      <c r="A107" s="91"/>
      <c r="B107" s="91"/>
      <c r="C107" s="91"/>
      <c r="D107" s="91"/>
      <c r="E107" s="91"/>
      <c r="F107" s="91"/>
      <c r="G107" s="91"/>
      <c r="H107" s="91"/>
      <c r="I107" s="91"/>
      <c r="J107" s="91"/>
      <c r="K107" s="91"/>
      <c r="L107" s="91"/>
      <c r="M107" s="91"/>
      <c r="N107" s="91"/>
      <c r="O107" s="91"/>
      <c r="P107" s="91"/>
      <c r="Q107" s="91"/>
      <c r="R107" s="91"/>
      <c r="S107" s="91"/>
      <c r="T107" s="91"/>
      <c r="U107" s="91"/>
      <c r="V107" s="91"/>
      <c r="W107" s="91"/>
      <c r="X107" s="91"/>
      <c r="Y107" s="91"/>
      <c r="Z107" s="91"/>
      <c r="AA107" s="91"/>
    </row>
    <row r="108" spans="1:27" x14ac:dyDescent="0.3">
      <c r="A108" s="91"/>
      <c r="B108" s="91"/>
      <c r="C108" s="91"/>
      <c r="D108" s="91"/>
      <c r="E108" s="91"/>
      <c r="F108" s="91"/>
      <c r="G108" s="91"/>
      <c r="H108" s="91"/>
      <c r="I108" s="91"/>
      <c r="J108" s="91"/>
      <c r="K108" s="91"/>
      <c r="L108" s="91"/>
      <c r="M108" s="91"/>
      <c r="N108" s="91"/>
      <c r="O108" s="91"/>
      <c r="P108" s="91"/>
      <c r="Q108" s="91"/>
      <c r="R108" s="91"/>
      <c r="S108" s="91"/>
      <c r="T108" s="91"/>
      <c r="U108" s="91"/>
      <c r="V108" s="91"/>
      <c r="W108" s="91"/>
      <c r="X108" s="91"/>
      <c r="Y108" s="91"/>
      <c r="Z108" s="91"/>
      <c r="AA108" s="91"/>
    </row>
    <row r="109" spans="1:27" x14ac:dyDescent="0.3">
      <c r="A109" s="91"/>
      <c r="B109" s="91"/>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c r="AA109" s="91"/>
    </row>
    <row r="110" spans="1:27" x14ac:dyDescent="0.3">
      <c r="A110" s="91"/>
      <c r="B110" s="91"/>
      <c r="C110" s="91"/>
      <c r="D110" s="91"/>
      <c r="E110" s="91"/>
      <c r="F110" s="91"/>
      <c r="G110" s="91"/>
      <c r="H110" s="91"/>
      <c r="I110" s="91"/>
      <c r="J110" s="91"/>
      <c r="K110" s="91"/>
      <c r="L110" s="91"/>
      <c r="M110" s="91"/>
      <c r="N110" s="91"/>
      <c r="O110" s="91"/>
      <c r="P110" s="91"/>
      <c r="Q110" s="91"/>
      <c r="R110" s="91"/>
      <c r="S110" s="91"/>
      <c r="T110" s="91"/>
      <c r="U110" s="91"/>
      <c r="V110" s="91"/>
      <c r="W110" s="91"/>
      <c r="X110" s="91"/>
      <c r="Y110" s="91"/>
      <c r="Z110" s="91"/>
      <c r="AA110" s="91"/>
    </row>
    <row r="111" spans="1:27" x14ac:dyDescent="0.3">
      <c r="A111" s="91"/>
      <c r="B111" s="91"/>
      <c r="C111" s="91"/>
      <c r="D111" s="91"/>
      <c r="E111" s="91"/>
      <c r="F111" s="91"/>
      <c r="G111" s="91"/>
      <c r="H111" s="91"/>
      <c r="I111" s="91"/>
      <c r="J111" s="91"/>
      <c r="K111" s="91"/>
      <c r="L111" s="91"/>
      <c r="M111" s="91"/>
      <c r="N111" s="91"/>
      <c r="O111" s="91"/>
      <c r="P111" s="91"/>
      <c r="Q111" s="91"/>
      <c r="R111" s="91"/>
      <c r="S111" s="91"/>
      <c r="T111" s="91"/>
      <c r="U111" s="91"/>
      <c r="V111" s="91"/>
      <c r="W111" s="91"/>
      <c r="X111" s="91"/>
      <c r="Y111" s="91"/>
      <c r="Z111" s="91"/>
      <c r="AA111" s="91"/>
    </row>
    <row r="112" spans="1:27" x14ac:dyDescent="0.3">
      <c r="A112" s="9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row>
    <row r="113" spans="1:27" x14ac:dyDescent="0.3">
      <c r="A113" s="91"/>
      <c r="B113" s="91"/>
      <c r="C113" s="91"/>
      <c r="D113" s="91"/>
      <c r="E113" s="91"/>
      <c r="F113" s="91"/>
      <c r="G113" s="91"/>
      <c r="H113" s="91"/>
      <c r="I113" s="91"/>
      <c r="J113" s="91"/>
      <c r="K113" s="91"/>
      <c r="L113" s="91"/>
      <c r="M113" s="91"/>
      <c r="N113" s="91"/>
      <c r="O113" s="91"/>
      <c r="P113" s="91"/>
      <c r="Q113" s="91"/>
      <c r="R113" s="91"/>
      <c r="S113" s="91"/>
      <c r="T113" s="91"/>
      <c r="U113" s="91"/>
      <c r="V113" s="91"/>
      <c r="W113" s="91"/>
      <c r="X113" s="91"/>
      <c r="Y113" s="91"/>
      <c r="Z113" s="91"/>
      <c r="AA113" s="91"/>
    </row>
    <row r="114" spans="1:27" x14ac:dyDescent="0.3">
      <c r="A114" s="91"/>
      <c r="B114" s="91"/>
      <c r="C114" s="91"/>
      <c r="D114" s="91"/>
      <c r="E114" s="91"/>
      <c r="F114" s="91"/>
      <c r="G114" s="91"/>
      <c r="H114" s="91"/>
      <c r="I114" s="91"/>
      <c r="J114" s="91"/>
      <c r="K114" s="91"/>
      <c r="L114" s="91"/>
      <c r="M114" s="91"/>
      <c r="N114" s="91"/>
      <c r="O114" s="91"/>
      <c r="P114" s="91"/>
      <c r="Q114" s="91"/>
      <c r="R114" s="91"/>
      <c r="S114" s="91"/>
      <c r="T114" s="91"/>
      <c r="U114" s="91"/>
      <c r="V114" s="91"/>
      <c r="W114" s="91"/>
      <c r="X114" s="91"/>
      <c r="Y114" s="91"/>
      <c r="Z114" s="91"/>
      <c r="AA114" s="91"/>
    </row>
    <row r="115" spans="1:27" x14ac:dyDescent="0.3">
      <c r="A115" s="91"/>
      <c r="B115" s="91"/>
      <c r="C115" s="91"/>
      <c r="D115" s="91"/>
      <c r="E115" s="91"/>
      <c r="F115" s="91"/>
      <c r="G115" s="91"/>
      <c r="H115" s="91"/>
      <c r="I115" s="91"/>
      <c r="J115" s="91"/>
      <c r="K115" s="91"/>
      <c r="L115" s="91"/>
      <c r="M115" s="91"/>
      <c r="N115" s="91"/>
      <c r="O115" s="91"/>
      <c r="P115" s="91"/>
      <c r="Q115" s="91"/>
      <c r="R115" s="91"/>
      <c r="S115" s="91"/>
      <c r="T115" s="91"/>
      <c r="U115" s="91"/>
      <c r="V115" s="91"/>
      <c r="W115" s="91"/>
      <c r="X115" s="91"/>
      <c r="Y115" s="91"/>
      <c r="Z115" s="91"/>
      <c r="AA115" s="91"/>
    </row>
    <row r="116" spans="1:27" x14ac:dyDescent="0.3">
      <c r="A116" s="9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row>
    <row r="117" spans="1:27" x14ac:dyDescent="0.3">
      <c r="A117" s="91"/>
      <c r="B117" s="91"/>
      <c r="C117" s="91"/>
      <c r="D117" s="91"/>
      <c r="E117" s="91"/>
      <c r="F117" s="91"/>
      <c r="G117" s="91"/>
      <c r="H117" s="91"/>
      <c r="I117" s="91"/>
      <c r="J117" s="91"/>
      <c r="K117" s="91"/>
      <c r="L117" s="91"/>
      <c r="M117" s="91"/>
      <c r="N117" s="91"/>
      <c r="O117" s="91"/>
      <c r="P117" s="91"/>
      <c r="Q117" s="91"/>
      <c r="R117" s="91"/>
      <c r="S117" s="91"/>
      <c r="T117" s="91"/>
      <c r="U117" s="91"/>
      <c r="V117" s="91"/>
      <c r="W117" s="91"/>
      <c r="X117" s="91"/>
      <c r="Y117" s="91"/>
      <c r="Z117" s="91"/>
      <c r="AA117" s="91"/>
    </row>
    <row r="118" spans="1:27" x14ac:dyDescent="0.3">
      <c r="A118" s="91"/>
      <c r="B118" s="91"/>
      <c r="C118" s="91"/>
      <c r="D118" s="91"/>
      <c r="E118" s="91"/>
      <c r="F118" s="91"/>
      <c r="G118" s="91"/>
      <c r="H118" s="91"/>
      <c r="I118" s="91"/>
      <c r="J118" s="91"/>
      <c r="K118" s="91"/>
      <c r="L118" s="91"/>
      <c r="M118" s="91"/>
      <c r="N118" s="91"/>
      <c r="O118" s="91"/>
      <c r="P118" s="91"/>
      <c r="Q118" s="91"/>
      <c r="R118" s="91"/>
      <c r="S118" s="91"/>
      <c r="T118" s="91"/>
      <c r="U118" s="91"/>
      <c r="V118" s="91"/>
      <c r="W118" s="91"/>
      <c r="X118" s="91"/>
      <c r="Y118" s="91"/>
      <c r="Z118" s="91"/>
      <c r="AA118" s="91"/>
    </row>
    <row r="119" spans="1:27" x14ac:dyDescent="0.3">
      <c r="A119" s="91"/>
      <c r="B119" s="91"/>
      <c r="C119" s="91"/>
      <c r="D119" s="91"/>
      <c r="E119" s="91"/>
      <c r="F119" s="91"/>
      <c r="G119" s="91"/>
      <c r="H119" s="91"/>
      <c r="I119" s="91"/>
      <c r="J119" s="91"/>
      <c r="K119" s="91"/>
      <c r="L119" s="91"/>
      <c r="M119" s="91"/>
      <c r="N119" s="91"/>
      <c r="O119" s="91"/>
      <c r="P119" s="91"/>
      <c r="Q119" s="91"/>
      <c r="R119" s="91"/>
      <c r="S119" s="91"/>
      <c r="T119" s="91"/>
      <c r="U119" s="91"/>
      <c r="V119" s="91"/>
      <c r="W119" s="91"/>
      <c r="X119" s="91"/>
      <c r="Y119" s="91"/>
      <c r="Z119" s="91"/>
      <c r="AA119" s="91"/>
    </row>
    <row r="120" spans="1:27" x14ac:dyDescent="0.3">
      <c r="A120" s="91"/>
      <c r="B120" s="91"/>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c r="AA120" s="91"/>
    </row>
    <row r="121" spans="1:27" x14ac:dyDescent="0.3">
      <c r="A121" s="91"/>
      <c r="B121" s="91"/>
      <c r="C121" s="91"/>
      <c r="D121" s="91"/>
      <c r="E121" s="91"/>
      <c r="F121" s="91"/>
      <c r="G121" s="91"/>
      <c r="H121" s="91"/>
      <c r="I121" s="91"/>
      <c r="J121" s="91"/>
      <c r="K121" s="91"/>
      <c r="L121" s="91"/>
      <c r="M121" s="91"/>
      <c r="N121" s="91"/>
      <c r="O121" s="91"/>
      <c r="P121" s="91"/>
      <c r="Q121" s="91"/>
      <c r="R121" s="91"/>
      <c r="S121" s="91"/>
      <c r="T121" s="91"/>
      <c r="U121" s="91"/>
      <c r="V121" s="91"/>
      <c r="W121" s="91"/>
      <c r="X121" s="91"/>
      <c r="Y121" s="91"/>
      <c r="Z121" s="91"/>
      <c r="AA121" s="91"/>
    </row>
    <row r="122" spans="1:27" x14ac:dyDescent="0.3">
      <c r="A122" s="91"/>
      <c r="B122" s="91"/>
      <c r="C122" s="91"/>
      <c r="D122" s="91"/>
      <c r="E122" s="91"/>
      <c r="F122" s="91"/>
      <c r="G122" s="91"/>
      <c r="H122" s="91"/>
      <c r="I122" s="91"/>
      <c r="J122" s="91"/>
      <c r="K122" s="91"/>
      <c r="L122" s="91"/>
      <c r="M122" s="91"/>
      <c r="N122" s="91"/>
      <c r="O122" s="91"/>
      <c r="P122" s="91"/>
      <c r="Q122" s="91"/>
      <c r="R122" s="91"/>
      <c r="S122" s="91"/>
      <c r="T122" s="91"/>
      <c r="U122" s="91"/>
      <c r="V122" s="91"/>
      <c r="W122" s="91"/>
      <c r="X122" s="91"/>
      <c r="Y122" s="91"/>
      <c r="Z122" s="91"/>
      <c r="AA122" s="91"/>
    </row>
    <row r="123" spans="1:27" x14ac:dyDescent="0.3">
      <c r="A123" s="91"/>
      <c r="B123" s="91"/>
      <c r="C123" s="91"/>
      <c r="D123" s="91"/>
      <c r="E123" s="91"/>
      <c r="F123" s="91"/>
      <c r="G123" s="91"/>
      <c r="H123" s="91"/>
      <c r="I123" s="91"/>
      <c r="J123" s="91"/>
      <c r="K123" s="91"/>
      <c r="L123" s="91"/>
      <c r="M123" s="91"/>
      <c r="N123" s="91"/>
      <c r="O123" s="91"/>
      <c r="P123" s="91"/>
      <c r="Q123" s="91"/>
      <c r="R123" s="91"/>
      <c r="S123" s="91"/>
      <c r="T123" s="91"/>
      <c r="U123" s="91"/>
      <c r="V123" s="91"/>
      <c r="W123" s="91"/>
      <c r="X123" s="91"/>
      <c r="Y123" s="91"/>
      <c r="Z123" s="91"/>
      <c r="AA123" s="91"/>
    </row>
    <row r="124" spans="1:27" x14ac:dyDescent="0.3">
      <c r="A124" s="91"/>
      <c r="B124" s="91"/>
      <c r="C124" s="91"/>
      <c r="D124" s="91"/>
      <c r="E124" s="91"/>
      <c r="F124" s="91"/>
      <c r="G124" s="91"/>
      <c r="H124" s="91"/>
      <c r="I124" s="91"/>
      <c r="J124" s="91"/>
      <c r="K124" s="91"/>
      <c r="L124" s="91"/>
      <c r="M124" s="91"/>
      <c r="N124" s="91"/>
      <c r="O124" s="91"/>
      <c r="P124" s="91"/>
      <c r="Q124" s="91"/>
      <c r="R124" s="91"/>
      <c r="S124" s="91"/>
      <c r="T124" s="91"/>
      <c r="U124" s="91"/>
      <c r="V124" s="91"/>
      <c r="W124" s="91"/>
      <c r="X124" s="91"/>
      <c r="Y124" s="91"/>
      <c r="Z124" s="91"/>
      <c r="AA124" s="91"/>
    </row>
    <row r="125" spans="1:27" x14ac:dyDescent="0.3">
      <c r="A125" s="91"/>
      <c r="B125" s="91"/>
      <c r="C125" s="91"/>
      <c r="D125" s="91"/>
      <c r="E125" s="91"/>
      <c r="F125" s="91"/>
      <c r="G125" s="91"/>
      <c r="H125" s="91"/>
      <c r="I125" s="91"/>
      <c r="J125" s="91"/>
      <c r="K125" s="91"/>
      <c r="L125" s="91"/>
      <c r="M125" s="91"/>
      <c r="N125" s="91"/>
      <c r="O125" s="91"/>
      <c r="P125" s="91"/>
      <c r="Q125" s="91"/>
      <c r="R125" s="91"/>
      <c r="S125" s="91"/>
      <c r="T125" s="91"/>
      <c r="U125" s="91"/>
      <c r="V125" s="91"/>
      <c r="W125" s="91"/>
      <c r="X125" s="91"/>
      <c r="Y125" s="91"/>
      <c r="Z125" s="91"/>
      <c r="AA125" s="91"/>
    </row>
    <row r="126" spans="1:27" x14ac:dyDescent="0.3">
      <c r="A126" s="91"/>
      <c r="B126" s="91"/>
      <c r="C126" s="91"/>
      <c r="D126" s="91"/>
      <c r="E126" s="91"/>
      <c r="F126" s="91"/>
      <c r="G126" s="91"/>
      <c r="H126" s="91"/>
      <c r="I126" s="91"/>
      <c r="J126" s="91"/>
      <c r="K126" s="91"/>
      <c r="L126" s="91"/>
      <c r="M126" s="91"/>
      <c r="N126" s="91"/>
      <c r="O126" s="91"/>
      <c r="P126" s="91"/>
      <c r="Q126" s="91"/>
      <c r="R126" s="91"/>
      <c r="S126" s="91"/>
      <c r="T126" s="91"/>
      <c r="U126" s="91"/>
      <c r="V126" s="91"/>
      <c r="W126" s="91"/>
      <c r="X126" s="91"/>
      <c r="Y126" s="91"/>
      <c r="Z126" s="91"/>
      <c r="AA126" s="91"/>
    </row>
    <row r="127" spans="1:27" x14ac:dyDescent="0.3">
      <c r="A127" s="91"/>
      <c r="B127" s="91"/>
      <c r="C127" s="91"/>
      <c r="D127" s="91"/>
      <c r="E127" s="91"/>
      <c r="F127" s="91"/>
      <c r="G127" s="91"/>
      <c r="H127" s="91"/>
      <c r="I127" s="91"/>
      <c r="J127" s="91"/>
      <c r="K127" s="91"/>
      <c r="L127" s="91"/>
      <c r="M127" s="91"/>
      <c r="N127" s="91"/>
      <c r="O127" s="91"/>
      <c r="P127" s="91"/>
      <c r="Q127" s="91"/>
      <c r="R127" s="91"/>
      <c r="S127" s="91"/>
      <c r="T127" s="91"/>
      <c r="U127" s="91"/>
      <c r="V127" s="91"/>
      <c r="W127" s="91"/>
      <c r="X127" s="91"/>
      <c r="Y127" s="91"/>
      <c r="Z127" s="91"/>
      <c r="AA127" s="91"/>
    </row>
    <row r="128" spans="1:27" x14ac:dyDescent="0.3">
      <c r="A128" s="91"/>
      <c r="B128" s="91"/>
      <c r="C128" s="91"/>
      <c r="D128" s="91"/>
      <c r="E128" s="91"/>
      <c r="F128" s="91"/>
      <c r="G128" s="91"/>
      <c r="H128" s="91"/>
      <c r="I128" s="91"/>
      <c r="J128" s="91"/>
      <c r="K128" s="91"/>
      <c r="L128" s="91"/>
      <c r="M128" s="91"/>
      <c r="N128" s="91"/>
      <c r="O128" s="91"/>
      <c r="P128" s="91"/>
      <c r="Q128" s="91"/>
      <c r="R128" s="91"/>
      <c r="S128" s="91"/>
      <c r="T128" s="91"/>
      <c r="U128" s="91"/>
      <c r="V128" s="91"/>
      <c r="W128" s="91"/>
      <c r="X128" s="91"/>
      <c r="Y128" s="91"/>
      <c r="Z128" s="91"/>
      <c r="AA128" s="91"/>
    </row>
    <row r="129" spans="1:27" x14ac:dyDescent="0.3">
      <c r="A129" s="91"/>
      <c r="B129" s="91"/>
      <c r="C129" s="91"/>
      <c r="D129" s="91"/>
      <c r="E129" s="91"/>
      <c r="F129" s="91"/>
      <c r="G129" s="91"/>
      <c r="H129" s="91"/>
      <c r="I129" s="91"/>
      <c r="J129" s="91"/>
      <c r="K129" s="91"/>
      <c r="L129" s="91"/>
      <c r="M129" s="91"/>
      <c r="N129" s="91"/>
      <c r="O129" s="91"/>
      <c r="P129" s="91"/>
      <c r="Q129" s="91"/>
      <c r="R129" s="91"/>
      <c r="S129" s="91"/>
      <c r="T129" s="91"/>
      <c r="U129" s="91"/>
      <c r="V129" s="91"/>
      <c r="W129" s="91"/>
      <c r="X129" s="91"/>
      <c r="Y129" s="91"/>
      <c r="Z129" s="91"/>
      <c r="AA129" s="91"/>
    </row>
    <row r="130" spans="1:27" x14ac:dyDescent="0.3">
      <c r="A130" s="91"/>
      <c r="B130" s="91"/>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c r="AA130" s="91"/>
    </row>
    <row r="131" spans="1:27" x14ac:dyDescent="0.3">
      <c r="A131" s="91"/>
      <c r="B131" s="91"/>
      <c r="C131" s="91"/>
      <c r="D131" s="91"/>
      <c r="E131" s="91"/>
      <c r="F131" s="91"/>
      <c r="G131" s="91"/>
      <c r="H131" s="91"/>
      <c r="I131" s="91"/>
      <c r="J131" s="91"/>
      <c r="K131" s="91"/>
      <c r="L131" s="91"/>
      <c r="M131" s="91"/>
      <c r="N131" s="91"/>
      <c r="O131" s="91"/>
      <c r="P131" s="91"/>
      <c r="Q131" s="91"/>
      <c r="R131" s="91"/>
      <c r="S131" s="91"/>
      <c r="T131" s="91"/>
      <c r="U131" s="91"/>
      <c r="V131" s="91"/>
      <c r="W131" s="91"/>
      <c r="X131" s="91"/>
      <c r="Y131" s="91"/>
      <c r="Z131" s="91"/>
      <c r="AA131" s="91"/>
    </row>
    <row r="132" spans="1:27" x14ac:dyDescent="0.3">
      <c r="A132" s="91"/>
      <c r="B132" s="91"/>
      <c r="C132" s="91"/>
      <c r="D132" s="91"/>
      <c r="E132" s="91"/>
      <c r="F132" s="91"/>
      <c r="G132" s="91"/>
      <c r="H132" s="91"/>
      <c r="I132" s="91"/>
      <c r="J132" s="91"/>
      <c r="K132" s="91"/>
      <c r="L132" s="91"/>
      <c r="M132" s="91"/>
      <c r="N132" s="91"/>
      <c r="O132" s="91"/>
      <c r="P132" s="91"/>
      <c r="Q132" s="91"/>
      <c r="R132" s="91"/>
      <c r="S132" s="91"/>
      <c r="T132" s="91"/>
      <c r="U132" s="91"/>
      <c r="V132" s="91"/>
      <c r="W132" s="91"/>
      <c r="X132" s="91"/>
      <c r="Y132" s="91"/>
      <c r="Z132" s="91"/>
      <c r="AA132" s="91"/>
    </row>
    <row r="133" spans="1:27" x14ac:dyDescent="0.3">
      <c r="A133" s="91"/>
      <c r="B133" s="91"/>
      <c r="C133" s="91"/>
      <c r="D133" s="91"/>
      <c r="E133" s="91"/>
      <c r="F133" s="91"/>
      <c r="G133" s="91"/>
      <c r="H133" s="91"/>
      <c r="I133" s="91"/>
      <c r="J133" s="91"/>
      <c r="K133" s="91"/>
      <c r="L133" s="91"/>
      <c r="M133" s="91"/>
      <c r="N133" s="91"/>
      <c r="O133" s="91"/>
      <c r="P133" s="91"/>
      <c r="Q133" s="91"/>
      <c r="R133" s="91"/>
      <c r="S133" s="91"/>
      <c r="T133" s="91"/>
      <c r="U133" s="91"/>
      <c r="V133" s="91"/>
      <c r="W133" s="91"/>
      <c r="X133" s="91"/>
      <c r="Y133" s="91"/>
      <c r="Z133" s="91"/>
      <c r="AA133" s="91"/>
    </row>
    <row r="134" spans="1:27" x14ac:dyDescent="0.3">
      <c r="A134" s="91"/>
      <c r="B134" s="91"/>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c r="AA134" s="91"/>
    </row>
    <row r="135" spans="1:27" x14ac:dyDescent="0.3">
      <c r="A135" s="91"/>
      <c r="B135" s="91"/>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c r="AA135" s="91"/>
    </row>
    <row r="136" spans="1:27" x14ac:dyDescent="0.3">
      <c r="A136" s="91"/>
      <c r="B136" s="91"/>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c r="AA136" s="91"/>
    </row>
    <row r="137" spans="1:27" x14ac:dyDescent="0.3">
      <c r="A137" s="91"/>
      <c r="B137" s="91"/>
      <c r="C137" s="91"/>
      <c r="D137" s="91"/>
      <c r="E137" s="91"/>
      <c r="F137" s="91"/>
      <c r="G137" s="91"/>
      <c r="H137" s="91"/>
      <c r="I137" s="91"/>
      <c r="J137" s="91"/>
      <c r="K137" s="91"/>
      <c r="L137" s="91"/>
      <c r="M137" s="91"/>
      <c r="N137" s="91"/>
      <c r="O137" s="91"/>
      <c r="P137" s="91"/>
      <c r="Q137" s="91"/>
      <c r="R137" s="91"/>
      <c r="S137" s="91"/>
      <c r="T137" s="91"/>
      <c r="U137" s="91"/>
      <c r="V137" s="91"/>
      <c r="W137" s="91"/>
      <c r="X137" s="91"/>
      <c r="Y137" s="91"/>
      <c r="Z137" s="91"/>
      <c r="AA137" s="91"/>
    </row>
    <row r="138" spans="1:27" x14ac:dyDescent="0.3">
      <c r="A138" s="91"/>
      <c r="B138" s="91"/>
      <c r="C138" s="91"/>
      <c r="D138" s="91"/>
      <c r="E138" s="91"/>
      <c r="F138" s="91"/>
      <c r="G138" s="91"/>
      <c r="H138" s="91"/>
      <c r="I138" s="91"/>
      <c r="J138" s="91"/>
      <c r="K138" s="91"/>
      <c r="L138" s="91"/>
      <c r="M138" s="91"/>
      <c r="N138" s="91"/>
      <c r="O138" s="91"/>
      <c r="P138" s="91"/>
      <c r="Q138" s="91"/>
      <c r="R138" s="91"/>
      <c r="S138" s="91"/>
      <c r="T138" s="91"/>
      <c r="U138" s="91"/>
      <c r="V138" s="91"/>
      <c r="W138" s="91"/>
      <c r="X138" s="91"/>
      <c r="Y138" s="91"/>
      <c r="Z138" s="91"/>
      <c r="AA138" s="91"/>
    </row>
    <row r="139" spans="1:27" x14ac:dyDescent="0.3">
      <c r="A139" s="91"/>
      <c r="B139" s="91"/>
      <c r="C139" s="91"/>
      <c r="D139" s="91"/>
      <c r="E139" s="91"/>
      <c r="F139" s="91"/>
      <c r="G139" s="91"/>
      <c r="H139" s="91"/>
      <c r="I139" s="91"/>
      <c r="J139" s="91"/>
      <c r="K139" s="91"/>
      <c r="L139" s="91"/>
      <c r="M139" s="91"/>
      <c r="N139" s="91"/>
      <c r="O139" s="91"/>
      <c r="P139" s="91"/>
      <c r="Q139" s="91"/>
      <c r="R139" s="91"/>
      <c r="S139" s="91"/>
      <c r="T139" s="91"/>
      <c r="U139" s="91"/>
      <c r="V139" s="91"/>
      <c r="W139" s="91"/>
      <c r="X139" s="91"/>
      <c r="Y139" s="91"/>
      <c r="Z139" s="91"/>
      <c r="AA139" s="91"/>
    </row>
    <row r="140" spans="1:27" x14ac:dyDescent="0.3">
      <c r="A140" s="91"/>
      <c r="B140" s="91"/>
      <c r="C140" s="91"/>
      <c r="D140" s="91"/>
      <c r="E140" s="91"/>
      <c r="F140" s="91"/>
      <c r="G140" s="91"/>
      <c r="H140" s="91"/>
      <c r="I140" s="91"/>
      <c r="J140" s="91"/>
      <c r="K140" s="91"/>
      <c r="L140" s="91"/>
      <c r="M140" s="91"/>
      <c r="N140" s="91"/>
      <c r="O140" s="91"/>
      <c r="P140" s="91"/>
      <c r="Q140" s="91"/>
      <c r="R140" s="91"/>
      <c r="S140" s="91"/>
      <c r="T140" s="91"/>
      <c r="U140" s="91"/>
      <c r="V140" s="91"/>
      <c r="W140" s="91"/>
      <c r="X140" s="91"/>
      <c r="Y140" s="91"/>
      <c r="Z140" s="91"/>
      <c r="AA140" s="91"/>
    </row>
    <row r="141" spans="1:27" x14ac:dyDescent="0.3">
      <c r="A141" s="91"/>
      <c r="B141" s="91"/>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c r="AA141" s="91"/>
    </row>
  </sheetData>
  <mergeCells count="44">
    <mergeCell ref="A20:G20"/>
    <mergeCell ref="A21:J21"/>
    <mergeCell ref="AA9:AA10"/>
    <mergeCell ref="D11:F11"/>
    <mergeCell ref="G11:P11"/>
    <mergeCell ref="R11:AB11"/>
    <mergeCell ref="G9:G10"/>
    <mergeCell ref="H9:H10"/>
    <mergeCell ref="I9:I10"/>
    <mergeCell ref="J9:J10"/>
    <mergeCell ref="K9:K10"/>
    <mergeCell ref="O9:O10"/>
    <mergeCell ref="P9:P10"/>
    <mergeCell ref="AF7:AF10"/>
    <mergeCell ref="AG7:AG10"/>
    <mergeCell ref="S9:S10"/>
    <mergeCell ref="T9:T10"/>
    <mergeCell ref="U9:U10"/>
    <mergeCell ref="V9:V10"/>
    <mergeCell ref="W9:W10"/>
    <mergeCell ref="Z9:Z10"/>
    <mergeCell ref="U8:W8"/>
    <mergeCell ref="X8:X10"/>
    <mergeCell ref="Y8:Y10"/>
    <mergeCell ref="Z8:AA8"/>
    <mergeCell ref="AB8:AB10"/>
    <mergeCell ref="R8:T8"/>
    <mergeCell ref="R9:R10"/>
    <mergeCell ref="B7:F7"/>
    <mergeCell ref="G7:P7"/>
    <mergeCell ref="R7:AB7"/>
    <mergeCell ref="AE7:AE10"/>
    <mergeCell ref="A8:A11"/>
    <mergeCell ref="B8:B11"/>
    <mergeCell ref="C8:C11"/>
    <mergeCell ref="D8:D10"/>
    <mergeCell ref="E8:E10"/>
    <mergeCell ref="F8:F10"/>
    <mergeCell ref="G8:I8"/>
    <mergeCell ref="J8:L8"/>
    <mergeCell ref="M8:M10"/>
    <mergeCell ref="N8:N10"/>
    <mergeCell ref="O8:P8"/>
    <mergeCell ref="L9:L10"/>
  </mergeCell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C75CC-46A3-48CD-A2F4-64F52CE345A4}">
  <sheetPr>
    <tabColor rgb="FF92D050"/>
  </sheetPr>
  <dimension ref="A1:AR150"/>
  <sheetViews>
    <sheetView topLeftCell="Y1" zoomScaleNormal="100" workbookViewId="0">
      <selection activeCell="AH16" sqref="AH16"/>
    </sheetView>
  </sheetViews>
  <sheetFormatPr defaultRowHeight="14.4" x14ac:dyDescent="0.3"/>
  <cols>
    <col min="1" max="1" width="20.44140625" customWidth="1"/>
    <col min="2" max="2" width="10.5546875" customWidth="1"/>
    <col min="32" max="32" width="12" bestFit="1" customWidth="1"/>
    <col min="33" max="33" width="12" customWidth="1"/>
    <col min="41" max="41" width="9.44140625" bestFit="1" customWidth="1"/>
    <col min="42" max="42" width="10.44140625" bestFit="1" customWidth="1"/>
    <col min="43" max="44" width="9" bestFit="1" customWidth="1"/>
  </cols>
  <sheetData>
    <row r="1" spans="1:44" ht="18" x14ac:dyDescent="0.35">
      <c r="A1" s="51" t="s">
        <v>387</v>
      </c>
    </row>
    <row r="2" spans="1:44" x14ac:dyDescent="0.3">
      <c r="A2" t="s">
        <v>1082</v>
      </c>
    </row>
    <row r="3" spans="1:44" x14ac:dyDescent="0.3">
      <c r="A3" t="s">
        <v>341</v>
      </c>
    </row>
    <row r="4" spans="1:44" x14ac:dyDescent="0.3">
      <c r="A4" t="s">
        <v>1081</v>
      </c>
    </row>
    <row r="5" spans="1:44" x14ac:dyDescent="0.3">
      <c r="A5" s="651" t="s">
        <v>2076</v>
      </c>
    </row>
    <row r="6" spans="1:44" x14ac:dyDescent="0.3">
      <c r="A6" t="s">
        <v>388</v>
      </c>
    </row>
    <row r="7" spans="1:44" ht="24.6" x14ac:dyDescent="0.3">
      <c r="A7" s="690" t="s">
        <v>362</v>
      </c>
      <c r="B7" s="1213" t="s">
        <v>345</v>
      </c>
      <c r="C7" s="1213"/>
      <c r="D7" s="1213"/>
      <c r="E7" s="1213"/>
      <c r="F7" s="1213"/>
      <c r="G7" s="1214" t="s">
        <v>346</v>
      </c>
      <c r="H7" s="1214"/>
      <c r="I7" s="1214"/>
      <c r="J7" s="1214"/>
      <c r="K7" s="1214"/>
      <c r="L7" s="1214"/>
      <c r="M7" s="1214"/>
      <c r="N7" s="1214"/>
      <c r="O7" s="1214"/>
      <c r="P7" s="1214"/>
      <c r="Q7" s="689"/>
      <c r="R7" s="1215" t="s">
        <v>347</v>
      </c>
      <c r="S7" s="1215"/>
      <c r="T7" s="1215"/>
      <c r="U7" s="1215"/>
      <c r="V7" s="1215"/>
      <c r="W7" s="1215"/>
      <c r="X7" s="1215"/>
      <c r="Y7" s="1215"/>
      <c r="Z7" s="1215"/>
      <c r="AA7" s="1215"/>
      <c r="AB7" s="1215"/>
      <c r="AC7" s="690"/>
      <c r="AD7" s="690"/>
      <c r="AE7" s="1216" t="s">
        <v>363</v>
      </c>
      <c r="AF7" s="1215" t="s">
        <v>385</v>
      </c>
      <c r="AG7" s="1215" t="s">
        <v>385</v>
      </c>
      <c r="AH7" s="1221" t="s">
        <v>2068</v>
      </c>
      <c r="AM7" s="764"/>
      <c r="AN7" s="768"/>
      <c r="AO7" s="768"/>
      <c r="AP7" s="769"/>
      <c r="AR7" s="771"/>
    </row>
    <row r="8" spans="1:44" ht="48.75" customHeight="1" x14ac:dyDescent="0.3">
      <c r="A8" s="1215" t="s">
        <v>348</v>
      </c>
      <c r="B8" s="1215" t="s">
        <v>349</v>
      </c>
      <c r="C8" s="1215" t="s">
        <v>364</v>
      </c>
      <c r="D8" s="1215" t="s">
        <v>350</v>
      </c>
      <c r="E8" s="1215" t="s">
        <v>351</v>
      </c>
      <c r="F8" s="1215" t="s">
        <v>352</v>
      </c>
      <c r="G8" s="1215" t="s">
        <v>365</v>
      </c>
      <c r="H8" s="1215"/>
      <c r="I8" s="1215"/>
      <c r="J8" s="1215" t="s">
        <v>366</v>
      </c>
      <c r="K8" s="1215"/>
      <c r="L8" s="1215"/>
      <c r="M8" s="1215" t="s">
        <v>367</v>
      </c>
      <c r="N8" s="1215" t="s">
        <v>368</v>
      </c>
      <c r="O8" s="1215" t="s">
        <v>369</v>
      </c>
      <c r="P8" s="1215"/>
      <c r="Q8" s="690" t="s">
        <v>154</v>
      </c>
      <c r="R8" s="1215" t="s">
        <v>370</v>
      </c>
      <c r="S8" s="1215"/>
      <c r="T8" s="1215"/>
      <c r="U8" s="1215" t="s">
        <v>371</v>
      </c>
      <c r="V8" s="1215"/>
      <c r="W8" s="1215"/>
      <c r="X8" s="1215" t="s">
        <v>372</v>
      </c>
      <c r="Y8" s="1215" t="s">
        <v>373</v>
      </c>
      <c r="Z8" s="1215" t="s">
        <v>374</v>
      </c>
      <c r="AA8" s="1215"/>
      <c r="AB8" s="1215" t="s">
        <v>375</v>
      </c>
      <c r="AC8" s="690" t="s">
        <v>382</v>
      </c>
      <c r="AD8" s="690" t="s">
        <v>383</v>
      </c>
      <c r="AE8" s="1216"/>
      <c r="AF8" s="1215"/>
      <c r="AG8" s="1215"/>
      <c r="AH8" s="1221"/>
      <c r="AM8" s="1222"/>
      <c r="AN8" s="1222"/>
      <c r="AO8" s="770"/>
      <c r="AP8" s="769"/>
      <c r="AQ8" s="770"/>
      <c r="AR8" s="771"/>
    </row>
    <row r="9" spans="1:44" x14ac:dyDescent="0.3">
      <c r="A9" s="1215"/>
      <c r="B9" s="1215"/>
      <c r="C9" s="1215"/>
      <c r="D9" s="1215"/>
      <c r="E9" s="1215"/>
      <c r="F9" s="1215"/>
      <c r="G9" s="1215" t="s">
        <v>353</v>
      </c>
      <c r="H9" s="1215" t="s">
        <v>354</v>
      </c>
      <c r="I9" s="1215" t="s">
        <v>355</v>
      </c>
      <c r="J9" s="1215" t="s">
        <v>353</v>
      </c>
      <c r="K9" s="1215" t="s">
        <v>354</v>
      </c>
      <c r="L9" s="1215" t="s">
        <v>355</v>
      </c>
      <c r="M9" s="1215"/>
      <c r="N9" s="1215"/>
      <c r="O9" s="1217" t="s">
        <v>356</v>
      </c>
      <c r="P9" s="1217" t="s">
        <v>376</v>
      </c>
      <c r="Q9" s="692" t="s">
        <v>353</v>
      </c>
      <c r="R9" s="1215" t="s">
        <v>353</v>
      </c>
      <c r="S9" s="1215" t="s">
        <v>354</v>
      </c>
      <c r="T9" s="1215" t="s">
        <v>355</v>
      </c>
      <c r="U9" s="1215" t="s">
        <v>353</v>
      </c>
      <c r="V9" s="1215" t="s">
        <v>354</v>
      </c>
      <c r="W9" s="1215" t="s">
        <v>355</v>
      </c>
      <c r="X9" s="1215"/>
      <c r="Y9" s="1215"/>
      <c r="Z9" s="1217" t="s">
        <v>356</v>
      </c>
      <c r="AA9" s="1217" t="s">
        <v>377</v>
      </c>
      <c r="AB9" s="1215"/>
      <c r="AC9" s="690" t="s">
        <v>353</v>
      </c>
      <c r="AD9" s="690" t="s">
        <v>353</v>
      </c>
      <c r="AE9" s="1216"/>
      <c r="AF9" s="1215"/>
      <c r="AG9" s="1215"/>
      <c r="AH9" s="1221"/>
      <c r="AM9" s="1222"/>
      <c r="AN9" s="1222"/>
      <c r="AO9" s="772"/>
      <c r="AP9" s="773"/>
      <c r="AQ9" s="772"/>
      <c r="AR9" s="771"/>
    </row>
    <row r="10" spans="1:44" ht="72" x14ac:dyDescent="0.3">
      <c r="A10" s="1215"/>
      <c r="B10" s="1215"/>
      <c r="C10" s="1215"/>
      <c r="D10" s="1215"/>
      <c r="E10" s="1215"/>
      <c r="F10" s="1215"/>
      <c r="G10" s="1215"/>
      <c r="H10" s="1215"/>
      <c r="I10" s="1215"/>
      <c r="J10" s="1215"/>
      <c r="K10" s="1215"/>
      <c r="L10" s="1215"/>
      <c r="M10" s="1215"/>
      <c r="N10" s="1215"/>
      <c r="O10" s="1217"/>
      <c r="P10" s="1217"/>
      <c r="Q10" s="692"/>
      <c r="R10" s="1215"/>
      <c r="S10" s="1215"/>
      <c r="T10" s="1215"/>
      <c r="U10" s="1215"/>
      <c r="V10" s="1215"/>
      <c r="W10" s="1215"/>
      <c r="X10" s="1215"/>
      <c r="Y10" s="1215"/>
      <c r="Z10" s="1217"/>
      <c r="AA10" s="1217"/>
      <c r="AB10" s="1215"/>
      <c r="AC10" s="690"/>
      <c r="AD10" s="690"/>
      <c r="AE10" s="1216"/>
      <c r="AF10" s="1215"/>
      <c r="AG10" s="1215"/>
      <c r="AH10" s="1221"/>
      <c r="AM10" s="1222"/>
      <c r="AN10" s="1222"/>
      <c r="AO10" s="764" t="s">
        <v>350</v>
      </c>
      <c r="AP10" s="764" t="s">
        <v>2077</v>
      </c>
      <c r="AQ10" s="764" t="s">
        <v>385</v>
      </c>
      <c r="AR10" s="384" t="s">
        <v>2113</v>
      </c>
    </row>
    <row r="11" spans="1:44" x14ac:dyDescent="0.3">
      <c r="A11" s="1215"/>
      <c r="B11" s="1215"/>
      <c r="C11" s="1215"/>
      <c r="D11" s="1219" t="s">
        <v>357</v>
      </c>
      <c r="E11" s="1219"/>
      <c r="F11" s="1219"/>
      <c r="G11" s="1220" t="s">
        <v>358</v>
      </c>
      <c r="H11" s="1220"/>
      <c r="I11" s="1220"/>
      <c r="J11" s="1220"/>
      <c r="K11" s="1220"/>
      <c r="L11" s="1220"/>
      <c r="M11" s="1220"/>
      <c r="N11" s="1220"/>
      <c r="O11" s="1220"/>
      <c r="P11" s="1220"/>
      <c r="Q11" s="693" t="s">
        <v>381</v>
      </c>
      <c r="R11" s="1215" t="s">
        <v>359</v>
      </c>
      <c r="S11" s="1215"/>
      <c r="T11" s="1215"/>
      <c r="U11" s="1215"/>
      <c r="V11" s="1215"/>
      <c r="W11" s="1215"/>
      <c r="X11" s="1215"/>
      <c r="Y11" s="1215"/>
      <c r="Z11" s="1215"/>
      <c r="AA11" s="1215"/>
      <c r="AB11" s="1215"/>
      <c r="AC11" s="690" t="s">
        <v>380</v>
      </c>
      <c r="AD11" s="690" t="s">
        <v>380</v>
      </c>
      <c r="AE11" s="691" t="s">
        <v>378</v>
      </c>
      <c r="AF11" s="690" t="s">
        <v>409</v>
      </c>
      <c r="AG11" s="690" t="s">
        <v>408</v>
      </c>
      <c r="AH11" s="758" t="s">
        <v>2004</v>
      </c>
      <c r="AM11" s="1222"/>
      <c r="AN11" s="1222"/>
      <c r="AO11" s="774" t="s">
        <v>357</v>
      </c>
      <c r="AP11" s="775" t="s">
        <v>378</v>
      </c>
      <c r="AQ11" s="776" t="s">
        <v>409</v>
      </c>
      <c r="AR11" s="765" t="s">
        <v>2004</v>
      </c>
    </row>
    <row r="12" spans="1:44" ht="24.6" x14ac:dyDescent="0.3">
      <c r="A12" s="218" t="s">
        <v>379</v>
      </c>
      <c r="B12" s="757" t="s">
        <v>429</v>
      </c>
      <c r="C12" s="755">
        <v>2019</v>
      </c>
      <c r="D12" s="754">
        <v>7445.5917825325832</v>
      </c>
      <c r="E12" s="754">
        <v>7445.5917825325832</v>
      </c>
      <c r="F12" s="754" t="s">
        <v>360</v>
      </c>
      <c r="G12" s="754">
        <v>2.0804151482562601</v>
      </c>
      <c r="H12" s="754">
        <v>-1.1874392678441701</v>
      </c>
      <c r="I12" s="754">
        <v>0.89297588041207998</v>
      </c>
      <c r="J12" s="754">
        <v>0.42849844392858999</v>
      </c>
      <c r="K12" s="754">
        <v>-0.24866496494304</v>
      </c>
      <c r="L12" s="754">
        <v>0.17983347898556001</v>
      </c>
      <c r="M12" s="754">
        <v>2.6412136504899999E-3</v>
      </c>
      <c r="N12" s="754">
        <v>1.5357646277299999E-3</v>
      </c>
      <c r="O12" s="754" t="s">
        <v>361</v>
      </c>
      <c r="P12" s="754" t="s">
        <v>360</v>
      </c>
      <c r="Q12" s="754">
        <f>I12+L12+M12+N12</f>
        <v>1.0769863376758602</v>
      </c>
      <c r="R12" s="754">
        <v>15489.921932113079</v>
      </c>
      <c r="S12" s="754">
        <v>-8841.188054917091</v>
      </c>
      <c r="T12" s="754">
        <v>6648.7338771959867</v>
      </c>
      <c r="U12" s="754">
        <v>3190.4244929427191</v>
      </c>
      <c r="V12" s="754">
        <v>-1851.4578195836239</v>
      </c>
      <c r="W12" s="754">
        <v>1338.9666733590955</v>
      </c>
      <c r="X12" s="754">
        <v>19.665398651996082</v>
      </c>
      <c r="Y12" s="754">
        <v>11.434676492128389</v>
      </c>
      <c r="Z12" s="754" t="s">
        <v>361</v>
      </c>
      <c r="AA12" s="754" t="s">
        <v>360</v>
      </c>
      <c r="AB12" s="754">
        <v>490.66278558324643</v>
      </c>
      <c r="AC12" s="754">
        <f>T12+W12+X12+Y12+AB12</f>
        <v>8509.4634112824533</v>
      </c>
      <c r="AD12" s="754">
        <f>Q12*D12</f>
        <v>8018.8006256992467</v>
      </c>
      <c r="AE12" s="756">
        <v>-31201.365841369021</v>
      </c>
      <c r="AF12" s="264">
        <f>AE12*1000/(D12*1000)</f>
        <v>-4.1905823946147134</v>
      </c>
      <c r="AG12" s="264">
        <f>AF12*1000/10000</f>
        <v>-0.4190582394614713</v>
      </c>
      <c r="AH12" s="545">
        <f>-AF12*'SE4 assorbimento CO2 ITA 2020'!$B$28</f>
        <v>452.0089194470147</v>
      </c>
      <c r="AM12" s="766"/>
      <c r="AN12" s="778" t="s">
        <v>429</v>
      </c>
      <c r="AO12" s="781">
        <v>7445.5917825325832</v>
      </c>
      <c r="AP12" s="782">
        <v>-31201.365841369021</v>
      </c>
      <c r="AQ12" s="767">
        <f t="shared" ref="AQ12:AQ23" si="0">AP12*1000/(AO12*1000)</f>
        <v>-4.1905823946147134</v>
      </c>
      <c r="AR12" s="777">
        <f>-AQ12*'SE4 assorbimento CO2 ITA 2020'!$B$28</f>
        <v>452.0089194470147</v>
      </c>
    </row>
    <row r="13" spans="1:44" s="59" customFormat="1" x14ac:dyDescent="0.3">
      <c r="A13" s="745"/>
      <c r="B13" s="746" t="s">
        <v>2029</v>
      </c>
      <c r="C13" s="749">
        <v>2019</v>
      </c>
      <c r="D13" s="736">
        <v>459.51480581893503</v>
      </c>
      <c r="E13" s="736">
        <v>459.51480581893503</v>
      </c>
      <c r="F13" s="736" t="s">
        <v>343</v>
      </c>
      <c r="G13" s="736">
        <v>1.7541029942634701</v>
      </c>
      <c r="H13" s="736">
        <v>-0.94695362309695996</v>
      </c>
      <c r="I13" s="736">
        <v>0.80714937116650998</v>
      </c>
      <c r="J13" s="736">
        <v>0.36644848481594</v>
      </c>
      <c r="K13" s="736">
        <v>-0.20029238517801001</v>
      </c>
      <c r="L13" s="736">
        <v>0.16615609963792</v>
      </c>
      <c r="M13" s="736">
        <v>3.7998478490299998E-3</v>
      </c>
      <c r="N13" s="736">
        <v>1.50520404879E-3</v>
      </c>
      <c r="O13" s="736" t="s">
        <v>344</v>
      </c>
      <c r="P13" s="736" t="s">
        <v>343</v>
      </c>
      <c r="Q13" s="750">
        <f t="shared" ref="Q13:Q30" si="1">I13+L13+M13+N13</f>
        <v>0.97861052270224991</v>
      </c>
      <c r="R13" s="736">
        <v>806.03629679539097</v>
      </c>
      <c r="S13" s="736">
        <v>-435.13921023693501</v>
      </c>
      <c r="T13" s="736">
        <v>370.89708655845595</v>
      </c>
      <c r="U13" s="736">
        <v>168.38850434283799</v>
      </c>
      <c r="V13" s="736">
        <v>-92.037316482086496</v>
      </c>
      <c r="W13" s="736">
        <v>76.351187860751494</v>
      </c>
      <c r="X13" s="736">
        <v>1.74608634648761</v>
      </c>
      <c r="Y13" s="736">
        <v>0.69166354619685</v>
      </c>
      <c r="Z13" s="736" t="s">
        <v>344</v>
      </c>
      <c r="AA13" s="736" t="s">
        <v>343</v>
      </c>
      <c r="AB13" s="736" t="s">
        <v>269</v>
      </c>
      <c r="AC13" s="750">
        <f>T13+W13+X13+Y13</f>
        <v>449.68602431189197</v>
      </c>
      <c r="AD13" s="750">
        <f t="shared" ref="AD13:AD34" si="2">Q13*D13</f>
        <v>449.68602431189089</v>
      </c>
      <c r="AE13" s="736">
        <v>-1648.8487558102718</v>
      </c>
      <c r="AF13" s="748">
        <f t="shared" ref="AF13:AF34" si="3">AE13*1000/(D13*1000)</f>
        <v>-3.5882385832415942</v>
      </c>
      <c r="AG13" s="748">
        <f t="shared" ref="AG13:AG34" si="4">AF13*1000/10000</f>
        <v>-0.35882385832415942</v>
      </c>
      <c r="AH13" s="545">
        <f>-AF13*'SE4 assorbimento CO2 ITA 2020'!$B$28</f>
        <v>387.03829014636057</v>
      </c>
      <c r="AM13" s="738"/>
      <c r="AN13" s="779" t="s">
        <v>2029</v>
      </c>
      <c r="AO13" s="783">
        <v>459.51480581893503</v>
      </c>
      <c r="AP13" s="783">
        <v>-1648.8487558102718</v>
      </c>
      <c r="AQ13" s="767">
        <f t="shared" si="0"/>
        <v>-3.5882385832415942</v>
      </c>
      <c r="AR13" s="777">
        <f>-AQ13*'SE4 assorbimento CO2 ITA 2020'!$B$28</f>
        <v>387.03829014636057</v>
      </c>
    </row>
    <row r="14" spans="1:44" x14ac:dyDescent="0.3">
      <c r="A14" s="737"/>
      <c r="B14" s="751" t="s">
        <v>2030</v>
      </c>
      <c r="C14" s="357">
        <v>2019</v>
      </c>
      <c r="D14" s="214">
        <v>286.20984283775863</v>
      </c>
      <c r="E14" s="214">
        <v>286.20984283775863</v>
      </c>
      <c r="F14" s="214" t="s">
        <v>343</v>
      </c>
      <c r="G14" s="214">
        <v>2.1560098748569199</v>
      </c>
      <c r="H14" s="214">
        <v>-1.08413314179501</v>
      </c>
      <c r="I14" s="214">
        <v>1.0718767330619099</v>
      </c>
      <c r="J14" s="214">
        <v>0.44375077157039</v>
      </c>
      <c r="K14" s="214">
        <v>-0.23252976691197999</v>
      </c>
      <c r="L14" s="214">
        <v>0.21122100465841001</v>
      </c>
      <c r="M14" s="214">
        <v>8.6653224395E-4</v>
      </c>
      <c r="N14" s="214">
        <v>8.3973243550999996E-4</v>
      </c>
      <c r="O14" s="214" t="s">
        <v>344</v>
      </c>
      <c r="P14" s="214" t="s">
        <v>343</v>
      </c>
      <c r="Q14" s="220">
        <f t="shared" si="1"/>
        <v>1.28480400239978</v>
      </c>
      <c r="R14" s="214">
        <v>617.07124743945405</v>
      </c>
      <c r="S14" s="214">
        <v>-310.28957612835598</v>
      </c>
      <c r="T14" s="214">
        <v>306.78167131109808</v>
      </c>
      <c r="U14" s="214">
        <v>127.005838590295</v>
      </c>
      <c r="V14" s="214">
        <v>-66.552308042978694</v>
      </c>
      <c r="W14" s="214">
        <v>60.453530547316312</v>
      </c>
      <c r="X14" s="214">
        <v>0.24801005735498</v>
      </c>
      <c r="Y14" s="214">
        <v>0.24033968839377001</v>
      </c>
      <c r="Z14" s="214" t="s">
        <v>344</v>
      </c>
      <c r="AA14" s="214" t="s">
        <v>343</v>
      </c>
      <c r="AB14" s="214" t="s">
        <v>269</v>
      </c>
      <c r="AC14" s="220">
        <f t="shared" ref="AC14:AC34" si="5">T14+W14+X14+Y14</f>
        <v>367.72355160416311</v>
      </c>
      <c r="AD14" s="220">
        <f t="shared" si="2"/>
        <v>367.7235516041643</v>
      </c>
      <c r="AE14" s="214">
        <v>-1348.319689215266</v>
      </c>
      <c r="AF14" s="263">
        <f t="shared" si="3"/>
        <v>-4.710948008799182</v>
      </c>
      <c r="AG14" s="263">
        <f t="shared" si="4"/>
        <v>-0.47109480087991823</v>
      </c>
      <c r="AH14" s="545">
        <f>-AF14*'SE4 assorbimento CO2 ITA 2020'!$B$28</f>
        <v>508.13713190912267</v>
      </c>
      <c r="AM14" s="738"/>
      <c r="AN14" s="780" t="s">
        <v>2031</v>
      </c>
      <c r="AO14" s="784">
        <v>108.93906240292843</v>
      </c>
      <c r="AP14" s="784">
        <v>-440.75887724407852</v>
      </c>
      <c r="AQ14" s="767">
        <f t="shared" si="0"/>
        <v>-4.0459213391598858</v>
      </c>
      <c r="AR14" s="777">
        <f>-AQ14*'SE4 assorbimento CO2 ITA 2020'!$B$28</f>
        <v>436.40533951353552</v>
      </c>
    </row>
    <row r="15" spans="1:44" s="59" customFormat="1" x14ac:dyDescent="0.3">
      <c r="A15" s="745"/>
      <c r="B15" s="752" t="s">
        <v>2031</v>
      </c>
      <c r="C15" s="747">
        <v>2019</v>
      </c>
      <c r="D15" s="220">
        <v>108.93906240292843</v>
      </c>
      <c r="E15" s="220">
        <v>108.93906240292843</v>
      </c>
      <c r="F15" s="220" t="s">
        <v>343</v>
      </c>
      <c r="G15" s="220">
        <v>1.6735904187367601</v>
      </c>
      <c r="H15" s="220">
        <v>-0.74613290411053002</v>
      </c>
      <c r="I15" s="220">
        <v>0.92745751462623005</v>
      </c>
      <c r="J15" s="220">
        <v>0.30644883544293</v>
      </c>
      <c r="K15" s="220">
        <v>-0.14042628865872001</v>
      </c>
      <c r="L15" s="220">
        <v>0.16602254678421999</v>
      </c>
      <c r="M15" s="220">
        <v>6.6550432950100002E-3</v>
      </c>
      <c r="N15" s="220">
        <v>3.2979877926900001E-3</v>
      </c>
      <c r="O15" s="220" t="s">
        <v>344</v>
      </c>
      <c r="P15" s="220" t="s">
        <v>343</v>
      </c>
      <c r="Q15" s="220">
        <f t="shared" si="1"/>
        <v>1.1034330924981501</v>
      </c>
      <c r="R15" s="220">
        <v>182.319371063707</v>
      </c>
      <c r="S15" s="220">
        <v>-81.283019001775202</v>
      </c>
      <c r="T15" s="220">
        <v>101.03635206193179</v>
      </c>
      <c r="U15" s="220">
        <v>33.384248807622598</v>
      </c>
      <c r="V15" s="220">
        <v>-15.297908223203599</v>
      </c>
      <c r="W15" s="220">
        <v>18.086340584418998</v>
      </c>
      <c r="X15" s="220">
        <v>0.72499417680908995</v>
      </c>
      <c r="Y15" s="220">
        <v>0.35927969795233</v>
      </c>
      <c r="Z15" s="220" t="s">
        <v>344</v>
      </c>
      <c r="AA15" s="220" t="s">
        <v>343</v>
      </c>
      <c r="AB15" s="220" t="s">
        <v>269</v>
      </c>
      <c r="AC15" s="220">
        <f t="shared" si="5"/>
        <v>120.20696652111222</v>
      </c>
      <c r="AD15" s="220">
        <f t="shared" si="2"/>
        <v>120.20696652111228</v>
      </c>
      <c r="AE15" s="220">
        <v>-440.75887724407852</v>
      </c>
      <c r="AF15" s="748">
        <f t="shared" si="3"/>
        <v>-4.0459213391598858</v>
      </c>
      <c r="AG15" s="748">
        <f t="shared" si="4"/>
        <v>-0.40459213391598858</v>
      </c>
      <c r="AH15" s="545">
        <f>-AF15*'SE4 assorbimento CO2 ITA 2020'!$B$28</f>
        <v>436.40533951353552</v>
      </c>
      <c r="AM15" s="738"/>
      <c r="AN15" s="780" t="s">
        <v>2033</v>
      </c>
      <c r="AO15" s="784">
        <v>344.73447847178971</v>
      </c>
      <c r="AP15" s="784">
        <v>-779.02357912503396</v>
      </c>
      <c r="AQ15" s="767">
        <f t="shared" si="0"/>
        <v>-2.2597785477636316</v>
      </c>
      <c r="AR15" s="777">
        <f>-AQ15*'SE4 assorbimento CO2 ITA 2020'!$B$28</f>
        <v>243.74656393269547</v>
      </c>
    </row>
    <row r="16" spans="1:44" x14ac:dyDescent="0.3">
      <c r="A16" s="737"/>
      <c r="B16" s="807" t="s">
        <v>2032</v>
      </c>
      <c r="C16" s="808">
        <v>2019</v>
      </c>
      <c r="D16" s="809">
        <v>740.53818590705646</v>
      </c>
      <c r="E16" s="809">
        <v>740.53818590705646</v>
      </c>
      <c r="F16" s="809" t="s">
        <v>343</v>
      </c>
      <c r="G16" s="809">
        <v>2.3126758761982802</v>
      </c>
      <c r="H16" s="809">
        <v>-1.11696921144455</v>
      </c>
      <c r="I16" s="809">
        <v>1.19570666475373</v>
      </c>
      <c r="J16" s="809">
        <v>0.44572954152656002</v>
      </c>
      <c r="K16" s="809">
        <v>-0.21619231448161999</v>
      </c>
      <c r="L16" s="809">
        <v>0.22953722704494001</v>
      </c>
      <c r="M16" s="809">
        <v>1.7104925117500001E-3</v>
      </c>
      <c r="N16" s="809">
        <v>1.76801864682E-3</v>
      </c>
      <c r="O16" s="809" t="s">
        <v>344</v>
      </c>
      <c r="P16" s="809" t="s">
        <v>343</v>
      </c>
      <c r="Q16" s="809">
        <f t="shared" si="1"/>
        <v>1.4287224029572401</v>
      </c>
      <c r="R16" s="809">
        <v>1712.6247979508901</v>
      </c>
      <c r="S16" s="809">
        <v>-827.15835355718298</v>
      </c>
      <c r="T16" s="809">
        <v>885.46644439370709</v>
      </c>
      <c r="U16" s="809">
        <v>330.07974608726403</v>
      </c>
      <c r="V16" s="809">
        <v>-160.09866437327</v>
      </c>
      <c r="W16" s="809">
        <v>169.98108171399403</v>
      </c>
      <c r="X16" s="809">
        <v>1.26668502166149</v>
      </c>
      <c r="Y16" s="809">
        <v>1.3092853213623601</v>
      </c>
      <c r="Z16" s="809" t="s">
        <v>344</v>
      </c>
      <c r="AA16" s="809" t="s">
        <v>343</v>
      </c>
      <c r="AB16" s="809" t="s">
        <v>269</v>
      </c>
      <c r="AC16" s="809">
        <f t="shared" si="5"/>
        <v>1058.0234964507249</v>
      </c>
      <c r="AD16" s="809">
        <f t="shared" si="2"/>
        <v>1058.0234964507251</v>
      </c>
      <c r="AE16" s="809">
        <v>-3879.4194869859953</v>
      </c>
      <c r="AF16" s="810">
        <f t="shared" si="3"/>
        <v>-5.2386488108432188</v>
      </c>
      <c r="AG16" s="810">
        <f t="shared" si="4"/>
        <v>-0.52386488108432183</v>
      </c>
      <c r="AH16" s="166">
        <f>-AF16*'SE4 assorbimento CO2 ITA 2020'!$B$28</f>
        <v>565.05653996795843</v>
      </c>
      <c r="AM16" s="738"/>
      <c r="AN16" s="780" t="s">
        <v>2037</v>
      </c>
      <c r="AO16" s="784">
        <v>306.25563973085923</v>
      </c>
      <c r="AP16" s="784">
        <v>-1361.5875341627575</v>
      </c>
      <c r="AQ16" s="767">
        <f t="shared" si="0"/>
        <v>-4.4459182379770548</v>
      </c>
      <c r="AR16" s="777">
        <f>-AQ16*'SE4 assorbimento CO2 ITA 2020'!$B$28</f>
        <v>479.55021747819575</v>
      </c>
    </row>
    <row r="17" spans="1:44" s="59" customFormat="1" x14ac:dyDescent="0.3">
      <c r="A17" s="745"/>
      <c r="B17" s="752" t="s">
        <v>2033</v>
      </c>
      <c r="C17" s="747">
        <v>2019</v>
      </c>
      <c r="D17" s="220">
        <v>344.73447847178971</v>
      </c>
      <c r="E17" s="220">
        <v>344.73447847178971</v>
      </c>
      <c r="F17" s="220" t="s">
        <v>343</v>
      </c>
      <c r="G17" s="220">
        <v>1.7949181119665401</v>
      </c>
      <c r="H17" s="220">
        <v>-1.2785362808409499</v>
      </c>
      <c r="I17" s="220">
        <v>0.51638183112559</v>
      </c>
      <c r="J17" s="220">
        <v>0.34485224414319998</v>
      </c>
      <c r="K17" s="220">
        <v>-0.24863060032052001</v>
      </c>
      <c r="L17" s="220">
        <v>9.6221643822680003E-2</v>
      </c>
      <c r="M17" s="220">
        <v>2.4774837633499999E-3</v>
      </c>
      <c r="N17" s="220">
        <v>1.22228158756E-3</v>
      </c>
      <c r="O17" s="220" t="s">
        <v>344</v>
      </c>
      <c r="P17" s="220" t="s">
        <v>343</v>
      </c>
      <c r="Q17" s="220">
        <f t="shared" si="1"/>
        <v>0.61630324029918004</v>
      </c>
      <c r="R17" s="220">
        <v>618.77015922835301</v>
      </c>
      <c r="S17" s="220">
        <v>-440.75553798296602</v>
      </c>
      <c r="T17" s="220">
        <v>178.01462124538699</v>
      </c>
      <c r="U17" s="220">
        <v>118.882458534533</v>
      </c>
      <c r="V17" s="220">
        <v>-85.711540333622395</v>
      </c>
      <c r="W17" s="220">
        <v>33.170918200910599</v>
      </c>
      <c r="X17" s="220">
        <v>0.85407407307912997</v>
      </c>
      <c r="Y17" s="220">
        <v>0.42136260563234001</v>
      </c>
      <c r="Z17" s="220" t="s">
        <v>344</v>
      </c>
      <c r="AA17" s="220" t="s">
        <v>343</v>
      </c>
      <c r="AB17" s="220" t="s">
        <v>269</v>
      </c>
      <c r="AC17" s="220">
        <f t="shared" si="5"/>
        <v>212.46097612500904</v>
      </c>
      <c r="AD17" s="220">
        <f t="shared" si="2"/>
        <v>212.46097612501194</v>
      </c>
      <c r="AE17" s="220">
        <v>-779.02357912503396</v>
      </c>
      <c r="AF17" s="748">
        <f t="shared" si="3"/>
        <v>-2.2597785477636316</v>
      </c>
      <c r="AG17" s="748">
        <f t="shared" si="4"/>
        <v>-0.22597785477636317</v>
      </c>
      <c r="AH17" s="545">
        <f>-AF17*'SE4 assorbimento CO2 ITA 2020'!$B$28</f>
        <v>243.74656393269547</v>
      </c>
      <c r="AM17" s="738"/>
      <c r="AN17" s="780" t="s">
        <v>2038</v>
      </c>
      <c r="AO17" s="784">
        <v>242.61238115978165</v>
      </c>
      <c r="AP17" s="784">
        <v>-727.70845142508597</v>
      </c>
      <c r="AQ17" s="767">
        <f t="shared" si="0"/>
        <v>-2.9994695569383403</v>
      </c>
      <c r="AR17" s="777">
        <f>-AQ17*'SE4 assorbimento CO2 ITA 2020'!$B$28</f>
        <v>323.53187831081118</v>
      </c>
    </row>
    <row r="18" spans="1:44" x14ac:dyDescent="0.3">
      <c r="A18" s="737"/>
      <c r="B18" s="751" t="s">
        <v>2034</v>
      </c>
      <c r="C18" s="357">
        <v>2019</v>
      </c>
      <c r="D18" s="214">
        <v>281.84910908495323</v>
      </c>
      <c r="E18" s="214">
        <v>281.84910908495323</v>
      </c>
      <c r="F18" s="214" t="s">
        <v>343</v>
      </c>
      <c r="G18" s="214">
        <v>3.02279916348416</v>
      </c>
      <c r="H18" s="214">
        <v>-1.6108215971575901</v>
      </c>
      <c r="I18" s="214">
        <v>1.4119775663265699</v>
      </c>
      <c r="J18" s="214">
        <v>0.62502795624982999</v>
      </c>
      <c r="K18" s="214">
        <v>-0.33560666767251002</v>
      </c>
      <c r="L18" s="214">
        <v>0.28942128857732002</v>
      </c>
      <c r="M18" s="214">
        <v>2.7083450658799998E-3</v>
      </c>
      <c r="N18" s="214">
        <v>3.34542359502E-3</v>
      </c>
      <c r="O18" s="214" t="s">
        <v>344</v>
      </c>
      <c r="P18" s="214" t="s">
        <v>343</v>
      </c>
      <c r="Q18" s="220">
        <f t="shared" si="1"/>
        <v>1.70745262356479</v>
      </c>
      <c r="R18" s="214">
        <v>851.97325117075195</v>
      </c>
      <c r="S18" s="214">
        <v>-454.00863205366898</v>
      </c>
      <c r="T18" s="214">
        <v>397.96461911708298</v>
      </c>
      <c r="U18" s="214">
        <v>176.16357262220501</v>
      </c>
      <c r="V18" s="214">
        <v>-94.590440286467299</v>
      </c>
      <c r="W18" s="214">
        <v>81.573132335737711</v>
      </c>
      <c r="X18" s="214">
        <v>0.76334464391214996</v>
      </c>
      <c r="Y18" s="214">
        <v>0.94290465976686999</v>
      </c>
      <c r="Z18" s="214" t="s">
        <v>344</v>
      </c>
      <c r="AA18" s="214" t="s">
        <v>343</v>
      </c>
      <c r="AB18" s="214" t="s">
        <v>269</v>
      </c>
      <c r="AC18" s="220">
        <f t="shared" si="5"/>
        <v>481.2440007564997</v>
      </c>
      <c r="AD18" s="220">
        <f t="shared" si="2"/>
        <v>481.24400075650209</v>
      </c>
      <c r="AE18" s="214">
        <v>-1764.5613361071671</v>
      </c>
      <c r="AF18" s="263">
        <f t="shared" si="3"/>
        <v>-6.260659619737539</v>
      </c>
      <c r="AG18" s="263">
        <f t="shared" si="4"/>
        <v>-0.62606596197375397</v>
      </c>
      <c r="AH18" s="545">
        <f>-AF18*'SE4 assorbimento CO2 ITA 2020'!$B$28</f>
        <v>675.29372370288513</v>
      </c>
      <c r="AM18" s="738"/>
      <c r="AN18" s="780" t="s">
        <v>454</v>
      </c>
      <c r="AO18" s="784">
        <v>473.35798668655713</v>
      </c>
      <c r="AP18" s="784">
        <v>-1692.0632607877283</v>
      </c>
      <c r="AQ18" s="767">
        <f t="shared" si="0"/>
        <v>-3.5745953556882935</v>
      </c>
      <c r="AR18" s="777">
        <f>-AQ18*'SE4 assorbimento CO2 ITA 2020'!$B$28</f>
        <v>385.56669026753178</v>
      </c>
    </row>
    <row r="19" spans="1:44" x14ac:dyDescent="0.3">
      <c r="A19" s="737"/>
      <c r="B19" s="751" t="s">
        <v>2035</v>
      </c>
      <c r="C19" s="357">
        <v>2019</v>
      </c>
      <c r="D19" s="214">
        <v>86.8036705420526</v>
      </c>
      <c r="E19" s="214">
        <v>86.8036705420526</v>
      </c>
      <c r="F19" s="214" t="s">
        <v>343</v>
      </c>
      <c r="G19" s="214">
        <v>1.9076116158008201</v>
      </c>
      <c r="H19" s="214">
        <v>-0.85242686925875</v>
      </c>
      <c r="I19" s="214">
        <v>1.0551847465420701</v>
      </c>
      <c r="J19" s="214">
        <v>0.44723852231595002</v>
      </c>
      <c r="K19" s="214">
        <v>-0.19851388247439999</v>
      </c>
      <c r="L19" s="214">
        <v>0.24872463984154999</v>
      </c>
      <c r="M19" s="214">
        <v>1.3268948977599999E-3</v>
      </c>
      <c r="N19" s="214">
        <v>4.1787394974E-4</v>
      </c>
      <c r="O19" s="214" t="s">
        <v>344</v>
      </c>
      <c r="P19" s="214" t="s">
        <v>343</v>
      </c>
      <c r="Q19" s="220">
        <f t="shared" si="1"/>
        <v>1.3056541552311201</v>
      </c>
      <c r="R19" s="214">
        <v>165.58769022016699</v>
      </c>
      <c r="S19" s="214">
        <v>-73.9937811203297</v>
      </c>
      <c r="T19" s="214">
        <v>91.59390909983729</v>
      </c>
      <c r="U19" s="214">
        <v>38.821945344828301</v>
      </c>
      <c r="V19" s="214">
        <v>-17.2317336523314</v>
      </c>
      <c r="W19" s="214">
        <v>21.590211692496901</v>
      </c>
      <c r="X19" s="214">
        <v>0.11517934754949</v>
      </c>
      <c r="Y19" s="214">
        <v>3.6272992661730001E-2</v>
      </c>
      <c r="Z19" s="214" t="s">
        <v>344</v>
      </c>
      <c r="AA19" s="214" t="s">
        <v>343</v>
      </c>
      <c r="AB19" s="214" t="s">
        <v>269</v>
      </c>
      <c r="AC19" s="220">
        <f t="shared" si="5"/>
        <v>113.33557313254542</v>
      </c>
      <c r="AD19" s="220">
        <f t="shared" si="2"/>
        <v>113.33557313254416</v>
      </c>
      <c r="AE19" s="214">
        <v>-415.56376815266685</v>
      </c>
      <c r="AF19" s="263">
        <f t="shared" si="3"/>
        <v>-4.787398569180831</v>
      </c>
      <c r="AG19" s="263">
        <f t="shared" si="4"/>
        <v>-0.47873985691808313</v>
      </c>
      <c r="AH19" s="545">
        <f>-AF19*'SE4 assorbimento CO2 ITA 2020'!$B$28</f>
        <v>516.38332108646375</v>
      </c>
      <c r="AM19" s="738"/>
      <c r="AN19" s="780" t="s">
        <v>2042</v>
      </c>
      <c r="AO19" s="784">
        <v>423.22244111192219</v>
      </c>
      <c r="AP19" s="784">
        <v>-2220.3152396174883</v>
      </c>
      <c r="AQ19" s="767">
        <f t="shared" si="0"/>
        <v>-5.2462133949799714</v>
      </c>
      <c r="AR19" s="777">
        <f>-AQ19*'SE4 assorbimento CO2 ITA 2020'!$B$28</f>
        <v>565.8724789424823</v>
      </c>
    </row>
    <row r="20" spans="1:44" x14ac:dyDescent="0.3">
      <c r="A20" s="737"/>
      <c r="B20" s="751" t="s">
        <v>2036</v>
      </c>
      <c r="C20" s="357">
        <v>2019</v>
      </c>
      <c r="D20" s="214">
        <v>432.75854802444059</v>
      </c>
      <c r="E20" s="214">
        <v>432.75854802444059</v>
      </c>
      <c r="F20" s="214" t="s">
        <v>343</v>
      </c>
      <c r="G20" s="214">
        <v>2.1257387347548198</v>
      </c>
      <c r="H20" s="214">
        <v>-1.0269421703597399</v>
      </c>
      <c r="I20" s="214">
        <v>1.0987965643950801</v>
      </c>
      <c r="J20" s="214">
        <v>0.53559396021032002</v>
      </c>
      <c r="K20" s="214">
        <v>-0.27157381520486001</v>
      </c>
      <c r="L20" s="214">
        <v>0.26402014500546001</v>
      </c>
      <c r="M20" s="214">
        <v>4.7299846926799997E-3</v>
      </c>
      <c r="N20" s="214">
        <v>3.3748160100999999E-3</v>
      </c>
      <c r="O20" s="214" t="s">
        <v>344</v>
      </c>
      <c r="P20" s="214" t="s">
        <v>343</v>
      </c>
      <c r="Q20" s="220">
        <f t="shared" si="1"/>
        <v>1.3709215101033201</v>
      </c>
      <c r="R20" s="214">
        <v>919.93160833180696</v>
      </c>
      <c r="S20" s="214">
        <v>-444.41800254994803</v>
      </c>
      <c r="T20" s="214">
        <v>475.51360578185893</v>
      </c>
      <c r="U20" s="214">
        <v>231.78286455127599</v>
      </c>
      <c r="V20" s="214">
        <v>-117.525889949513</v>
      </c>
      <c r="W20" s="214">
        <v>114.25697460176299</v>
      </c>
      <c r="X20" s="214">
        <v>2.0469413077830501</v>
      </c>
      <c r="Y20" s="214">
        <v>1.4604804763794601</v>
      </c>
      <c r="Z20" s="214" t="s">
        <v>344</v>
      </c>
      <c r="AA20" s="214" t="s">
        <v>343</v>
      </c>
      <c r="AB20" s="214" t="s">
        <v>269</v>
      </c>
      <c r="AC20" s="220">
        <f t="shared" si="5"/>
        <v>593.27800216778439</v>
      </c>
      <c r="AD20" s="220">
        <f t="shared" si="2"/>
        <v>593.27800216778621</v>
      </c>
      <c r="AE20" s="214">
        <v>-2175.3526746152115</v>
      </c>
      <c r="AF20" s="263">
        <f t="shared" si="3"/>
        <v>-5.0267122037121625</v>
      </c>
      <c r="AG20" s="263">
        <f t="shared" si="4"/>
        <v>-0.50267122037121625</v>
      </c>
      <c r="AH20" s="545">
        <f>-AF20*'SE4 assorbimento CO2 ITA 2020'!$B$28</f>
        <v>542.19641510710778</v>
      </c>
      <c r="AM20" s="738"/>
      <c r="AN20" s="780" t="s">
        <v>2043</v>
      </c>
      <c r="AO20" s="784">
        <v>521.62980102898928</v>
      </c>
      <c r="AP20" s="784">
        <v>-1213.9535535891491</v>
      </c>
      <c r="AQ20" s="767">
        <f t="shared" si="0"/>
        <v>-2.3272319779170063</v>
      </c>
      <c r="AR20" s="777">
        <f>-AQ20*'SE4 assorbimento CO2 ITA 2020'!$B$28</f>
        <v>251.02229537179173</v>
      </c>
    </row>
    <row r="21" spans="1:44" s="59" customFormat="1" x14ac:dyDescent="0.3">
      <c r="A21" s="745"/>
      <c r="B21" s="752" t="s">
        <v>2037</v>
      </c>
      <c r="C21" s="747">
        <v>2019</v>
      </c>
      <c r="D21" s="220">
        <v>306.25563973085923</v>
      </c>
      <c r="E21" s="220">
        <v>306.25563973085923</v>
      </c>
      <c r="F21" s="220" t="s">
        <v>343</v>
      </c>
      <c r="G21" s="220">
        <v>1.9253268729023201</v>
      </c>
      <c r="H21" s="220">
        <v>-0.89743578837662996</v>
      </c>
      <c r="I21" s="220">
        <v>1.0278910845256899</v>
      </c>
      <c r="J21" s="220">
        <v>0.33968632505832003</v>
      </c>
      <c r="K21" s="220">
        <v>-0.16209701329108001</v>
      </c>
      <c r="L21" s="220">
        <v>0.17758931176723999</v>
      </c>
      <c r="M21" s="220">
        <v>5.2463183399399996E-3</v>
      </c>
      <c r="N21" s="220">
        <v>1.7964411790600001E-3</v>
      </c>
      <c r="O21" s="220" t="s">
        <v>344</v>
      </c>
      <c r="P21" s="220" t="s">
        <v>343</v>
      </c>
      <c r="Q21" s="220">
        <f t="shared" si="1"/>
        <v>1.21252315581193</v>
      </c>
      <c r="R21" s="220">
        <v>589.64221315171596</v>
      </c>
      <c r="S21" s="220">
        <v>-274.844771486654</v>
      </c>
      <c r="T21" s="220">
        <v>314.79744166506197</v>
      </c>
      <c r="U21" s="220">
        <v>104.03085278856101</v>
      </c>
      <c r="V21" s="220">
        <v>-49.643124503922401</v>
      </c>
      <c r="W21" s="220">
        <v>54.387728284638612</v>
      </c>
      <c r="X21" s="220">
        <v>1.60671457942936</v>
      </c>
      <c r="Y21" s="220">
        <v>0.55017024253086999</v>
      </c>
      <c r="Z21" s="220" t="s">
        <v>344</v>
      </c>
      <c r="AA21" s="220" t="s">
        <v>343</v>
      </c>
      <c r="AB21" s="220" t="s">
        <v>269</v>
      </c>
      <c r="AC21" s="220">
        <f t="shared" si="5"/>
        <v>371.34205477166086</v>
      </c>
      <c r="AD21" s="220">
        <f t="shared" si="2"/>
        <v>371.34205477166296</v>
      </c>
      <c r="AE21" s="220">
        <v>-1361.5875341627575</v>
      </c>
      <c r="AF21" s="748">
        <f t="shared" si="3"/>
        <v>-4.4459182379770548</v>
      </c>
      <c r="AG21" s="748">
        <f t="shared" si="4"/>
        <v>-0.44459182379770545</v>
      </c>
      <c r="AH21" s="545">
        <f>-AF21*'SE4 assorbimento CO2 ITA 2020'!$B$28</f>
        <v>479.55021747819575</v>
      </c>
      <c r="AM21" s="738"/>
      <c r="AN21" s="780" t="s">
        <v>342</v>
      </c>
      <c r="AO21" s="784">
        <v>235.82188283937401</v>
      </c>
      <c r="AP21" s="784">
        <v>-1307.9834934347459</v>
      </c>
      <c r="AQ21" s="767">
        <f t="shared" si="0"/>
        <v>-5.5464890606681152</v>
      </c>
      <c r="AR21" s="777">
        <f>-AQ21*'SE4 assorbimento CO2 ITA 2020'!$B$28</f>
        <v>598.26112242992531</v>
      </c>
    </row>
    <row r="22" spans="1:44" s="59" customFormat="1" x14ac:dyDescent="0.3">
      <c r="A22" s="745"/>
      <c r="B22" s="752" t="s">
        <v>2038</v>
      </c>
      <c r="C22" s="747">
        <v>2019</v>
      </c>
      <c r="D22" s="220">
        <v>242.61238115978165</v>
      </c>
      <c r="E22" s="220">
        <v>242.61238115978165</v>
      </c>
      <c r="F22" s="220" t="s">
        <v>343</v>
      </c>
      <c r="G22" s="220">
        <v>1.23872090232128</v>
      </c>
      <c r="H22" s="220">
        <v>-0.55737194444302995</v>
      </c>
      <c r="I22" s="220">
        <v>0.68134895787825001</v>
      </c>
      <c r="J22" s="220">
        <v>0.24628631968487999</v>
      </c>
      <c r="K22" s="220">
        <v>-0.11055466787932</v>
      </c>
      <c r="L22" s="220">
        <v>0.13573165180555999</v>
      </c>
      <c r="M22" s="220">
        <v>7.3775676799000005E-4</v>
      </c>
      <c r="N22" s="220">
        <v>2.1878544048000001E-4</v>
      </c>
      <c r="O22" s="220" t="s">
        <v>344</v>
      </c>
      <c r="P22" s="220" t="s">
        <v>343</v>
      </c>
      <c r="Q22" s="220">
        <f t="shared" si="1"/>
        <v>0.8180371518922801</v>
      </c>
      <c r="R22" s="220">
        <v>300.52902770456001</v>
      </c>
      <c r="S22" s="220">
        <v>-135.225334632982</v>
      </c>
      <c r="T22" s="220">
        <v>165.30369307157801</v>
      </c>
      <c r="U22" s="220">
        <v>59.752110465828999</v>
      </c>
      <c r="V22" s="220">
        <v>-26.821931222531699</v>
      </c>
      <c r="W22" s="220">
        <v>32.930179243297303</v>
      </c>
      <c r="X22" s="220">
        <v>0.17898892619807999</v>
      </c>
      <c r="Y22" s="220">
        <v>5.3080056677139997E-2</v>
      </c>
      <c r="Z22" s="220" t="s">
        <v>344</v>
      </c>
      <c r="AA22" s="220" t="s">
        <v>343</v>
      </c>
      <c r="AB22" s="220" t="s">
        <v>269</v>
      </c>
      <c r="AC22" s="220">
        <f t="shared" si="5"/>
        <v>198.46594129775056</v>
      </c>
      <c r="AD22" s="220">
        <f t="shared" si="2"/>
        <v>198.46594129775207</v>
      </c>
      <c r="AE22" s="220">
        <v>-727.70845142508597</v>
      </c>
      <c r="AF22" s="748">
        <f t="shared" si="3"/>
        <v>-2.9994695569383403</v>
      </c>
      <c r="AG22" s="748">
        <f t="shared" si="4"/>
        <v>-0.29994695569383401</v>
      </c>
      <c r="AH22" s="545">
        <f>-AF22*'SE4 assorbimento CO2 ITA 2020'!$B$28</f>
        <v>323.53187831081118</v>
      </c>
      <c r="AM22" s="738"/>
      <c r="AN22" s="780" t="s">
        <v>2046</v>
      </c>
      <c r="AO22" s="784">
        <v>126.58245137464917</v>
      </c>
      <c r="AP22" s="784">
        <v>-331.39363268801873</v>
      </c>
      <c r="AQ22" s="767">
        <f t="shared" si="0"/>
        <v>-2.6180061224062166</v>
      </c>
      <c r="AR22" s="777">
        <f>-AQ22*'SE4 assorbimento CO2 ITA 2020'!$B$28</f>
        <v>282.38607598200025</v>
      </c>
    </row>
    <row r="23" spans="1:44" x14ac:dyDescent="0.3">
      <c r="A23" s="737"/>
      <c r="B23" s="751" t="s">
        <v>2039</v>
      </c>
      <c r="C23" s="357">
        <v>2019</v>
      </c>
      <c r="D23" s="214">
        <v>633.32214592358775</v>
      </c>
      <c r="E23" s="214">
        <v>633.32214592358775</v>
      </c>
      <c r="F23" s="214" t="s">
        <v>343</v>
      </c>
      <c r="G23" s="214">
        <v>1.6965688326105</v>
      </c>
      <c r="H23" s="214">
        <v>-1.8719125081893799</v>
      </c>
      <c r="I23" s="214">
        <v>-0.17534367557887001</v>
      </c>
      <c r="J23" s="214">
        <v>0.40177634538347001</v>
      </c>
      <c r="K23" s="214">
        <v>-0.43193592733535002</v>
      </c>
      <c r="L23" s="214">
        <v>-3.0159581951889999E-2</v>
      </c>
      <c r="M23" s="214">
        <v>6.6095818670000006E-5</v>
      </c>
      <c r="N23" s="214">
        <v>1.214607437E-4</v>
      </c>
      <c r="O23" s="214" t="s">
        <v>344</v>
      </c>
      <c r="P23" s="214" t="s">
        <v>343</v>
      </c>
      <c r="Q23" s="220">
        <f t="shared" si="1"/>
        <v>-0.20531570096839</v>
      </c>
      <c r="R23" s="214">
        <v>1074.474613775961</v>
      </c>
      <c r="S23" s="214">
        <v>-1185.523646667702</v>
      </c>
      <c r="T23" s="214">
        <v>-111.04903289174096</v>
      </c>
      <c r="U23" s="214">
        <v>254.45385723959299</v>
      </c>
      <c r="V23" s="214">
        <v>-273.55458840152102</v>
      </c>
      <c r="W23" s="214">
        <v>-19.10073116192801</v>
      </c>
      <c r="X23" s="214">
        <v>4.1859945715009998E-2</v>
      </c>
      <c r="Y23" s="214">
        <v>7.6923778847270002E-2</v>
      </c>
      <c r="Z23" s="214" t="s">
        <v>344</v>
      </c>
      <c r="AA23" s="214" t="s">
        <v>343</v>
      </c>
      <c r="AB23" s="214" t="s">
        <v>269</v>
      </c>
      <c r="AC23" s="220">
        <f t="shared" si="5"/>
        <v>-130.03098032910671</v>
      </c>
      <c r="AD23" s="220">
        <f t="shared" si="2"/>
        <v>-130.0309803291064</v>
      </c>
      <c r="AE23" s="214">
        <v>476.78026120672502</v>
      </c>
      <c r="AF23" s="263">
        <f t="shared" si="3"/>
        <v>0.75282423688409916</v>
      </c>
      <c r="AG23" s="263">
        <f t="shared" si="4"/>
        <v>7.5282423688409913E-2</v>
      </c>
      <c r="AH23" s="545">
        <f>-AF23*'SE4 assorbimento CO2 ITA 2020'!$B$28</f>
        <v>-81.201904127884617</v>
      </c>
      <c r="AM23" s="738"/>
      <c r="AN23" s="780" t="s">
        <v>2047</v>
      </c>
      <c r="AO23" s="784">
        <v>882.00080615202501</v>
      </c>
      <c r="AP23" s="784">
        <v>-4718.1180061961386</v>
      </c>
      <c r="AQ23" s="767">
        <f t="shared" si="0"/>
        <v>-5.3493352537626881</v>
      </c>
      <c r="AR23" s="777">
        <f>-AQ23*'SE4 assorbimento CO2 ITA 2020'!$B$28</f>
        <v>576.99551521057822</v>
      </c>
    </row>
    <row r="24" spans="1:44" x14ac:dyDescent="0.3">
      <c r="A24" s="737"/>
      <c r="B24" s="751" t="s">
        <v>2040</v>
      </c>
      <c r="C24" s="357">
        <v>2019</v>
      </c>
      <c r="D24" s="214">
        <v>291.86340271032867</v>
      </c>
      <c r="E24" s="214">
        <v>291.86340271032867</v>
      </c>
      <c r="F24" s="214" t="s">
        <v>343</v>
      </c>
      <c r="G24" s="214">
        <v>1.9404928986406</v>
      </c>
      <c r="H24" s="214">
        <v>-2.1436357682638301</v>
      </c>
      <c r="I24" s="214">
        <v>-0.20314286962323</v>
      </c>
      <c r="J24" s="214">
        <v>0.47305525395378001</v>
      </c>
      <c r="K24" s="214">
        <v>-0.51276713295526999</v>
      </c>
      <c r="L24" s="214">
        <v>-3.9711879001490001E-2</v>
      </c>
      <c r="M24" s="214">
        <v>-3.9969464233500004E-3</v>
      </c>
      <c r="N24" s="214">
        <v>-1.0870531269E-3</v>
      </c>
      <c r="O24" s="214" t="s">
        <v>344</v>
      </c>
      <c r="P24" s="214" t="s">
        <v>343</v>
      </c>
      <c r="Q24" s="220">
        <f t="shared" si="1"/>
        <v>-0.24793874817497</v>
      </c>
      <c r="R24" s="214">
        <v>566.358860332473</v>
      </c>
      <c r="S24" s="214">
        <v>-625.64882949704997</v>
      </c>
      <c r="T24" s="214">
        <v>-59.289969164576974</v>
      </c>
      <c r="U24" s="214">
        <v>138.06751608894899</v>
      </c>
      <c r="V24" s="214">
        <v>-149.657960222344</v>
      </c>
      <c r="W24" s="214">
        <v>-11.59044413339501</v>
      </c>
      <c r="X24" s="214">
        <v>-1.16656238356949</v>
      </c>
      <c r="Y24" s="214">
        <v>-0.31727102454417999</v>
      </c>
      <c r="Z24" s="214" t="s">
        <v>344</v>
      </c>
      <c r="AA24" s="214" t="s">
        <v>343</v>
      </c>
      <c r="AB24" s="214" t="s">
        <v>269</v>
      </c>
      <c r="AC24" s="220">
        <f t="shared" si="5"/>
        <v>-72.364246706085652</v>
      </c>
      <c r="AD24" s="220">
        <f t="shared" si="2"/>
        <v>-72.364246706086035</v>
      </c>
      <c r="AE24" s="214">
        <v>265.33557125564761</v>
      </c>
      <c r="AF24" s="263">
        <f t="shared" si="3"/>
        <v>0.90910874330821922</v>
      </c>
      <c r="AG24" s="263">
        <f t="shared" si="4"/>
        <v>9.0910874330821928E-2</v>
      </c>
      <c r="AH24" s="545">
        <f>-AF24*'SE4 assorbimento CO2 ITA 2020'!$B$28</f>
        <v>-98.059224715557121</v>
      </c>
      <c r="AN24" s="780" t="s">
        <v>2032</v>
      </c>
      <c r="AO24" s="75">
        <f>D16</f>
        <v>740.53818590705646</v>
      </c>
      <c r="AP24" s="75">
        <f>AE16</f>
        <v>-3879.4194869859953</v>
      </c>
      <c r="AQ24" s="767">
        <f>AP24*1000/(AO24*1000)</f>
        <v>-5.2386488108432188</v>
      </c>
      <c r="AR24" s="777">
        <f>-AQ24*'SE4 assorbimento CO2 ITA 2020'!$B$28</f>
        <v>565.05653996795843</v>
      </c>
    </row>
    <row r="25" spans="1:44" x14ac:dyDescent="0.3">
      <c r="A25" s="737"/>
      <c r="B25" s="751" t="s">
        <v>2041</v>
      </c>
      <c r="C25" s="357">
        <v>2019</v>
      </c>
      <c r="D25" s="214">
        <v>341.45874321325908</v>
      </c>
      <c r="E25" s="214">
        <v>341.45874321325908</v>
      </c>
      <c r="F25" s="214" t="s">
        <v>343</v>
      </c>
      <c r="G25" s="214">
        <v>1.48807363566656</v>
      </c>
      <c r="H25" s="214">
        <v>-1.63965582460128</v>
      </c>
      <c r="I25" s="214">
        <v>-0.15158218893472</v>
      </c>
      <c r="J25" s="214">
        <v>0.34085037640391003</v>
      </c>
      <c r="K25" s="214">
        <v>-0.36284508931668003</v>
      </c>
      <c r="L25" s="214">
        <v>-2.199471291278E-2</v>
      </c>
      <c r="M25" s="214">
        <v>3.5389995227899998E-3</v>
      </c>
      <c r="N25" s="214">
        <v>1.1544434319699999E-3</v>
      </c>
      <c r="O25" s="214" t="s">
        <v>344</v>
      </c>
      <c r="P25" s="214" t="s">
        <v>343</v>
      </c>
      <c r="Q25" s="220">
        <f t="shared" si="1"/>
        <v>-0.16888345889274001</v>
      </c>
      <c r="R25" s="214">
        <v>508.11575344348802</v>
      </c>
      <c r="S25" s="214">
        <v>-559.87481717065202</v>
      </c>
      <c r="T25" s="214">
        <v>-51.759063727163998</v>
      </c>
      <c r="U25" s="214">
        <v>116.386341150644</v>
      </c>
      <c r="V25" s="214">
        <v>-123.896628179177</v>
      </c>
      <c r="W25" s="214">
        <v>-7.5102870285329999</v>
      </c>
      <c r="X25" s="214">
        <v>1.2084223292845</v>
      </c>
      <c r="Y25" s="214">
        <v>0.39419480339145002</v>
      </c>
      <c r="Z25" s="214" t="s">
        <v>344</v>
      </c>
      <c r="AA25" s="214" t="s">
        <v>343</v>
      </c>
      <c r="AB25" s="214" t="s">
        <v>269</v>
      </c>
      <c r="AC25" s="220">
        <f t="shared" si="5"/>
        <v>-57.666733623021045</v>
      </c>
      <c r="AD25" s="220">
        <f t="shared" si="2"/>
        <v>-57.666733623023106</v>
      </c>
      <c r="AE25" s="214">
        <v>211.44468995107738</v>
      </c>
      <c r="AF25" s="263">
        <f t="shared" si="3"/>
        <v>0.61923934927335844</v>
      </c>
      <c r="AG25" s="263">
        <f t="shared" si="4"/>
        <v>6.1923934927335847E-2</v>
      </c>
      <c r="AH25" s="545">
        <f>-AF25*'SE4 assorbimento CO2 ITA 2020'!$B$28</f>
        <v>-66.793033231806376</v>
      </c>
    </row>
    <row r="26" spans="1:44" s="59" customFormat="1" x14ac:dyDescent="0.3">
      <c r="A26" s="745"/>
      <c r="B26" s="752" t="s">
        <v>454</v>
      </c>
      <c r="C26" s="747">
        <v>2019</v>
      </c>
      <c r="D26" s="220">
        <v>473.35798668655713</v>
      </c>
      <c r="E26" s="220">
        <v>473.35798668655713</v>
      </c>
      <c r="F26" s="220" t="s">
        <v>343</v>
      </c>
      <c r="G26" s="220">
        <v>1.6944041147659901</v>
      </c>
      <c r="H26" s="220">
        <v>-0.87855522844286005</v>
      </c>
      <c r="I26" s="220">
        <v>0.81584888632313002</v>
      </c>
      <c r="J26" s="220">
        <v>0.32031696812632998</v>
      </c>
      <c r="K26" s="220">
        <v>-0.16441820826855</v>
      </c>
      <c r="L26" s="220">
        <v>0.15589875985778001</v>
      </c>
      <c r="M26" s="220">
        <v>1.82475430888E-3</v>
      </c>
      <c r="N26" s="220">
        <v>1.3172419706500001E-3</v>
      </c>
      <c r="O26" s="220" t="s">
        <v>344</v>
      </c>
      <c r="P26" s="220" t="s">
        <v>343</v>
      </c>
      <c r="Q26" s="220">
        <f t="shared" si="1"/>
        <v>0.97488964246043996</v>
      </c>
      <c r="R26" s="220">
        <v>802.05972039904702</v>
      </c>
      <c r="S26" s="220">
        <v>-415.87113412866199</v>
      </c>
      <c r="T26" s="220">
        <v>386.18858627038503</v>
      </c>
      <c r="U26" s="220">
        <v>151.624595133822</v>
      </c>
      <c r="V26" s="220">
        <v>-77.8286720406104</v>
      </c>
      <c r="W26" s="220">
        <v>73.795923093211599</v>
      </c>
      <c r="X26" s="220">
        <v>0.86376202585103001</v>
      </c>
      <c r="Y26" s="220">
        <v>0.62352700720511001</v>
      </c>
      <c r="Z26" s="220" t="s">
        <v>344</v>
      </c>
      <c r="AA26" s="220" t="s">
        <v>343</v>
      </c>
      <c r="AB26" s="220" t="s">
        <v>269</v>
      </c>
      <c r="AC26" s="220">
        <f t="shared" si="5"/>
        <v>461.47179839665279</v>
      </c>
      <c r="AD26" s="220">
        <f t="shared" si="2"/>
        <v>461.47179839665137</v>
      </c>
      <c r="AE26" s="220">
        <v>-1692.0632607877283</v>
      </c>
      <c r="AF26" s="748">
        <f t="shared" si="3"/>
        <v>-3.5745953556882935</v>
      </c>
      <c r="AG26" s="748">
        <f t="shared" si="4"/>
        <v>-0.35745953556882931</v>
      </c>
      <c r="AH26" s="545">
        <f>-AF26*'SE4 assorbimento CO2 ITA 2020'!$B$28</f>
        <v>385.56669026753178</v>
      </c>
    </row>
    <row r="27" spans="1:44" s="59" customFormat="1" x14ac:dyDescent="0.3">
      <c r="A27" s="745"/>
      <c r="B27" s="752" t="s">
        <v>2042</v>
      </c>
      <c r="C27" s="747">
        <v>2019</v>
      </c>
      <c r="D27" s="220">
        <v>423.22244111192219</v>
      </c>
      <c r="E27" s="220">
        <v>423.22244111192219</v>
      </c>
      <c r="F27" s="220" t="s">
        <v>343</v>
      </c>
      <c r="G27" s="220">
        <v>2.67046121469969</v>
      </c>
      <c r="H27" s="220">
        <v>-1.49472956423082</v>
      </c>
      <c r="I27" s="220">
        <v>1.17573165046887</v>
      </c>
      <c r="J27" s="220">
        <v>0.57608719903769001</v>
      </c>
      <c r="K27" s="220">
        <v>-0.32941333854255</v>
      </c>
      <c r="L27" s="220">
        <v>0.24667386049514001</v>
      </c>
      <c r="M27" s="220">
        <v>5.6332514473999996E-3</v>
      </c>
      <c r="N27" s="220">
        <v>2.7467089467599999E-3</v>
      </c>
      <c r="O27" s="220" t="s">
        <v>344</v>
      </c>
      <c r="P27" s="220" t="s">
        <v>343</v>
      </c>
      <c r="Q27" s="220">
        <f t="shared" si="1"/>
        <v>1.43078547135817</v>
      </c>
      <c r="R27" s="220">
        <v>1130.1991141799101</v>
      </c>
      <c r="S27" s="220">
        <v>-632.60309497592596</v>
      </c>
      <c r="T27" s="220">
        <v>497.59601920398416</v>
      </c>
      <c r="U27" s="220">
        <v>243.81303067005999</v>
      </c>
      <c r="V27" s="220">
        <v>-139.41511727280499</v>
      </c>
      <c r="W27" s="220">
        <v>104.397913397255</v>
      </c>
      <c r="X27" s="220">
        <v>2.3841184289654702</v>
      </c>
      <c r="Y27" s="220">
        <v>1.1624688654734101</v>
      </c>
      <c r="Z27" s="220" t="s">
        <v>344</v>
      </c>
      <c r="AA27" s="220" t="s">
        <v>343</v>
      </c>
      <c r="AB27" s="220" t="s">
        <v>269</v>
      </c>
      <c r="AC27" s="220">
        <f t="shared" si="5"/>
        <v>605.54051989567813</v>
      </c>
      <c r="AD27" s="220">
        <f t="shared" si="2"/>
        <v>605.54051989567699</v>
      </c>
      <c r="AE27" s="220">
        <v>-2220.3152396174883</v>
      </c>
      <c r="AF27" s="748">
        <f t="shared" si="3"/>
        <v>-5.2462133949799714</v>
      </c>
      <c r="AG27" s="748">
        <f t="shared" si="4"/>
        <v>-0.52462133949799716</v>
      </c>
      <c r="AH27" s="545">
        <f>-AF27*'SE4 assorbimento CO2 ITA 2020'!$B$28</f>
        <v>565.8724789424823</v>
      </c>
    </row>
    <row r="28" spans="1:44" s="59" customFormat="1" x14ac:dyDescent="0.3">
      <c r="A28" s="745"/>
      <c r="B28" s="752" t="s">
        <v>2043</v>
      </c>
      <c r="C28" s="747">
        <v>2019</v>
      </c>
      <c r="D28" s="220">
        <v>521.62980102898928</v>
      </c>
      <c r="E28" s="220">
        <v>521.62980102898928</v>
      </c>
      <c r="F28" s="220" t="s">
        <v>343</v>
      </c>
      <c r="G28" s="220">
        <v>2.08113218511386</v>
      </c>
      <c r="H28" s="220">
        <v>-1.5527316830673299</v>
      </c>
      <c r="I28" s="220">
        <v>0.52840050204653</v>
      </c>
      <c r="J28" s="220">
        <v>0.40231077383078001</v>
      </c>
      <c r="K28" s="220">
        <v>-0.30064758277684001</v>
      </c>
      <c r="L28" s="220">
        <v>0.10166319105394001</v>
      </c>
      <c r="M28" s="220">
        <v>2.9103860279999999E-3</v>
      </c>
      <c r="N28" s="220">
        <v>1.72555121253E-3</v>
      </c>
      <c r="O28" s="220" t="s">
        <v>344</v>
      </c>
      <c r="P28" s="220" t="s">
        <v>343</v>
      </c>
      <c r="Q28" s="220">
        <f t="shared" si="1"/>
        <v>0.63469963034099997</v>
      </c>
      <c r="R28" s="220">
        <v>1085.5805676359701</v>
      </c>
      <c r="S28" s="220">
        <v>-809.95111888982103</v>
      </c>
      <c r="T28" s="220">
        <v>275.62944874614908</v>
      </c>
      <c r="U28" s="220">
        <v>209.85728890516799</v>
      </c>
      <c r="V28" s="220">
        <v>-156.82673878372799</v>
      </c>
      <c r="W28" s="220">
        <v>53.030550121440001</v>
      </c>
      <c r="X28" s="220">
        <v>1.51814408470457</v>
      </c>
      <c r="Y28" s="220">
        <v>0.90009893565580001</v>
      </c>
      <c r="Z28" s="220" t="s">
        <v>344</v>
      </c>
      <c r="AA28" s="220" t="s">
        <v>343</v>
      </c>
      <c r="AB28" s="220" t="s">
        <v>269</v>
      </c>
      <c r="AC28" s="220">
        <f t="shared" si="5"/>
        <v>331.07824188794945</v>
      </c>
      <c r="AD28" s="220">
        <f t="shared" si="2"/>
        <v>331.07824188794888</v>
      </c>
      <c r="AE28" s="220">
        <v>-1213.9535535891491</v>
      </c>
      <c r="AF28" s="748">
        <f t="shared" si="3"/>
        <v>-2.3272319779170063</v>
      </c>
      <c r="AG28" s="748">
        <f t="shared" si="4"/>
        <v>-0.23272319779170061</v>
      </c>
      <c r="AH28" s="545">
        <f>-AF28*'SE4 assorbimento CO2 ITA 2020'!$B$28</f>
        <v>251.02229537179173</v>
      </c>
    </row>
    <row r="29" spans="1:44" s="59" customFormat="1" x14ac:dyDescent="0.3">
      <c r="A29" s="745"/>
      <c r="B29" s="752" t="s">
        <v>342</v>
      </c>
      <c r="C29" s="747">
        <v>2019</v>
      </c>
      <c r="D29" s="220">
        <v>235.82188283937401</v>
      </c>
      <c r="E29" s="220">
        <v>235.82188283937401</v>
      </c>
      <c r="F29" s="220" t="s">
        <v>343</v>
      </c>
      <c r="G29" s="220">
        <v>2.2036689163491601</v>
      </c>
      <c r="H29" s="220">
        <v>-0.94445100241647995</v>
      </c>
      <c r="I29" s="220">
        <v>1.25921791393267</v>
      </c>
      <c r="J29" s="220">
        <v>0.43935011393856999</v>
      </c>
      <c r="K29" s="220">
        <v>-0.19298984685477</v>
      </c>
      <c r="L29" s="220">
        <v>0.24636026708379</v>
      </c>
      <c r="M29" s="220">
        <v>5.6773184542699999E-3</v>
      </c>
      <c r="N29" s="220">
        <v>1.42333525693E-3</v>
      </c>
      <c r="O29" s="220" t="s">
        <v>344</v>
      </c>
      <c r="P29" s="220" t="s">
        <v>343</v>
      </c>
      <c r="Q29" s="220">
        <f t="shared" si="1"/>
        <v>1.5126788347276598</v>
      </c>
      <c r="R29" s="220">
        <v>519.67335300806099</v>
      </c>
      <c r="S29" s="220">
        <v>-222.722213639389</v>
      </c>
      <c r="T29" s="220">
        <v>296.95113936867199</v>
      </c>
      <c r="U29" s="220">
        <v>103.60837109468601</v>
      </c>
      <c r="V29" s="220">
        <v>-45.511229054174699</v>
      </c>
      <c r="W29" s="220">
        <v>58.097142040511308</v>
      </c>
      <c r="X29" s="220">
        <v>1.3388359273647901</v>
      </c>
      <c r="Y29" s="220">
        <v>0.33565360020047003</v>
      </c>
      <c r="Z29" s="220" t="s">
        <v>344</v>
      </c>
      <c r="AA29" s="220" t="s">
        <v>343</v>
      </c>
      <c r="AB29" s="220" t="s">
        <v>269</v>
      </c>
      <c r="AC29" s="220">
        <f t="shared" si="5"/>
        <v>356.72277093674859</v>
      </c>
      <c r="AD29" s="220">
        <f t="shared" si="2"/>
        <v>356.722770936747</v>
      </c>
      <c r="AE29" s="220">
        <v>-1307.9834934347459</v>
      </c>
      <c r="AF29" s="748">
        <f t="shared" si="3"/>
        <v>-5.5464890606681152</v>
      </c>
      <c r="AG29" s="748">
        <f t="shared" si="4"/>
        <v>-0.55464890606681161</v>
      </c>
      <c r="AH29" s="545">
        <f>-AF29*'SE4 assorbimento CO2 ITA 2020'!$B$28</f>
        <v>598.26112242992531</v>
      </c>
    </row>
    <row r="30" spans="1:44" x14ac:dyDescent="0.3">
      <c r="A30" s="737"/>
      <c r="B30" s="751" t="s">
        <v>2044</v>
      </c>
      <c r="C30" s="357">
        <v>2019</v>
      </c>
      <c r="D30" s="214">
        <v>305.81040285767637</v>
      </c>
      <c r="E30" s="214">
        <v>305.81040285767637</v>
      </c>
      <c r="F30" s="214" t="s">
        <v>343</v>
      </c>
      <c r="G30" s="214">
        <v>1.89731410026037</v>
      </c>
      <c r="H30" s="214">
        <v>-1.34929825665977</v>
      </c>
      <c r="I30" s="214">
        <v>0.54801584360059996</v>
      </c>
      <c r="J30" s="214">
        <v>0.38858651694466001</v>
      </c>
      <c r="K30" s="214">
        <v>-0.27271990207371999</v>
      </c>
      <c r="L30" s="214">
        <v>0.11586661487093999</v>
      </c>
      <c r="M30" s="214">
        <v>1.9021059259499999E-3</v>
      </c>
      <c r="N30" s="214">
        <v>5.3104856833999996E-4</v>
      </c>
      <c r="O30" s="214" t="s">
        <v>344</v>
      </c>
      <c r="P30" s="214" t="s">
        <v>343</v>
      </c>
      <c r="Q30" s="220">
        <f t="shared" si="1"/>
        <v>0.66631561296582986</v>
      </c>
      <c r="R30" s="214">
        <v>580.21838934817504</v>
      </c>
      <c r="S30" s="214">
        <v>-412.62944344428598</v>
      </c>
      <c r="T30" s="214">
        <v>167.58894590388905</v>
      </c>
      <c r="U30" s="214">
        <v>118.833799291909</v>
      </c>
      <c r="V30" s="214">
        <v>-83.400583120470998</v>
      </c>
      <c r="W30" s="214">
        <v>35.433216171437998</v>
      </c>
      <c r="X30" s="214">
        <v>0.58168377949422001</v>
      </c>
      <c r="Y30" s="214">
        <v>0.16240017662115999</v>
      </c>
      <c r="Z30" s="214" t="s">
        <v>344</v>
      </c>
      <c r="AA30" s="214" t="s">
        <v>343</v>
      </c>
      <c r="AB30" s="214" t="s">
        <v>269</v>
      </c>
      <c r="AC30" s="220">
        <f t="shared" si="5"/>
        <v>203.76624603144245</v>
      </c>
      <c r="AD30" s="220">
        <f t="shared" si="2"/>
        <v>203.76624603144001</v>
      </c>
      <c r="AE30" s="214">
        <v>-747.14290211528964</v>
      </c>
      <c r="AF30" s="263">
        <f t="shared" si="3"/>
        <v>-2.4431572475414076</v>
      </c>
      <c r="AG30" s="263">
        <f t="shared" si="4"/>
        <v>-0.24431572475414076</v>
      </c>
      <c r="AH30" s="545">
        <f>-AF30*'SE4 assorbimento CO2 ITA 2020'!$B$28</f>
        <v>263.52634634257504</v>
      </c>
    </row>
    <row r="31" spans="1:44" s="64" customFormat="1" x14ac:dyDescent="0.3">
      <c r="A31" s="738"/>
      <c r="B31" s="753" t="s">
        <v>2045</v>
      </c>
      <c r="C31" s="357">
        <v>2019</v>
      </c>
      <c r="D31" s="319">
        <v>314.70413850263708</v>
      </c>
      <c r="E31" s="319">
        <v>314.70413850263708</v>
      </c>
      <c r="F31" s="319" t="s">
        <v>343</v>
      </c>
      <c r="G31" s="319">
        <v>2.3985273550064901</v>
      </c>
      <c r="H31" s="319">
        <v>-1.2263990840928101</v>
      </c>
      <c r="I31" s="319">
        <v>1.17212827091367</v>
      </c>
      <c r="J31" s="319">
        <v>0.46922374418983998</v>
      </c>
      <c r="K31" s="319">
        <v>-0.2448712251247</v>
      </c>
      <c r="L31" s="319">
        <v>0.22435251906514</v>
      </c>
      <c r="M31" s="319">
        <v>1.5321396937199999E-3</v>
      </c>
      <c r="N31" s="319">
        <v>5.7986680026000004E-4</v>
      </c>
      <c r="O31" s="319" t="s">
        <v>344</v>
      </c>
      <c r="P31" s="319" t="s">
        <v>343</v>
      </c>
      <c r="Q31" s="220">
        <f t="shared" ref="Q31:Q34" si="6">I31+L31+M31+N31</f>
        <v>1.39859279647279</v>
      </c>
      <c r="R31" s="319">
        <v>754.826484932325</v>
      </c>
      <c r="S31" s="319">
        <v>-385.95286721985201</v>
      </c>
      <c r="T31" s="319">
        <v>368.87361771247299</v>
      </c>
      <c r="U31" s="319">
        <v>147.66665418024499</v>
      </c>
      <c r="V31" s="319">
        <v>-77.061987946953494</v>
      </c>
      <c r="W31" s="319">
        <v>70.604666233291496</v>
      </c>
      <c r="X31" s="319">
        <v>0.48217070237676002</v>
      </c>
      <c r="Y31" s="319">
        <v>0.1824864818236</v>
      </c>
      <c r="Z31" s="319" t="s">
        <v>344</v>
      </c>
      <c r="AA31" s="319" t="s">
        <v>343</v>
      </c>
      <c r="AB31" s="319" t="s">
        <v>269</v>
      </c>
      <c r="AC31" s="220">
        <f t="shared" si="5"/>
        <v>440.14294112996487</v>
      </c>
      <c r="AD31" s="220">
        <f t="shared" si="2"/>
        <v>440.14294112996339</v>
      </c>
      <c r="AE31" s="319">
        <v>-1613.8574508098725</v>
      </c>
      <c r="AF31" s="263">
        <f t="shared" si="3"/>
        <v>-5.1281735870669172</v>
      </c>
      <c r="AG31" s="263">
        <f t="shared" si="4"/>
        <v>-0.51281735870669176</v>
      </c>
      <c r="AH31" s="545">
        <f>-AF31*'SE4 assorbimento CO2 ITA 2020'!$B$28</f>
        <v>553.14034746236177</v>
      </c>
    </row>
    <row r="32" spans="1:44" s="59" customFormat="1" x14ac:dyDescent="0.3">
      <c r="A32" s="745"/>
      <c r="B32" s="752" t="s">
        <v>2046</v>
      </c>
      <c r="C32" s="747">
        <v>2019</v>
      </c>
      <c r="D32" s="220">
        <v>126.58245137464917</v>
      </c>
      <c r="E32" s="220">
        <v>126.58245137464917</v>
      </c>
      <c r="F32" s="220" t="s">
        <v>343</v>
      </c>
      <c r="G32" s="220">
        <v>1.63073794221714</v>
      </c>
      <c r="H32" s="220">
        <v>-1.0341991598548199</v>
      </c>
      <c r="I32" s="220">
        <v>0.59653878236230995</v>
      </c>
      <c r="J32" s="220">
        <v>0.33773468307123999</v>
      </c>
      <c r="K32" s="220">
        <v>-0.22500230631406001</v>
      </c>
      <c r="L32" s="220">
        <v>0.11273237675717999</v>
      </c>
      <c r="M32" s="220">
        <v>3.3758981024499999E-3</v>
      </c>
      <c r="N32" s="220">
        <v>1.3546125252000001E-3</v>
      </c>
      <c r="O32" s="220" t="s">
        <v>344</v>
      </c>
      <c r="P32" s="220" t="s">
        <v>343</v>
      </c>
      <c r="Q32" s="220">
        <f t="shared" si="6"/>
        <v>0.71400166974713986</v>
      </c>
      <c r="R32" s="220">
        <v>206.42280627549599</v>
      </c>
      <c r="S32" s="220">
        <v>-130.91146486402599</v>
      </c>
      <c r="T32" s="220">
        <v>75.511341411469999</v>
      </c>
      <c r="U32" s="220">
        <v>42.751284097397999</v>
      </c>
      <c r="V32" s="220">
        <v>-28.4813434981839</v>
      </c>
      <c r="W32" s="220">
        <v>14.269940599214101</v>
      </c>
      <c r="X32" s="220">
        <v>0.42732945739970002</v>
      </c>
      <c r="Y32" s="220">
        <v>0.17147017410304999</v>
      </c>
      <c r="Z32" s="220" t="s">
        <v>344</v>
      </c>
      <c r="AA32" s="220" t="s">
        <v>343</v>
      </c>
      <c r="AB32" s="220" t="s">
        <v>269</v>
      </c>
      <c r="AC32" s="220">
        <f t="shared" si="5"/>
        <v>90.380081642186838</v>
      </c>
      <c r="AD32" s="220">
        <f t="shared" si="2"/>
        <v>90.380081642185644</v>
      </c>
      <c r="AE32" s="220">
        <v>-331.39363268801873</v>
      </c>
      <c r="AF32" s="748">
        <f t="shared" si="3"/>
        <v>-2.6180061224062166</v>
      </c>
      <c r="AG32" s="748">
        <f t="shared" si="4"/>
        <v>-0.26180061224062162</v>
      </c>
      <c r="AH32" s="545">
        <f>-AF32*'SE4 assorbimento CO2 ITA 2020'!$B$28</f>
        <v>282.38607598200025</v>
      </c>
    </row>
    <row r="33" spans="1:34" s="59" customFormat="1" x14ac:dyDescent="0.3">
      <c r="A33" s="745"/>
      <c r="B33" s="752" t="s">
        <v>2047</v>
      </c>
      <c r="C33" s="747">
        <v>2019</v>
      </c>
      <c r="D33" s="220">
        <v>882.00080615202501</v>
      </c>
      <c r="E33" s="220">
        <v>882.00080615202501</v>
      </c>
      <c r="F33" s="220" t="s">
        <v>343</v>
      </c>
      <c r="G33" s="220">
        <v>2.38874458462332</v>
      </c>
      <c r="H33" s="220">
        <v>-1.1812761069673099</v>
      </c>
      <c r="I33" s="220">
        <v>1.2074684776560101</v>
      </c>
      <c r="J33" s="220">
        <v>0.49479223783912002</v>
      </c>
      <c r="K33" s="220">
        <v>-0.24625058762629001</v>
      </c>
      <c r="L33" s="220">
        <v>0.24854165021281999</v>
      </c>
      <c r="M33" s="220">
        <v>1.4513906999900001E-3</v>
      </c>
      <c r="N33" s="220">
        <v>1.4480960937199999E-3</v>
      </c>
      <c r="O33" s="220" t="s">
        <v>344</v>
      </c>
      <c r="P33" s="220" t="s">
        <v>343</v>
      </c>
      <c r="Q33" s="220">
        <f t="shared" si="6"/>
        <v>1.45890961466254</v>
      </c>
      <c r="R33" s="220">
        <v>2106.87464932905</v>
      </c>
      <c r="S33" s="220">
        <v>-1041.8864786332899</v>
      </c>
      <c r="T33" s="220">
        <v>1064.9881706957601</v>
      </c>
      <c r="U33" s="220">
        <v>436.40715265186498</v>
      </c>
      <c r="V33" s="220">
        <v>-217.19321680180099</v>
      </c>
      <c r="W33" s="220">
        <v>219.21393585006399</v>
      </c>
      <c r="X33" s="220">
        <v>1.28012776743449</v>
      </c>
      <c r="Y33" s="220">
        <v>1.27722192205089</v>
      </c>
      <c r="Z33" s="220" t="s">
        <v>344</v>
      </c>
      <c r="AA33" s="220" t="s">
        <v>343</v>
      </c>
      <c r="AB33" s="220" t="s">
        <v>269</v>
      </c>
      <c r="AC33" s="220">
        <f t="shared" si="5"/>
        <v>1286.7594562353095</v>
      </c>
      <c r="AD33" s="220">
        <f t="shared" si="2"/>
        <v>1286.7594562353004</v>
      </c>
      <c r="AE33" s="220">
        <v>-4718.1180061961386</v>
      </c>
      <c r="AF33" s="748">
        <f t="shared" si="3"/>
        <v>-5.3493352537626881</v>
      </c>
      <c r="AG33" s="748">
        <f t="shared" si="4"/>
        <v>-0.53493352537626881</v>
      </c>
      <c r="AH33" s="545">
        <f>-AF33*'SE4 assorbimento CO2 ITA 2020'!$B$28</f>
        <v>576.99551521057822</v>
      </c>
    </row>
    <row r="34" spans="1:34" s="64" customFormat="1" x14ac:dyDescent="0.3">
      <c r="A34" s="738"/>
      <c r="B34" s="753" t="s">
        <v>2048</v>
      </c>
      <c r="C34" s="357">
        <v>2019</v>
      </c>
      <c r="D34" s="319">
        <v>238.92400207460952</v>
      </c>
      <c r="E34" s="319">
        <v>238.92400207460952</v>
      </c>
      <c r="F34" s="319" t="s">
        <v>343</v>
      </c>
      <c r="G34" s="319">
        <v>1.94667160324498</v>
      </c>
      <c r="H34" s="319">
        <v>-0.52744961832670001</v>
      </c>
      <c r="I34" s="319">
        <v>1.4192219849182801</v>
      </c>
      <c r="J34" s="319">
        <v>0.38973195130743998</v>
      </c>
      <c r="K34" s="319">
        <v>-0.11164004186201</v>
      </c>
      <c r="L34" s="319">
        <v>0.27809190944543</v>
      </c>
      <c r="M34" s="319">
        <v>5.0072326013200002E-3</v>
      </c>
      <c r="N34" s="319">
        <v>1.9989044986999998E-3</v>
      </c>
      <c r="O34" s="319" t="s">
        <v>344</v>
      </c>
      <c r="P34" s="319" t="s">
        <v>343</v>
      </c>
      <c r="Q34" s="220">
        <f t="shared" si="6"/>
        <v>1.7043200314637301</v>
      </c>
      <c r="R34" s="319">
        <v>465.10657017228601</v>
      </c>
      <c r="S34" s="319">
        <v>-126.02037370334</v>
      </c>
      <c r="T34" s="319">
        <v>339.08619646894601</v>
      </c>
      <c r="U34" s="319">
        <v>93.116317542721404</v>
      </c>
      <c r="V34" s="319">
        <v>-26.673485593448302</v>
      </c>
      <c r="W34" s="319">
        <v>66.442831949273099</v>
      </c>
      <c r="X34" s="319">
        <v>1.19634805242561</v>
      </c>
      <c r="Y34" s="319">
        <v>0.47758626259391002</v>
      </c>
      <c r="Z34" s="319" t="s">
        <v>344</v>
      </c>
      <c r="AA34" s="319" t="s">
        <v>343</v>
      </c>
      <c r="AB34" s="319" t="s">
        <v>269</v>
      </c>
      <c r="AC34" s="220">
        <f t="shared" si="5"/>
        <v>407.20296273323862</v>
      </c>
      <c r="AD34" s="220">
        <f t="shared" si="2"/>
        <v>407.20296273323879</v>
      </c>
      <c r="AE34" s="319">
        <v>-1493.0775300218763</v>
      </c>
      <c r="AF34" s="263">
        <f t="shared" si="3"/>
        <v>-6.249173448700347</v>
      </c>
      <c r="AG34" s="263">
        <f t="shared" si="4"/>
        <v>-0.6249173448700347</v>
      </c>
      <c r="AH34" s="545">
        <f>-AF34*'SE4 assorbimento CO2 ITA 2020'!$B$28</f>
        <v>674.05479047828692</v>
      </c>
    </row>
    <row r="35" spans="1:34" ht="17.399999999999999" x14ac:dyDescent="0.3">
      <c r="A35" s="740"/>
      <c r="B35" s="741"/>
      <c r="C35" s="742"/>
      <c r="D35" s="739"/>
      <c r="E35" s="739"/>
      <c r="F35" s="739"/>
      <c r="G35" s="739"/>
      <c r="H35" s="739"/>
      <c r="I35" s="739"/>
      <c r="J35" s="739"/>
      <c r="K35" s="739"/>
      <c r="L35" s="739"/>
      <c r="M35" s="739"/>
      <c r="N35" s="739"/>
      <c r="O35" s="739"/>
      <c r="P35" s="739"/>
      <c r="Q35" s="739"/>
      <c r="R35" s="739"/>
      <c r="S35" s="739"/>
      <c r="T35" s="739"/>
      <c r="U35" s="739"/>
      <c r="V35" s="739"/>
      <c r="W35" s="739"/>
      <c r="X35" s="739"/>
      <c r="Y35" s="739"/>
      <c r="Z35" s="739"/>
      <c r="AA35" s="739"/>
      <c r="AB35" s="739"/>
      <c r="AC35" s="739"/>
      <c r="AD35" s="739"/>
      <c r="AE35" s="739"/>
      <c r="AF35" s="743"/>
      <c r="AG35" s="744"/>
    </row>
    <row r="36" spans="1:34" x14ac:dyDescent="0.3">
      <c r="A36" s="224"/>
      <c r="B36" s="224"/>
      <c r="C36" s="224"/>
      <c r="D36" s="224"/>
      <c r="E36" s="224"/>
      <c r="F36" s="224"/>
      <c r="G36" s="224"/>
    </row>
    <row r="37" spans="1:34" x14ac:dyDescent="0.3">
      <c r="A37" s="224" t="s">
        <v>1083</v>
      </c>
      <c r="B37" s="360"/>
      <c r="C37" s="360"/>
      <c r="D37" s="360"/>
      <c r="E37" s="360"/>
      <c r="F37" s="360"/>
      <c r="G37" s="360"/>
    </row>
    <row r="38" spans="1:34" ht="21" x14ac:dyDescent="0.4">
      <c r="A38" s="147" t="s">
        <v>185</v>
      </c>
      <c r="B38" s="91"/>
      <c r="C38" s="91"/>
      <c r="D38" s="91"/>
      <c r="E38" s="91"/>
      <c r="F38" s="91"/>
      <c r="G38" s="91"/>
      <c r="H38" s="91"/>
      <c r="I38" s="91"/>
      <c r="J38" s="91"/>
      <c r="K38" s="91"/>
      <c r="L38" s="91"/>
      <c r="M38" s="91"/>
      <c r="N38" s="91"/>
      <c r="O38" s="91"/>
      <c r="P38" s="91"/>
      <c r="Q38" s="91"/>
      <c r="R38" s="91"/>
      <c r="S38" s="91"/>
      <c r="T38" s="91"/>
      <c r="U38" s="91"/>
      <c r="V38" s="91"/>
      <c r="W38" s="91"/>
      <c r="X38" s="91"/>
      <c r="Y38" s="91"/>
      <c r="Z38" s="91"/>
      <c r="AA38" s="91"/>
    </row>
    <row r="39" spans="1:34" x14ac:dyDescent="0.3">
      <c r="A39" s="63" t="s">
        <v>111</v>
      </c>
      <c r="H39" s="91"/>
      <c r="I39" s="91"/>
      <c r="J39" s="91"/>
      <c r="K39" s="91"/>
      <c r="L39" s="91"/>
      <c r="M39" s="91"/>
      <c r="N39" s="91"/>
      <c r="O39" s="91"/>
      <c r="P39" s="91"/>
      <c r="Q39" s="91"/>
      <c r="R39" s="91"/>
      <c r="S39" s="91"/>
      <c r="T39" s="91"/>
      <c r="U39" s="91"/>
      <c r="V39" s="91"/>
      <c r="W39" s="91"/>
      <c r="X39" s="91"/>
      <c r="Y39" s="91"/>
      <c r="Z39" s="91"/>
      <c r="AA39" s="91"/>
    </row>
    <row r="40" spans="1:34" x14ac:dyDescent="0.3">
      <c r="A40" s="1218" t="s">
        <v>173</v>
      </c>
      <c r="B40" s="1186"/>
      <c r="C40" s="1186"/>
      <c r="D40" s="1186"/>
      <c r="E40" s="1186"/>
      <c r="F40" s="1186"/>
      <c r="G40" s="1186"/>
      <c r="H40" s="91"/>
      <c r="I40" s="91"/>
      <c r="J40" s="91"/>
      <c r="K40" s="91"/>
      <c r="L40" s="91"/>
      <c r="M40" s="91"/>
      <c r="N40" s="91"/>
      <c r="O40" s="91"/>
      <c r="P40" s="91"/>
      <c r="Q40" s="91"/>
      <c r="R40" s="91"/>
      <c r="S40" s="91"/>
      <c r="T40" s="91"/>
      <c r="U40" s="91"/>
      <c r="V40" s="91"/>
      <c r="W40" s="91"/>
      <c r="X40" s="91"/>
      <c r="Y40" s="91"/>
      <c r="Z40" s="91"/>
      <c r="AA40" s="91"/>
    </row>
    <row r="41" spans="1:34" ht="93.75" customHeight="1" x14ac:dyDescent="0.3">
      <c r="A41" s="1186" t="s">
        <v>145</v>
      </c>
      <c r="B41" s="1186"/>
      <c r="C41" s="1186"/>
      <c r="D41" s="1186"/>
      <c r="E41" s="1186"/>
      <c r="F41" s="1186"/>
      <c r="G41" s="1186"/>
      <c r="H41" s="1186"/>
      <c r="I41" s="1186"/>
      <c r="J41" s="1186"/>
      <c r="K41" s="91"/>
      <c r="L41" s="91"/>
      <c r="M41" s="91"/>
      <c r="N41" s="91"/>
      <c r="O41" s="91"/>
      <c r="P41" s="91"/>
      <c r="Q41" s="91"/>
      <c r="R41" s="91"/>
      <c r="S41" s="91"/>
      <c r="T41" s="91"/>
      <c r="U41" s="91"/>
      <c r="V41" s="91"/>
      <c r="W41" s="91"/>
      <c r="X41" s="91"/>
      <c r="Y41" s="91"/>
      <c r="Z41" s="91"/>
      <c r="AA41" s="91"/>
    </row>
    <row r="42" spans="1:34" x14ac:dyDescent="0.3">
      <c r="A42" s="77" t="s">
        <v>128</v>
      </c>
      <c r="B42" s="59"/>
      <c r="C42" s="59"/>
      <c r="F42" s="67"/>
      <c r="G42" s="67"/>
      <c r="H42" s="91"/>
      <c r="I42" s="91"/>
      <c r="J42" s="91"/>
      <c r="K42" s="91"/>
      <c r="L42" s="91"/>
      <c r="M42" s="91"/>
      <c r="N42" s="91"/>
      <c r="O42" s="91"/>
      <c r="P42" s="91"/>
      <c r="Q42" s="91"/>
      <c r="R42" s="91"/>
      <c r="S42" s="91"/>
      <c r="T42" s="91"/>
      <c r="U42" s="91"/>
      <c r="V42" s="91"/>
      <c r="W42" s="91"/>
      <c r="X42" s="91"/>
      <c r="Y42" s="91"/>
      <c r="Z42" s="91"/>
      <c r="AA42" s="91"/>
    </row>
    <row r="43" spans="1:34" x14ac:dyDescent="0.3">
      <c r="A43" s="77" t="s">
        <v>115</v>
      </c>
      <c r="B43" s="266">
        <f>(B44+B45)/2</f>
        <v>3.3250000000000002</v>
      </c>
      <c r="C43" s="59" t="s">
        <v>117</v>
      </c>
      <c r="D43" s="84">
        <f>(1000*B43/3.66667)/10000</f>
        <v>9.0681735743876599E-2</v>
      </c>
      <c r="E43" t="s">
        <v>146</v>
      </c>
      <c r="F43" s="265">
        <f>D43*3.66</f>
        <v>0.33189515282258836</v>
      </c>
      <c r="G43" s="59" t="s">
        <v>168</v>
      </c>
      <c r="H43" s="91"/>
      <c r="I43" s="91"/>
      <c r="J43" s="91"/>
      <c r="K43" s="91"/>
      <c r="L43" s="91"/>
      <c r="M43" s="91"/>
      <c r="N43" s="91"/>
      <c r="O43" s="91"/>
      <c r="P43" s="91"/>
      <c r="Q43" s="91"/>
      <c r="R43" s="91"/>
      <c r="S43" s="91"/>
      <c r="T43" s="91"/>
      <c r="U43" s="91"/>
      <c r="V43" s="91"/>
      <c r="W43" s="91"/>
      <c r="X43" s="91"/>
      <c r="Y43" s="91"/>
      <c r="Z43" s="91"/>
      <c r="AA43" s="91"/>
    </row>
    <row r="44" spans="1:34" x14ac:dyDescent="0.3">
      <c r="A44" s="69" t="s">
        <v>67</v>
      </c>
      <c r="B44" s="70">
        <f>320/100</f>
        <v>3.2</v>
      </c>
      <c r="C44" t="s">
        <v>117</v>
      </c>
      <c r="F44" s="67" t="s">
        <v>169</v>
      </c>
      <c r="G44" s="67"/>
      <c r="H44" s="91"/>
      <c r="I44" s="91"/>
      <c r="J44" s="91"/>
      <c r="K44" s="91"/>
      <c r="L44" s="91"/>
      <c r="M44" s="91"/>
      <c r="N44" s="91"/>
      <c r="O44" s="91"/>
      <c r="P44" s="91"/>
      <c r="Q44" s="91"/>
      <c r="R44" s="91"/>
      <c r="S44" s="91"/>
      <c r="T44" s="91"/>
      <c r="U44" s="91"/>
      <c r="V44" s="91"/>
      <c r="W44" s="91"/>
      <c r="X44" s="91"/>
      <c r="Y44" s="91"/>
      <c r="Z44" s="91"/>
      <c r="AA44" s="91"/>
    </row>
    <row r="45" spans="1:34" x14ac:dyDescent="0.3">
      <c r="A45" s="69" t="s">
        <v>46</v>
      </c>
      <c r="B45" s="69">
        <f>345/100</f>
        <v>3.45</v>
      </c>
      <c r="C45" t="s">
        <v>117</v>
      </c>
      <c r="D45" s="64"/>
      <c r="E45" s="64"/>
      <c r="F45" s="64"/>
      <c r="G45" s="64"/>
      <c r="H45" s="90"/>
      <c r="I45" s="90"/>
      <c r="J45" s="90"/>
      <c r="K45" s="90"/>
      <c r="L45" s="91"/>
      <c r="M45" s="91"/>
      <c r="N45" s="91"/>
      <c r="O45" s="91"/>
      <c r="P45" s="91"/>
      <c r="Q45" s="91"/>
      <c r="R45" s="91"/>
      <c r="S45" s="91"/>
      <c r="T45" s="91"/>
      <c r="U45" s="91"/>
      <c r="V45" s="91"/>
      <c r="W45" s="91"/>
      <c r="X45" s="91"/>
      <c r="Y45" s="91"/>
      <c r="Z45" s="91"/>
      <c r="AA45" s="91"/>
    </row>
    <row r="46" spans="1:34" x14ac:dyDescent="0.3">
      <c r="A46" s="69" t="s">
        <v>1085</v>
      </c>
      <c r="B46" s="69"/>
      <c r="D46" s="361"/>
      <c r="E46" s="64"/>
      <c r="F46" s="64"/>
      <c r="G46" s="64"/>
      <c r="H46" s="90"/>
      <c r="I46" s="90"/>
      <c r="J46" s="90"/>
      <c r="K46" s="90"/>
      <c r="L46" s="91"/>
      <c r="M46" s="91"/>
      <c r="N46" s="91"/>
      <c r="O46" s="91"/>
      <c r="P46" s="91"/>
      <c r="Q46" s="91"/>
      <c r="R46" s="91"/>
      <c r="S46" s="91"/>
      <c r="T46" s="91"/>
      <c r="U46" s="91"/>
      <c r="V46" s="91"/>
      <c r="W46" s="91"/>
      <c r="X46" s="91"/>
      <c r="Y46" s="91"/>
      <c r="Z46" s="91"/>
      <c r="AA46" s="91"/>
    </row>
    <row r="47" spans="1:34" x14ac:dyDescent="0.3">
      <c r="A47" s="91" t="s">
        <v>1086</v>
      </c>
      <c r="B47" s="91"/>
      <c r="C47" s="91"/>
      <c r="D47" s="91"/>
      <c r="E47" s="91"/>
      <c r="F47" s="91"/>
      <c r="G47" s="91"/>
      <c r="H47" s="91"/>
      <c r="I47" s="91"/>
      <c r="J47" s="91"/>
      <c r="K47" s="91"/>
      <c r="L47" s="91"/>
      <c r="M47" s="91"/>
      <c r="N47" s="91"/>
      <c r="O47" s="91"/>
      <c r="P47" s="91"/>
      <c r="Q47" s="91"/>
      <c r="R47" s="91"/>
      <c r="S47" s="91"/>
      <c r="T47" s="91"/>
      <c r="U47" s="91"/>
      <c r="V47" s="91"/>
      <c r="W47" s="91"/>
      <c r="X47" s="91"/>
      <c r="Y47" s="91"/>
      <c r="Z47" s="91"/>
      <c r="AA47" s="91"/>
    </row>
    <row r="48" spans="1:34" x14ac:dyDescent="0.3">
      <c r="A48" s="91" t="s">
        <v>1087</v>
      </c>
      <c r="B48" s="91"/>
      <c r="C48" s="91"/>
      <c r="D48" s="91"/>
      <c r="E48" s="91"/>
      <c r="F48" s="91"/>
      <c r="G48" s="91"/>
      <c r="H48" s="91"/>
      <c r="I48" s="91"/>
      <c r="J48" s="91"/>
      <c r="K48" s="91"/>
      <c r="L48" s="91"/>
      <c r="M48" s="91"/>
      <c r="N48" s="91"/>
      <c r="O48" s="91"/>
      <c r="P48" s="91"/>
      <c r="Q48" s="91"/>
      <c r="R48" s="91"/>
      <c r="S48" s="91"/>
      <c r="T48" s="91"/>
      <c r="U48" s="91"/>
      <c r="V48" s="91"/>
      <c r="W48" s="91"/>
      <c r="X48" s="91"/>
      <c r="Y48" s="91"/>
      <c r="Z48" s="91"/>
      <c r="AA48" s="91"/>
    </row>
    <row r="49" spans="1:27" x14ac:dyDescent="0.3">
      <c r="A49" s="9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row>
    <row r="50" spans="1:27" x14ac:dyDescent="0.3">
      <c r="A50" s="91"/>
      <c r="B50" s="91"/>
      <c r="C50" s="91"/>
      <c r="D50" s="91"/>
      <c r="E50" s="91"/>
      <c r="F50" s="91"/>
      <c r="G50" s="91"/>
      <c r="H50" s="91"/>
      <c r="I50" s="91"/>
      <c r="J50" s="91"/>
      <c r="K50" s="91"/>
      <c r="L50" s="91"/>
      <c r="M50" s="91"/>
      <c r="N50" s="91"/>
      <c r="O50" s="91"/>
      <c r="P50" s="91"/>
      <c r="Q50" s="91"/>
      <c r="R50" s="91"/>
      <c r="S50" s="91"/>
      <c r="T50" s="91"/>
      <c r="U50" s="91"/>
      <c r="V50" s="91"/>
      <c r="W50" s="91"/>
      <c r="X50" s="91"/>
      <c r="Y50" s="91"/>
      <c r="Z50" s="91"/>
      <c r="AA50" s="91"/>
    </row>
    <row r="51" spans="1:27" x14ac:dyDescent="0.3">
      <c r="A51" s="91"/>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row>
    <row r="52" spans="1:27" x14ac:dyDescent="0.3">
      <c r="A52" s="91"/>
      <c r="B52" s="91"/>
      <c r="C52" s="91"/>
      <c r="D52" s="91"/>
      <c r="E52" s="91"/>
      <c r="F52" s="91"/>
      <c r="G52" s="91"/>
      <c r="H52" s="91"/>
      <c r="I52" s="91"/>
      <c r="J52" s="91"/>
      <c r="K52" s="91"/>
      <c r="L52" s="91"/>
      <c r="M52" s="91"/>
      <c r="N52" s="91"/>
      <c r="O52" s="91"/>
      <c r="P52" s="91"/>
      <c r="Q52" s="91"/>
      <c r="R52" s="91"/>
      <c r="S52" s="91"/>
      <c r="T52" s="91"/>
      <c r="U52" s="91"/>
      <c r="V52" s="91"/>
      <c r="W52" s="91"/>
      <c r="X52" s="91"/>
      <c r="Y52" s="91"/>
      <c r="Z52" s="91"/>
      <c r="AA52" s="91"/>
    </row>
    <row r="53" spans="1:27" x14ac:dyDescent="0.3">
      <c r="A53" s="91"/>
      <c r="B53" s="91"/>
      <c r="C53" s="91"/>
      <c r="D53" s="91"/>
      <c r="E53" s="91"/>
      <c r="F53" s="91"/>
      <c r="G53" s="91"/>
      <c r="H53" s="91"/>
      <c r="I53" s="91"/>
      <c r="J53" s="91"/>
      <c r="K53" s="91"/>
      <c r="L53" s="91"/>
      <c r="M53" s="91"/>
      <c r="N53" s="91"/>
      <c r="O53" s="91"/>
      <c r="P53" s="91"/>
      <c r="Q53" s="91"/>
      <c r="R53" s="91"/>
      <c r="S53" s="91"/>
      <c r="T53" s="91"/>
      <c r="U53" s="91"/>
      <c r="V53" s="91"/>
      <c r="W53" s="91"/>
      <c r="X53" s="91"/>
      <c r="Y53" s="91"/>
      <c r="Z53" s="91"/>
      <c r="AA53" s="91"/>
    </row>
    <row r="54" spans="1:27" x14ac:dyDescent="0.3">
      <c r="A54" s="91"/>
      <c r="B54" s="91"/>
      <c r="C54" s="91"/>
      <c r="D54" s="91"/>
      <c r="E54" s="91"/>
      <c r="F54" s="91"/>
      <c r="G54" s="91"/>
      <c r="H54" s="91"/>
      <c r="I54" s="91"/>
      <c r="J54" s="91"/>
      <c r="K54" s="91"/>
      <c r="L54" s="91"/>
      <c r="M54" s="91"/>
      <c r="N54" s="91"/>
      <c r="O54" s="91"/>
      <c r="P54" s="91"/>
      <c r="Q54" s="91"/>
      <c r="R54" s="91"/>
      <c r="S54" s="91"/>
      <c r="T54" s="91"/>
      <c r="U54" s="91"/>
      <c r="V54" s="91"/>
      <c r="W54" s="91"/>
      <c r="X54" s="91"/>
      <c r="Y54" s="91"/>
      <c r="Z54" s="91"/>
      <c r="AA54" s="91"/>
    </row>
    <row r="55" spans="1:27" x14ac:dyDescent="0.3">
      <c r="A55" s="91"/>
      <c r="B55" s="91"/>
      <c r="C55" s="91"/>
      <c r="D55" s="91"/>
      <c r="E55" s="91"/>
      <c r="F55" s="91"/>
      <c r="G55" s="91"/>
      <c r="H55" s="91"/>
      <c r="I55" s="91"/>
      <c r="J55" s="91"/>
      <c r="K55" s="91"/>
      <c r="L55" s="91"/>
      <c r="M55" s="91"/>
      <c r="N55" s="91"/>
      <c r="O55" s="91"/>
      <c r="P55" s="91"/>
      <c r="Q55" s="91"/>
      <c r="R55" s="91"/>
      <c r="S55" s="91"/>
      <c r="T55" s="91"/>
      <c r="U55" s="91"/>
      <c r="V55" s="91"/>
      <c r="W55" s="91"/>
      <c r="X55" s="91"/>
      <c r="Y55" s="91"/>
      <c r="Z55" s="91"/>
      <c r="AA55" s="91"/>
    </row>
    <row r="56" spans="1:27" x14ac:dyDescent="0.3">
      <c r="A56" s="91"/>
      <c r="B56" s="91"/>
      <c r="C56" s="91"/>
      <c r="D56" s="91"/>
      <c r="E56" s="91"/>
      <c r="F56" s="91"/>
      <c r="G56" s="91"/>
      <c r="H56" s="91"/>
      <c r="I56" s="91"/>
      <c r="J56" s="91"/>
      <c r="K56" s="91"/>
      <c r="L56" s="91"/>
      <c r="M56" s="91"/>
      <c r="N56" s="91"/>
      <c r="O56" s="91"/>
      <c r="P56" s="91"/>
      <c r="Q56" s="91"/>
      <c r="R56" s="91"/>
      <c r="S56" s="91"/>
      <c r="T56" s="91"/>
      <c r="U56" s="91"/>
      <c r="V56" s="91"/>
      <c r="W56" s="91"/>
      <c r="X56" s="91"/>
      <c r="Y56" s="91"/>
      <c r="Z56" s="91"/>
      <c r="AA56" s="91"/>
    </row>
    <row r="57" spans="1:27" x14ac:dyDescent="0.3">
      <c r="A57" s="91"/>
      <c r="B57" s="91"/>
      <c r="C57" s="91"/>
      <c r="D57" s="91"/>
      <c r="E57" s="91"/>
      <c r="F57" s="91"/>
      <c r="G57" s="91"/>
      <c r="H57" s="91"/>
      <c r="I57" s="91"/>
      <c r="J57" s="91"/>
      <c r="K57" s="91"/>
      <c r="L57" s="91"/>
      <c r="M57" s="91"/>
      <c r="N57" s="91"/>
      <c r="O57" s="91"/>
      <c r="P57" s="91"/>
      <c r="Q57" s="91"/>
      <c r="R57" s="91"/>
      <c r="S57" s="91"/>
      <c r="T57" s="91"/>
      <c r="U57" s="91"/>
      <c r="V57" s="91"/>
      <c r="W57" s="91"/>
      <c r="X57" s="91"/>
      <c r="Y57" s="91"/>
      <c r="Z57" s="91"/>
      <c r="AA57" s="91"/>
    </row>
    <row r="58" spans="1:27" ht="24.6" customHeight="1" x14ac:dyDescent="0.3"/>
    <row r="59" spans="1:27" ht="45.6" customHeight="1" x14ac:dyDescent="0.3"/>
    <row r="60" spans="1:27" ht="14.4" customHeight="1" x14ac:dyDescent="0.3"/>
    <row r="75" spans="1:27" x14ac:dyDescent="0.3">
      <c r="A75" s="91"/>
      <c r="B75" s="91"/>
      <c r="C75" s="91"/>
      <c r="D75" s="91"/>
      <c r="E75" s="91"/>
      <c r="F75" s="91"/>
      <c r="G75" s="91"/>
      <c r="H75" s="91"/>
      <c r="I75" s="91"/>
      <c r="J75" s="91"/>
      <c r="K75" s="91"/>
      <c r="L75" s="91"/>
      <c r="M75" s="91"/>
      <c r="N75" s="91"/>
      <c r="O75" s="91"/>
      <c r="P75" s="91"/>
      <c r="Q75" s="91"/>
      <c r="R75" s="91"/>
      <c r="S75" s="91"/>
      <c r="T75" s="91"/>
      <c r="U75" s="91"/>
      <c r="V75" s="91"/>
      <c r="W75" s="91"/>
      <c r="X75" s="91"/>
      <c r="Y75" s="91"/>
      <c r="Z75" s="91"/>
      <c r="AA75" s="91"/>
    </row>
    <row r="76" spans="1:27" x14ac:dyDescent="0.3">
      <c r="A76" s="91"/>
      <c r="B76" s="91"/>
      <c r="C76" s="91"/>
      <c r="D76" s="91"/>
      <c r="E76" s="91"/>
      <c r="F76" s="91"/>
      <c r="G76" s="91"/>
      <c r="H76" s="91"/>
      <c r="I76" s="91"/>
      <c r="J76" s="91"/>
      <c r="K76" s="91"/>
      <c r="L76" s="91"/>
      <c r="M76" s="91"/>
      <c r="N76" s="91"/>
      <c r="O76" s="91"/>
      <c r="P76" s="91"/>
      <c r="Q76" s="91"/>
      <c r="R76" s="91"/>
      <c r="S76" s="91"/>
      <c r="T76" s="91"/>
      <c r="U76" s="91"/>
      <c r="V76" s="91"/>
      <c r="W76" s="91"/>
      <c r="X76" s="91"/>
      <c r="Y76" s="91"/>
      <c r="Z76" s="91"/>
      <c r="AA76" s="91"/>
    </row>
    <row r="77" spans="1:27" x14ac:dyDescent="0.3">
      <c r="A77" s="91"/>
      <c r="B77" s="91"/>
      <c r="C77" s="91"/>
      <c r="D77" s="91"/>
      <c r="E77" s="91"/>
      <c r="F77" s="91"/>
      <c r="G77" s="91"/>
      <c r="H77" s="91"/>
      <c r="I77" s="91"/>
      <c r="J77" s="91"/>
      <c r="K77" s="91"/>
      <c r="L77" s="91"/>
      <c r="M77" s="91"/>
      <c r="N77" s="91"/>
      <c r="O77" s="91"/>
      <c r="P77" s="91"/>
      <c r="Q77" s="91"/>
      <c r="R77" s="91"/>
      <c r="S77" s="91"/>
      <c r="T77" s="91"/>
      <c r="U77" s="91"/>
      <c r="V77" s="91"/>
      <c r="W77" s="91"/>
      <c r="X77" s="91"/>
      <c r="Y77" s="91"/>
      <c r="Z77" s="91"/>
      <c r="AA77" s="91"/>
    </row>
    <row r="78" spans="1:27" x14ac:dyDescent="0.3">
      <c r="A78" s="91"/>
      <c r="B78" s="91"/>
      <c r="C78" s="91"/>
      <c r="D78" s="91"/>
      <c r="E78" s="91"/>
      <c r="F78" s="91"/>
      <c r="G78" s="91"/>
      <c r="H78" s="91"/>
      <c r="I78" s="91"/>
      <c r="J78" s="91"/>
      <c r="K78" s="91"/>
      <c r="L78" s="91"/>
      <c r="M78" s="91"/>
      <c r="N78" s="91"/>
      <c r="O78" s="91"/>
      <c r="P78" s="91"/>
      <c r="Q78" s="91"/>
      <c r="R78" s="91"/>
      <c r="S78" s="91"/>
      <c r="T78" s="91"/>
      <c r="U78" s="91"/>
      <c r="V78" s="91"/>
      <c r="W78" s="91"/>
      <c r="X78" s="91"/>
      <c r="Y78" s="91"/>
      <c r="Z78" s="91"/>
      <c r="AA78" s="91"/>
    </row>
    <row r="79" spans="1:27" x14ac:dyDescent="0.3">
      <c r="A79" s="91"/>
      <c r="B79" s="91"/>
      <c r="C79" s="91"/>
      <c r="D79" s="91"/>
      <c r="E79" s="91"/>
      <c r="F79" s="91"/>
      <c r="G79" s="91"/>
      <c r="H79" s="91"/>
      <c r="I79" s="91"/>
      <c r="J79" s="91"/>
      <c r="K79" s="91"/>
      <c r="L79" s="91"/>
      <c r="M79" s="91"/>
      <c r="N79" s="91"/>
      <c r="O79" s="91"/>
      <c r="P79" s="91"/>
      <c r="Q79" s="91"/>
      <c r="R79" s="91"/>
      <c r="S79" s="91"/>
      <c r="T79" s="91"/>
      <c r="U79" s="91"/>
      <c r="V79" s="91"/>
      <c r="W79" s="91"/>
      <c r="X79" s="91"/>
      <c r="Y79" s="91"/>
      <c r="Z79" s="91"/>
      <c r="AA79" s="91"/>
    </row>
    <row r="80" spans="1:27" x14ac:dyDescent="0.3">
      <c r="A80" s="91"/>
      <c r="B80" s="91"/>
      <c r="C80" s="91"/>
      <c r="D80" s="91"/>
      <c r="E80" s="91"/>
      <c r="F80" s="91"/>
      <c r="G80" s="91"/>
      <c r="H80" s="91"/>
      <c r="I80" s="91"/>
      <c r="J80" s="91"/>
      <c r="K80" s="91"/>
      <c r="L80" s="91"/>
      <c r="M80" s="91"/>
      <c r="N80" s="91"/>
      <c r="O80" s="91"/>
      <c r="P80" s="91"/>
      <c r="Q80" s="91"/>
      <c r="R80" s="91"/>
      <c r="S80" s="91"/>
      <c r="T80" s="91"/>
      <c r="U80" s="91"/>
      <c r="V80" s="91"/>
      <c r="W80" s="91"/>
      <c r="X80" s="91"/>
      <c r="Y80" s="91"/>
      <c r="Z80" s="91"/>
      <c r="AA80" s="91"/>
    </row>
    <row r="81" spans="1:27" x14ac:dyDescent="0.3">
      <c r="A81" s="91"/>
      <c r="B81" s="91"/>
      <c r="C81" s="91"/>
      <c r="D81" s="91"/>
      <c r="E81" s="91"/>
      <c r="F81" s="91"/>
      <c r="G81" s="91"/>
      <c r="H81" s="91"/>
      <c r="I81" s="91"/>
      <c r="J81" s="91"/>
      <c r="K81" s="91"/>
      <c r="L81" s="91"/>
      <c r="M81" s="91"/>
      <c r="N81" s="91"/>
      <c r="O81" s="91"/>
      <c r="P81" s="91"/>
      <c r="Q81" s="91"/>
      <c r="R81" s="91"/>
      <c r="S81" s="91"/>
      <c r="T81" s="91"/>
      <c r="U81" s="91"/>
      <c r="V81" s="91"/>
      <c r="W81" s="91"/>
      <c r="X81" s="91"/>
      <c r="Y81" s="91"/>
      <c r="Z81" s="91"/>
      <c r="AA81" s="91"/>
    </row>
    <row r="82" spans="1:27" x14ac:dyDescent="0.3">
      <c r="A82" s="91"/>
      <c r="B82" s="91"/>
      <c r="C82" s="91"/>
      <c r="D82" s="91"/>
      <c r="E82" s="91"/>
      <c r="F82" s="91"/>
      <c r="G82" s="91"/>
      <c r="H82" s="91"/>
      <c r="I82" s="91"/>
      <c r="J82" s="91"/>
      <c r="K82" s="91"/>
      <c r="L82" s="91"/>
      <c r="M82" s="91"/>
      <c r="N82" s="91"/>
      <c r="O82" s="91"/>
      <c r="P82" s="91"/>
      <c r="Q82" s="91"/>
      <c r="R82" s="91"/>
      <c r="S82" s="91"/>
      <c r="T82" s="91"/>
      <c r="U82" s="91"/>
      <c r="V82" s="91"/>
      <c r="W82" s="91"/>
      <c r="X82" s="91"/>
      <c r="Y82" s="91"/>
      <c r="Z82" s="91"/>
      <c r="AA82" s="91"/>
    </row>
    <row r="83" spans="1:27" x14ac:dyDescent="0.3">
      <c r="A83" s="91"/>
      <c r="B83" s="91"/>
      <c r="C83" s="91"/>
      <c r="D83" s="91"/>
      <c r="E83" s="91"/>
      <c r="F83" s="91"/>
      <c r="G83" s="91"/>
      <c r="H83" s="91"/>
      <c r="I83" s="91"/>
      <c r="J83" s="91"/>
      <c r="K83" s="91"/>
      <c r="L83" s="91"/>
      <c r="M83" s="91"/>
      <c r="N83" s="91"/>
      <c r="O83" s="91"/>
      <c r="P83" s="91"/>
      <c r="Q83" s="91"/>
      <c r="R83" s="91"/>
      <c r="S83" s="91"/>
      <c r="T83" s="91"/>
      <c r="U83" s="91"/>
      <c r="V83" s="91"/>
      <c r="W83" s="91"/>
      <c r="X83" s="91"/>
      <c r="Y83" s="91"/>
      <c r="Z83" s="91"/>
      <c r="AA83" s="91"/>
    </row>
    <row r="84" spans="1:27" x14ac:dyDescent="0.3">
      <c r="A84" s="91"/>
      <c r="B84" s="91"/>
      <c r="C84" s="91"/>
      <c r="D84" s="91"/>
      <c r="E84" s="91"/>
      <c r="F84" s="91"/>
      <c r="G84" s="91"/>
      <c r="H84" s="91"/>
      <c r="I84" s="91"/>
      <c r="J84" s="91"/>
      <c r="K84" s="91"/>
      <c r="L84" s="91"/>
      <c r="M84" s="91"/>
      <c r="N84" s="91"/>
      <c r="O84" s="91"/>
      <c r="P84" s="91"/>
      <c r="Q84" s="91"/>
      <c r="R84" s="91"/>
      <c r="S84" s="91"/>
      <c r="T84" s="91"/>
      <c r="U84" s="91"/>
      <c r="V84" s="91"/>
      <c r="W84" s="91"/>
      <c r="X84" s="91"/>
      <c r="Y84" s="91"/>
      <c r="Z84" s="91"/>
      <c r="AA84" s="91"/>
    </row>
    <row r="85" spans="1:27" x14ac:dyDescent="0.3">
      <c r="A85" s="91"/>
      <c r="B85" s="91"/>
      <c r="C85" s="91"/>
      <c r="D85" s="91"/>
      <c r="E85" s="91"/>
      <c r="F85" s="91"/>
      <c r="G85" s="91"/>
      <c r="H85" s="91"/>
      <c r="I85" s="91"/>
      <c r="J85" s="91"/>
      <c r="K85" s="91"/>
      <c r="L85" s="91"/>
      <c r="M85" s="91"/>
      <c r="N85" s="91"/>
      <c r="O85" s="91"/>
      <c r="P85" s="91"/>
      <c r="Q85" s="91"/>
      <c r="R85" s="91"/>
      <c r="S85" s="91"/>
      <c r="T85" s="91"/>
      <c r="U85" s="91"/>
      <c r="V85" s="91"/>
      <c r="W85" s="91"/>
      <c r="X85" s="91"/>
      <c r="Y85" s="91"/>
      <c r="Z85" s="91"/>
      <c r="AA85" s="91"/>
    </row>
    <row r="86" spans="1:27" x14ac:dyDescent="0.3">
      <c r="A86" s="91"/>
      <c r="B86" s="91"/>
      <c r="C86" s="91"/>
      <c r="D86" s="91"/>
      <c r="E86" s="91"/>
      <c r="F86" s="91"/>
      <c r="G86" s="91"/>
      <c r="H86" s="91"/>
      <c r="I86" s="91"/>
      <c r="J86" s="91"/>
      <c r="K86" s="91"/>
      <c r="L86" s="91"/>
      <c r="M86" s="91"/>
      <c r="N86" s="91"/>
      <c r="O86" s="91"/>
      <c r="P86" s="91"/>
      <c r="Q86" s="91"/>
      <c r="R86" s="91"/>
      <c r="S86" s="91"/>
      <c r="T86" s="91"/>
      <c r="U86" s="91"/>
      <c r="V86" s="91"/>
      <c r="W86" s="91"/>
      <c r="X86" s="91"/>
      <c r="Y86" s="91"/>
      <c r="Z86" s="91"/>
      <c r="AA86" s="91"/>
    </row>
    <row r="87" spans="1:27" x14ac:dyDescent="0.3">
      <c r="A87" s="91"/>
      <c r="B87" s="91"/>
      <c r="C87" s="91"/>
      <c r="D87" s="91"/>
      <c r="E87" s="91"/>
      <c r="F87" s="91"/>
      <c r="G87" s="91"/>
      <c r="H87" s="91"/>
      <c r="I87" s="91"/>
      <c r="J87" s="91"/>
      <c r="K87" s="91"/>
      <c r="L87" s="91"/>
      <c r="M87" s="91"/>
      <c r="N87" s="91"/>
      <c r="O87" s="91"/>
      <c r="P87" s="91"/>
      <c r="Q87" s="91"/>
      <c r="R87" s="91"/>
      <c r="S87" s="91"/>
      <c r="T87" s="91"/>
      <c r="U87" s="91"/>
      <c r="V87" s="91"/>
      <c r="W87" s="91"/>
      <c r="X87" s="91"/>
      <c r="Y87" s="91"/>
      <c r="Z87" s="91"/>
      <c r="AA87" s="91"/>
    </row>
    <row r="88" spans="1:27" x14ac:dyDescent="0.3">
      <c r="A88" s="91"/>
      <c r="B88" s="91"/>
      <c r="C88" s="91"/>
      <c r="D88" s="91"/>
      <c r="E88" s="91"/>
      <c r="F88" s="91"/>
      <c r="G88" s="91"/>
      <c r="H88" s="91"/>
      <c r="I88" s="91"/>
      <c r="J88" s="91"/>
      <c r="K88" s="91"/>
      <c r="L88" s="91"/>
      <c r="M88" s="91"/>
      <c r="N88" s="91"/>
      <c r="O88" s="91"/>
      <c r="P88" s="91"/>
      <c r="Q88" s="91"/>
      <c r="R88" s="91"/>
      <c r="S88" s="91"/>
      <c r="T88" s="91"/>
      <c r="U88" s="91"/>
      <c r="V88" s="91"/>
      <c r="W88" s="91"/>
      <c r="X88" s="91"/>
      <c r="Y88" s="91"/>
      <c r="Z88" s="91"/>
      <c r="AA88" s="91"/>
    </row>
    <row r="89" spans="1:27" x14ac:dyDescent="0.3">
      <c r="A89" s="91"/>
      <c r="B89" s="91"/>
      <c r="C89" s="91"/>
      <c r="D89" s="91"/>
      <c r="E89" s="91"/>
      <c r="F89" s="91"/>
      <c r="G89" s="91"/>
      <c r="H89" s="91"/>
      <c r="I89" s="91"/>
      <c r="J89" s="91"/>
      <c r="K89" s="91"/>
      <c r="L89" s="91"/>
      <c r="M89" s="91"/>
      <c r="N89" s="91"/>
      <c r="O89" s="91"/>
      <c r="P89" s="91"/>
      <c r="Q89" s="91"/>
      <c r="R89" s="91"/>
      <c r="S89" s="91"/>
      <c r="T89" s="91"/>
      <c r="U89" s="91"/>
      <c r="V89" s="91"/>
      <c r="W89" s="91"/>
      <c r="X89" s="91"/>
      <c r="Y89" s="91"/>
      <c r="Z89" s="91"/>
      <c r="AA89" s="91"/>
    </row>
    <row r="90" spans="1:27" x14ac:dyDescent="0.3">
      <c r="A90" s="91"/>
      <c r="B90" s="91"/>
      <c r="C90" s="91"/>
      <c r="D90" s="91"/>
      <c r="E90" s="91"/>
      <c r="F90" s="91"/>
      <c r="G90" s="91"/>
      <c r="H90" s="91"/>
      <c r="I90" s="91"/>
      <c r="J90" s="91"/>
      <c r="K90" s="91"/>
      <c r="L90" s="91"/>
      <c r="M90" s="91"/>
      <c r="N90" s="91"/>
      <c r="O90" s="91"/>
      <c r="P90" s="91"/>
      <c r="Q90" s="91"/>
      <c r="R90" s="91"/>
      <c r="S90" s="91"/>
      <c r="T90" s="91"/>
      <c r="U90" s="91"/>
      <c r="V90" s="91"/>
      <c r="W90" s="91"/>
      <c r="X90" s="91"/>
      <c r="Y90" s="91"/>
      <c r="Z90" s="91"/>
      <c r="AA90" s="91"/>
    </row>
    <row r="91" spans="1:27" x14ac:dyDescent="0.3">
      <c r="A91" s="91"/>
      <c r="B91" s="91"/>
      <c r="C91" s="91"/>
      <c r="D91" s="91"/>
      <c r="E91" s="91"/>
      <c r="F91" s="91"/>
      <c r="G91" s="91"/>
      <c r="H91" s="91"/>
      <c r="I91" s="91"/>
      <c r="J91" s="91"/>
      <c r="K91" s="91"/>
      <c r="L91" s="91"/>
      <c r="M91" s="91"/>
      <c r="N91" s="91"/>
      <c r="O91" s="91"/>
      <c r="P91" s="91"/>
      <c r="Q91" s="91"/>
      <c r="R91" s="91"/>
      <c r="S91" s="91"/>
      <c r="T91" s="91"/>
      <c r="U91" s="91"/>
      <c r="V91" s="91"/>
      <c r="W91" s="91"/>
      <c r="X91" s="91"/>
      <c r="Y91" s="91"/>
      <c r="Z91" s="91"/>
      <c r="AA91" s="91"/>
    </row>
    <row r="92" spans="1:27" x14ac:dyDescent="0.3">
      <c r="A92" s="91"/>
      <c r="B92" s="91"/>
      <c r="C92" s="91"/>
      <c r="D92" s="91"/>
      <c r="E92" s="91"/>
      <c r="F92" s="91"/>
      <c r="G92" s="91"/>
      <c r="H92" s="91"/>
      <c r="I92" s="91"/>
      <c r="J92" s="91"/>
      <c r="K92" s="91"/>
      <c r="L92" s="91"/>
      <c r="M92" s="91"/>
      <c r="N92" s="91"/>
      <c r="O92" s="91"/>
      <c r="P92" s="91"/>
      <c r="Q92" s="91"/>
      <c r="R92" s="91"/>
      <c r="S92" s="91"/>
      <c r="T92" s="91"/>
      <c r="U92" s="91"/>
      <c r="V92" s="91"/>
      <c r="W92" s="91"/>
      <c r="X92" s="91"/>
      <c r="Y92" s="91"/>
      <c r="Z92" s="91"/>
      <c r="AA92" s="91"/>
    </row>
    <row r="93" spans="1:27" x14ac:dyDescent="0.3">
      <c r="A93" s="91"/>
      <c r="B93" s="91"/>
      <c r="C93" s="91"/>
      <c r="D93" s="91"/>
      <c r="E93" s="91"/>
      <c r="F93" s="91"/>
      <c r="G93" s="91"/>
      <c r="H93" s="91"/>
      <c r="I93" s="91"/>
      <c r="J93" s="91"/>
      <c r="K93" s="91"/>
      <c r="L93" s="91"/>
      <c r="M93" s="91"/>
      <c r="N93" s="91"/>
      <c r="O93" s="91"/>
      <c r="P93" s="91"/>
      <c r="Q93" s="91"/>
      <c r="R93" s="91"/>
      <c r="S93" s="91"/>
      <c r="T93" s="91"/>
      <c r="U93" s="91"/>
      <c r="V93" s="91"/>
      <c r="W93" s="91"/>
      <c r="X93" s="91"/>
      <c r="Y93" s="91"/>
      <c r="Z93" s="91"/>
      <c r="AA93" s="91"/>
    </row>
    <row r="94" spans="1:27" x14ac:dyDescent="0.3">
      <c r="A94" s="91"/>
      <c r="B94" s="91"/>
      <c r="C94" s="91"/>
      <c r="D94" s="91"/>
      <c r="E94" s="91"/>
      <c r="F94" s="91"/>
      <c r="G94" s="91"/>
      <c r="H94" s="91"/>
      <c r="I94" s="91"/>
      <c r="J94" s="91"/>
      <c r="K94" s="91"/>
      <c r="L94" s="91"/>
      <c r="M94" s="91"/>
      <c r="N94" s="91"/>
      <c r="O94" s="91"/>
      <c r="P94" s="91"/>
      <c r="Q94" s="91"/>
      <c r="R94" s="91"/>
      <c r="S94" s="91"/>
      <c r="T94" s="91"/>
      <c r="U94" s="91"/>
      <c r="V94" s="91"/>
      <c r="W94" s="91"/>
      <c r="X94" s="91"/>
      <c r="Y94" s="91"/>
      <c r="Z94" s="91"/>
      <c r="AA94" s="91"/>
    </row>
    <row r="95" spans="1:27" x14ac:dyDescent="0.3">
      <c r="A95" s="91"/>
      <c r="B95" s="91"/>
      <c r="C95" s="91"/>
      <c r="D95" s="91"/>
      <c r="E95" s="91"/>
      <c r="F95" s="91"/>
      <c r="G95" s="91"/>
      <c r="H95" s="91"/>
      <c r="I95" s="91"/>
      <c r="J95" s="91"/>
      <c r="K95" s="91"/>
      <c r="L95" s="91"/>
      <c r="M95" s="91"/>
      <c r="N95" s="91"/>
      <c r="O95" s="91"/>
      <c r="P95" s="91"/>
      <c r="Q95" s="91"/>
      <c r="R95" s="91"/>
      <c r="S95" s="91"/>
      <c r="T95" s="91"/>
      <c r="U95" s="91"/>
      <c r="V95" s="91"/>
      <c r="W95" s="91"/>
      <c r="X95" s="91"/>
      <c r="Y95" s="91"/>
      <c r="Z95" s="91"/>
      <c r="AA95" s="91"/>
    </row>
    <row r="96" spans="1:27" x14ac:dyDescent="0.3">
      <c r="A96" s="91"/>
      <c r="B96" s="91"/>
      <c r="C96" s="91"/>
      <c r="D96" s="91"/>
      <c r="E96" s="91"/>
      <c r="F96" s="91"/>
      <c r="G96" s="91"/>
      <c r="H96" s="91"/>
      <c r="I96" s="91"/>
      <c r="J96" s="91"/>
      <c r="K96" s="91"/>
      <c r="L96" s="91"/>
      <c r="M96" s="91"/>
      <c r="N96" s="91"/>
      <c r="O96" s="91"/>
      <c r="P96" s="91"/>
      <c r="Q96" s="91"/>
      <c r="R96" s="91"/>
      <c r="S96" s="91"/>
      <c r="T96" s="91"/>
      <c r="U96" s="91"/>
      <c r="V96" s="91"/>
      <c r="W96" s="91"/>
      <c r="X96" s="91"/>
      <c r="Y96" s="91"/>
      <c r="Z96" s="91"/>
      <c r="AA96" s="91"/>
    </row>
    <row r="97" spans="1:27" x14ac:dyDescent="0.3">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c r="AA97" s="91"/>
    </row>
    <row r="98" spans="1:27" x14ac:dyDescent="0.3">
      <c r="A98" s="91"/>
      <c r="B98" s="91"/>
      <c r="C98" s="91"/>
      <c r="D98" s="91"/>
      <c r="E98" s="91"/>
      <c r="F98" s="91"/>
      <c r="G98" s="91"/>
      <c r="H98" s="91"/>
      <c r="I98" s="91"/>
      <c r="J98" s="91"/>
      <c r="K98" s="91"/>
      <c r="L98" s="91"/>
      <c r="M98" s="91"/>
      <c r="N98" s="91"/>
      <c r="O98" s="91"/>
      <c r="P98" s="91"/>
      <c r="Q98" s="91"/>
      <c r="R98" s="91"/>
      <c r="S98" s="91"/>
      <c r="T98" s="91"/>
      <c r="U98" s="91"/>
      <c r="V98" s="91"/>
      <c r="W98" s="91"/>
      <c r="X98" s="91"/>
      <c r="Y98" s="91"/>
      <c r="Z98" s="91"/>
      <c r="AA98" s="91"/>
    </row>
    <row r="99" spans="1:27" x14ac:dyDescent="0.3">
      <c r="A99" s="91"/>
      <c r="B99" s="91"/>
      <c r="C99" s="91"/>
      <c r="D99" s="91"/>
      <c r="E99" s="91"/>
      <c r="F99" s="91"/>
      <c r="G99" s="91"/>
      <c r="H99" s="91"/>
      <c r="I99" s="91"/>
      <c r="J99" s="91"/>
      <c r="K99" s="91"/>
      <c r="L99" s="91"/>
      <c r="M99" s="91"/>
      <c r="N99" s="91"/>
      <c r="O99" s="91"/>
      <c r="P99" s="91"/>
      <c r="Q99" s="91"/>
      <c r="R99" s="91"/>
      <c r="S99" s="91"/>
      <c r="T99" s="91"/>
      <c r="U99" s="91"/>
      <c r="V99" s="91"/>
      <c r="W99" s="91"/>
      <c r="X99" s="91"/>
      <c r="Y99" s="91"/>
      <c r="Z99" s="91"/>
      <c r="AA99" s="91"/>
    </row>
    <row r="100" spans="1:27" x14ac:dyDescent="0.3">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c r="AA100" s="91"/>
    </row>
    <row r="101" spans="1:27" x14ac:dyDescent="0.3">
      <c r="A101" s="91"/>
      <c r="B101" s="91"/>
      <c r="C101" s="91"/>
      <c r="D101" s="91"/>
      <c r="E101" s="91"/>
      <c r="F101" s="91"/>
      <c r="G101" s="91"/>
      <c r="H101" s="91"/>
      <c r="I101" s="91"/>
      <c r="J101" s="91"/>
      <c r="K101" s="91"/>
      <c r="L101" s="91"/>
      <c r="M101" s="91"/>
      <c r="N101" s="91"/>
      <c r="O101" s="91"/>
      <c r="P101" s="91"/>
      <c r="Q101" s="91"/>
      <c r="R101" s="91"/>
      <c r="S101" s="91"/>
      <c r="T101" s="91"/>
      <c r="U101" s="91"/>
      <c r="V101" s="91"/>
      <c r="W101" s="91"/>
      <c r="X101" s="91"/>
      <c r="Y101" s="91"/>
      <c r="Z101" s="91"/>
      <c r="AA101" s="91"/>
    </row>
    <row r="102" spans="1:27" x14ac:dyDescent="0.3">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c r="AA102" s="91"/>
    </row>
    <row r="103" spans="1:27" x14ac:dyDescent="0.3">
      <c r="A103" s="91"/>
      <c r="B103" s="91"/>
      <c r="C103" s="91"/>
      <c r="D103" s="91"/>
      <c r="E103" s="91"/>
      <c r="F103" s="91"/>
      <c r="G103" s="91"/>
      <c r="H103" s="91"/>
      <c r="I103" s="91"/>
      <c r="J103" s="91"/>
      <c r="K103" s="91"/>
      <c r="L103" s="91"/>
      <c r="M103" s="91"/>
      <c r="N103" s="91"/>
      <c r="O103" s="91"/>
      <c r="P103" s="91"/>
      <c r="Q103" s="91"/>
      <c r="R103" s="91"/>
      <c r="S103" s="91"/>
      <c r="T103" s="91"/>
      <c r="U103" s="91"/>
      <c r="V103" s="91"/>
      <c r="W103" s="91"/>
      <c r="X103" s="91"/>
      <c r="Y103" s="91"/>
      <c r="Z103" s="91"/>
      <c r="AA103" s="91"/>
    </row>
    <row r="104" spans="1:27" x14ac:dyDescent="0.3">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c r="AA104" s="91"/>
    </row>
    <row r="105" spans="1:27" x14ac:dyDescent="0.3">
      <c r="A105" s="91"/>
      <c r="B105" s="91"/>
      <c r="C105" s="91"/>
      <c r="D105" s="91"/>
      <c r="E105" s="91"/>
      <c r="F105" s="91"/>
      <c r="G105" s="91"/>
      <c r="H105" s="91"/>
      <c r="I105" s="91"/>
      <c r="J105" s="91"/>
      <c r="K105" s="91"/>
      <c r="L105" s="91"/>
      <c r="M105" s="91"/>
      <c r="N105" s="91"/>
      <c r="O105" s="91"/>
      <c r="P105" s="91"/>
      <c r="Q105" s="91"/>
      <c r="R105" s="91"/>
      <c r="S105" s="91"/>
      <c r="T105" s="91"/>
      <c r="U105" s="91"/>
      <c r="V105" s="91"/>
      <c r="W105" s="91"/>
      <c r="X105" s="91"/>
      <c r="Y105" s="91"/>
      <c r="Z105" s="91"/>
      <c r="AA105" s="91"/>
    </row>
    <row r="106" spans="1:27" x14ac:dyDescent="0.3">
      <c r="A106" s="91"/>
      <c r="B106" s="91"/>
      <c r="C106" s="91"/>
      <c r="D106" s="91"/>
      <c r="E106" s="91"/>
      <c r="F106" s="91"/>
      <c r="G106" s="91"/>
      <c r="H106" s="91"/>
      <c r="I106" s="91"/>
      <c r="J106" s="91"/>
      <c r="K106" s="91"/>
      <c r="L106" s="91"/>
      <c r="M106" s="91"/>
      <c r="N106" s="91"/>
      <c r="O106" s="91"/>
      <c r="P106" s="91"/>
      <c r="Q106" s="91"/>
      <c r="R106" s="91"/>
      <c r="S106" s="91"/>
      <c r="T106" s="91"/>
      <c r="U106" s="91"/>
      <c r="V106" s="91"/>
      <c r="W106" s="91"/>
      <c r="X106" s="91"/>
      <c r="Y106" s="91"/>
      <c r="Z106" s="91"/>
      <c r="AA106" s="91"/>
    </row>
    <row r="107" spans="1:27" x14ac:dyDescent="0.3">
      <c r="A107" s="91"/>
      <c r="B107" s="91"/>
      <c r="C107" s="91"/>
      <c r="D107" s="91"/>
      <c r="E107" s="91"/>
      <c r="F107" s="91"/>
      <c r="G107" s="91"/>
      <c r="H107" s="91"/>
      <c r="I107" s="91"/>
      <c r="J107" s="91"/>
      <c r="K107" s="91"/>
      <c r="L107" s="91"/>
      <c r="M107" s="91"/>
      <c r="N107" s="91"/>
      <c r="O107" s="91"/>
      <c r="P107" s="91"/>
      <c r="Q107" s="91"/>
      <c r="R107" s="91"/>
      <c r="S107" s="91"/>
      <c r="T107" s="91"/>
      <c r="U107" s="91"/>
      <c r="V107" s="91"/>
      <c r="W107" s="91"/>
      <c r="X107" s="91"/>
      <c r="Y107" s="91"/>
      <c r="Z107" s="91"/>
      <c r="AA107" s="91"/>
    </row>
    <row r="108" spans="1:27" x14ac:dyDescent="0.3">
      <c r="A108" s="91"/>
      <c r="B108" s="91"/>
      <c r="C108" s="91"/>
      <c r="D108" s="91"/>
      <c r="E108" s="91"/>
      <c r="F108" s="91"/>
      <c r="G108" s="91"/>
      <c r="H108" s="91"/>
      <c r="I108" s="91"/>
      <c r="J108" s="91"/>
      <c r="K108" s="91"/>
      <c r="L108" s="91"/>
      <c r="M108" s="91"/>
      <c r="N108" s="91"/>
      <c r="O108" s="91"/>
      <c r="P108" s="91"/>
      <c r="Q108" s="91"/>
      <c r="R108" s="91"/>
      <c r="S108" s="91"/>
      <c r="T108" s="91"/>
      <c r="U108" s="91"/>
      <c r="V108" s="91"/>
      <c r="W108" s="91"/>
      <c r="X108" s="91"/>
      <c r="Y108" s="91"/>
      <c r="Z108" s="91"/>
      <c r="AA108" s="91"/>
    </row>
    <row r="109" spans="1:27" x14ac:dyDescent="0.3">
      <c r="A109" s="91"/>
      <c r="B109" s="91"/>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c r="AA109" s="91"/>
    </row>
    <row r="110" spans="1:27" x14ac:dyDescent="0.3">
      <c r="A110" s="91"/>
      <c r="B110" s="91"/>
      <c r="C110" s="91"/>
      <c r="D110" s="91"/>
      <c r="E110" s="91"/>
      <c r="F110" s="91"/>
      <c r="G110" s="91"/>
      <c r="H110" s="91"/>
      <c r="I110" s="91"/>
      <c r="J110" s="91"/>
      <c r="K110" s="91"/>
      <c r="L110" s="91"/>
      <c r="M110" s="91"/>
      <c r="N110" s="91"/>
      <c r="O110" s="91"/>
      <c r="P110" s="91"/>
      <c r="Q110" s="91"/>
      <c r="R110" s="91"/>
      <c r="S110" s="91"/>
      <c r="T110" s="91"/>
      <c r="U110" s="91"/>
      <c r="V110" s="91"/>
      <c r="W110" s="91"/>
      <c r="X110" s="91"/>
      <c r="Y110" s="91"/>
      <c r="Z110" s="91"/>
      <c r="AA110" s="91"/>
    </row>
    <row r="111" spans="1:27" x14ac:dyDescent="0.3">
      <c r="A111" s="91"/>
      <c r="B111" s="91"/>
      <c r="C111" s="91"/>
      <c r="D111" s="91"/>
      <c r="E111" s="91"/>
      <c r="F111" s="91"/>
      <c r="G111" s="91"/>
      <c r="H111" s="91"/>
      <c r="I111" s="91"/>
      <c r="J111" s="91"/>
      <c r="K111" s="91"/>
      <c r="L111" s="91"/>
      <c r="M111" s="91"/>
      <c r="N111" s="91"/>
      <c r="O111" s="91"/>
      <c r="P111" s="91"/>
      <c r="Q111" s="91"/>
      <c r="R111" s="91"/>
      <c r="S111" s="91"/>
      <c r="T111" s="91"/>
      <c r="U111" s="91"/>
      <c r="V111" s="91"/>
      <c r="W111" s="91"/>
      <c r="X111" s="91"/>
      <c r="Y111" s="91"/>
      <c r="Z111" s="91"/>
      <c r="AA111" s="91"/>
    </row>
    <row r="112" spans="1:27" x14ac:dyDescent="0.3">
      <c r="A112" s="9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row>
    <row r="113" spans="1:27" x14ac:dyDescent="0.3">
      <c r="A113" s="91"/>
      <c r="B113" s="91"/>
      <c r="C113" s="91"/>
      <c r="D113" s="91"/>
      <c r="E113" s="91"/>
      <c r="F113" s="91"/>
      <c r="G113" s="91"/>
      <c r="H113" s="91"/>
      <c r="I113" s="91"/>
      <c r="J113" s="91"/>
      <c r="K113" s="91"/>
      <c r="L113" s="91"/>
      <c r="M113" s="91"/>
      <c r="N113" s="91"/>
      <c r="O113" s="91"/>
      <c r="P113" s="91"/>
      <c r="Q113" s="91"/>
      <c r="R113" s="91"/>
      <c r="S113" s="91"/>
      <c r="T113" s="91"/>
      <c r="U113" s="91"/>
      <c r="V113" s="91"/>
      <c r="W113" s="91"/>
      <c r="X113" s="91"/>
      <c r="Y113" s="91"/>
      <c r="Z113" s="91"/>
      <c r="AA113" s="91"/>
    </row>
    <row r="114" spans="1:27" x14ac:dyDescent="0.3">
      <c r="A114" s="91"/>
      <c r="B114" s="91"/>
      <c r="C114" s="91"/>
      <c r="D114" s="91"/>
      <c r="E114" s="91"/>
      <c r="F114" s="91"/>
      <c r="G114" s="91"/>
      <c r="H114" s="91"/>
      <c r="I114" s="91"/>
      <c r="J114" s="91"/>
      <c r="K114" s="91"/>
      <c r="L114" s="91"/>
      <c r="M114" s="91"/>
      <c r="N114" s="91"/>
      <c r="O114" s="91"/>
      <c r="P114" s="91"/>
      <c r="Q114" s="91"/>
      <c r="R114" s="91"/>
      <c r="S114" s="91"/>
      <c r="T114" s="91"/>
      <c r="U114" s="91"/>
      <c r="V114" s="91"/>
      <c r="W114" s="91"/>
      <c r="X114" s="91"/>
      <c r="Y114" s="91"/>
      <c r="Z114" s="91"/>
      <c r="AA114" s="91"/>
    </row>
    <row r="115" spans="1:27" x14ac:dyDescent="0.3">
      <c r="A115" s="91"/>
      <c r="B115" s="91"/>
      <c r="C115" s="91"/>
      <c r="D115" s="91"/>
      <c r="E115" s="91"/>
      <c r="F115" s="91"/>
      <c r="G115" s="91"/>
      <c r="H115" s="91"/>
      <c r="I115" s="91"/>
      <c r="J115" s="91"/>
      <c r="K115" s="91"/>
      <c r="L115" s="91"/>
      <c r="M115" s="91"/>
      <c r="N115" s="91"/>
      <c r="O115" s="91"/>
      <c r="P115" s="91"/>
      <c r="Q115" s="91"/>
      <c r="R115" s="91"/>
      <c r="S115" s="91"/>
      <c r="T115" s="91"/>
      <c r="U115" s="91"/>
      <c r="V115" s="91"/>
      <c r="W115" s="91"/>
      <c r="X115" s="91"/>
      <c r="Y115" s="91"/>
      <c r="Z115" s="91"/>
      <c r="AA115" s="91"/>
    </row>
    <row r="116" spans="1:27" x14ac:dyDescent="0.3">
      <c r="A116" s="9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row>
    <row r="117" spans="1:27" x14ac:dyDescent="0.3">
      <c r="A117" s="91"/>
      <c r="B117" s="91"/>
      <c r="C117" s="91"/>
      <c r="D117" s="91"/>
      <c r="E117" s="91"/>
      <c r="F117" s="91"/>
      <c r="G117" s="91"/>
      <c r="H117" s="91"/>
      <c r="I117" s="91"/>
      <c r="J117" s="91"/>
      <c r="K117" s="91"/>
      <c r="L117" s="91"/>
      <c r="M117" s="91"/>
      <c r="N117" s="91"/>
      <c r="O117" s="91"/>
      <c r="P117" s="91"/>
      <c r="Q117" s="91"/>
      <c r="R117" s="91"/>
      <c r="S117" s="91"/>
      <c r="T117" s="91"/>
      <c r="U117" s="91"/>
      <c r="V117" s="91"/>
      <c r="W117" s="91"/>
      <c r="X117" s="91"/>
      <c r="Y117" s="91"/>
      <c r="Z117" s="91"/>
      <c r="AA117" s="91"/>
    </row>
    <row r="118" spans="1:27" x14ac:dyDescent="0.3">
      <c r="A118" s="91"/>
      <c r="B118" s="91"/>
      <c r="C118" s="91"/>
      <c r="D118" s="91"/>
      <c r="E118" s="91"/>
      <c r="F118" s="91"/>
      <c r="G118" s="91"/>
      <c r="H118" s="91"/>
      <c r="I118" s="91"/>
      <c r="J118" s="91"/>
      <c r="K118" s="91"/>
      <c r="L118" s="91"/>
      <c r="M118" s="91"/>
      <c r="N118" s="91"/>
      <c r="O118" s="91"/>
      <c r="P118" s="91"/>
      <c r="Q118" s="91"/>
      <c r="R118" s="91"/>
      <c r="S118" s="91"/>
      <c r="T118" s="91"/>
      <c r="U118" s="91"/>
      <c r="V118" s="91"/>
      <c r="W118" s="91"/>
      <c r="X118" s="91"/>
      <c r="Y118" s="91"/>
      <c r="Z118" s="91"/>
      <c r="AA118" s="91"/>
    </row>
    <row r="119" spans="1:27" x14ac:dyDescent="0.3">
      <c r="A119" s="91"/>
      <c r="B119" s="91"/>
      <c r="C119" s="91"/>
      <c r="D119" s="91"/>
      <c r="E119" s="91"/>
      <c r="F119" s="91"/>
      <c r="G119" s="91"/>
      <c r="H119" s="91"/>
      <c r="I119" s="91"/>
      <c r="J119" s="91"/>
      <c r="K119" s="91"/>
      <c r="L119" s="91"/>
      <c r="M119" s="91"/>
      <c r="N119" s="91"/>
      <c r="O119" s="91"/>
      <c r="P119" s="91"/>
      <c r="Q119" s="91"/>
      <c r="R119" s="91"/>
      <c r="S119" s="91"/>
      <c r="T119" s="91"/>
      <c r="U119" s="91"/>
      <c r="V119" s="91"/>
      <c r="W119" s="91"/>
      <c r="X119" s="91"/>
      <c r="Y119" s="91"/>
      <c r="Z119" s="91"/>
      <c r="AA119" s="91"/>
    </row>
    <row r="120" spans="1:27" x14ac:dyDescent="0.3">
      <c r="A120" s="91"/>
      <c r="B120" s="91"/>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c r="AA120" s="91"/>
    </row>
    <row r="121" spans="1:27" x14ac:dyDescent="0.3">
      <c r="A121" s="91"/>
      <c r="B121" s="91"/>
      <c r="C121" s="91"/>
      <c r="D121" s="91"/>
      <c r="E121" s="91"/>
      <c r="F121" s="91"/>
      <c r="G121" s="91"/>
      <c r="H121" s="91"/>
      <c r="I121" s="91"/>
      <c r="J121" s="91"/>
      <c r="K121" s="91"/>
      <c r="L121" s="91"/>
      <c r="M121" s="91"/>
      <c r="N121" s="91"/>
      <c r="O121" s="91"/>
      <c r="P121" s="91"/>
      <c r="Q121" s="91"/>
      <c r="R121" s="91"/>
      <c r="S121" s="91"/>
      <c r="T121" s="91"/>
      <c r="U121" s="91"/>
      <c r="V121" s="91"/>
      <c r="W121" s="91"/>
      <c r="X121" s="91"/>
      <c r="Y121" s="91"/>
      <c r="Z121" s="91"/>
      <c r="AA121" s="91"/>
    </row>
    <row r="122" spans="1:27" x14ac:dyDescent="0.3">
      <c r="A122" s="91"/>
      <c r="B122" s="91"/>
      <c r="C122" s="91"/>
      <c r="D122" s="91"/>
      <c r="E122" s="91"/>
      <c r="F122" s="91"/>
      <c r="G122" s="91"/>
      <c r="H122" s="91"/>
      <c r="I122" s="91"/>
      <c r="J122" s="91"/>
      <c r="K122" s="91"/>
      <c r="L122" s="91"/>
      <c r="M122" s="91"/>
      <c r="N122" s="91"/>
      <c r="O122" s="91"/>
      <c r="P122" s="91"/>
      <c r="Q122" s="91"/>
      <c r="R122" s="91"/>
      <c r="S122" s="91"/>
      <c r="T122" s="91"/>
      <c r="U122" s="91"/>
      <c r="V122" s="91"/>
      <c r="W122" s="91"/>
      <c r="X122" s="91"/>
      <c r="Y122" s="91"/>
      <c r="Z122" s="91"/>
      <c r="AA122" s="91"/>
    </row>
    <row r="123" spans="1:27" x14ac:dyDescent="0.3">
      <c r="A123" s="91"/>
      <c r="B123" s="91"/>
      <c r="C123" s="91"/>
      <c r="D123" s="91"/>
      <c r="E123" s="91"/>
      <c r="F123" s="91"/>
      <c r="G123" s="91"/>
      <c r="H123" s="91"/>
      <c r="I123" s="91"/>
      <c r="J123" s="91"/>
      <c r="K123" s="91"/>
      <c r="L123" s="91"/>
      <c r="M123" s="91"/>
      <c r="N123" s="91"/>
      <c r="O123" s="91"/>
      <c r="P123" s="91"/>
      <c r="Q123" s="91"/>
      <c r="R123" s="91"/>
      <c r="S123" s="91"/>
      <c r="T123" s="91"/>
      <c r="U123" s="91"/>
      <c r="V123" s="91"/>
      <c r="W123" s="91"/>
      <c r="X123" s="91"/>
      <c r="Y123" s="91"/>
      <c r="Z123" s="91"/>
      <c r="AA123" s="91"/>
    </row>
    <row r="124" spans="1:27" x14ac:dyDescent="0.3">
      <c r="A124" s="91"/>
      <c r="B124" s="91"/>
      <c r="C124" s="91"/>
      <c r="D124" s="91"/>
      <c r="E124" s="91"/>
      <c r="F124" s="91"/>
      <c r="G124" s="91"/>
      <c r="H124" s="91"/>
      <c r="I124" s="91"/>
      <c r="J124" s="91"/>
      <c r="K124" s="91"/>
      <c r="L124" s="91"/>
      <c r="M124" s="91"/>
      <c r="N124" s="91"/>
      <c r="O124" s="91"/>
      <c r="P124" s="91"/>
      <c r="Q124" s="91"/>
      <c r="R124" s="91"/>
      <c r="S124" s="91"/>
      <c r="T124" s="91"/>
      <c r="U124" s="91"/>
      <c r="V124" s="91"/>
      <c r="W124" s="91"/>
      <c r="X124" s="91"/>
      <c r="Y124" s="91"/>
      <c r="Z124" s="91"/>
      <c r="AA124" s="91"/>
    </row>
    <row r="125" spans="1:27" x14ac:dyDescent="0.3">
      <c r="A125" s="91"/>
      <c r="B125" s="91"/>
      <c r="C125" s="91"/>
      <c r="D125" s="91"/>
      <c r="E125" s="91"/>
      <c r="F125" s="91"/>
      <c r="G125" s="91"/>
      <c r="H125" s="91"/>
      <c r="I125" s="91"/>
      <c r="J125" s="91"/>
      <c r="K125" s="91"/>
      <c r="L125" s="91"/>
      <c r="M125" s="91"/>
      <c r="N125" s="91"/>
      <c r="O125" s="91"/>
      <c r="P125" s="91"/>
      <c r="Q125" s="91"/>
      <c r="R125" s="91"/>
      <c r="S125" s="91"/>
      <c r="T125" s="91"/>
      <c r="U125" s="91"/>
      <c r="V125" s="91"/>
      <c r="W125" s="91"/>
      <c r="X125" s="91"/>
      <c r="Y125" s="91"/>
      <c r="Z125" s="91"/>
      <c r="AA125" s="91"/>
    </row>
    <row r="126" spans="1:27" x14ac:dyDescent="0.3">
      <c r="A126" s="91"/>
      <c r="B126" s="91"/>
      <c r="C126" s="91"/>
      <c r="D126" s="91"/>
      <c r="E126" s="91"/>
      <c r="F126" s="91"/>
      <c r="G126" s="91"/>
      <c r="H126" s="91"/>
      <c r="I126" s="91"/>
      <c r="J126" s="91"/>
      <c r="K126" s="91"/>
      <c r="L126" s="91"/>
      <c r="M126" s="91"/>
      <c r="N126" s="91"/>
      <c r="O126" s="91"/>
      <c r="P126" s="91"/>
      <c r="Q126" s="91"/>
      <c r="R126" s="91"/>
      <c r="S126" s="91"/>
      <c r="T126" s="91"/>
      <c r="U126" s="91"/>
      <c r="V126" s="91"/>
      <c r="W126" s="91"/>
      <c r="X126" s="91"/>
      <c r="Y126" s="91"/>
      <c r="Z126" s="91"/>
      <c r="AA126" s="91"/>
    </row>
    <row r="127" spans="1:27" x14ac:dyDescent="0.3">
      <c r="A127" s="91"/>
      <c r="B127" s="91"/>
      <c r="C127" s="91"/>
      <c r="D127" s="91"/>
      <c r="E127" s="91"/>
      <c r="F127" s="91"/>
      <c r="G127" s="91"/>
      <c r="H127" s="91"/>
      <c r="I127" s="91"/>
      <c r="J127" s="91"/>
      <c r="K127" s="91"/>
      <c r="L127" s="91"/>
      <c r="M127" s="91"/>
      <c r="N127" s="91"/>
      <c r="O127" s="91"/>
      <c r="P127" s="91"/>
      <c r="Q127" s="91"/>
      <c r="R127" s="91"/>
      <c r="S127" s="91"/>
      <c r="T127" s="91"/>
      <c r="U127" s="91"/>
      <c r="V127" s="91"/>
      <c r="W127" s="91"/>
      <c r="X127" s="91"/>
      <c r="Y127" s="91"/>
      <c r="Z127" s="91"/>
      <c r="AA127" s="91"/>
    </row>
    <row r="128" spans="1:27" x14ac:dyDescent="0.3">
      <c r="A128" s="91"/>
      <c r="B128" s="91"/>
      <c r="C128" s="91"/>
      <c r="D128" s="91"/>
      <c r="E128" s="91"/>
      <c r="F128" s="91"/>
      <c r="G128" s="91"/>
      <c r="H128" s="91"/>
      <c r="I128" s="91"/>
      <c r="J128" s="91"/>
      <c r="K128" s="91"/>
      <c r="L128" s="91"/>
      <c r="M128" s="91"/>
      <c r="N128" s="91"/>
      <c r="O128" s="91"/>
      <c r="P128" s="91"/>
      <c r="Q128" s="91"/>
      <c r="R128" s="91"/>
      <c r="S128" s="91"/>
      <c r="T128" s="91"/>
      <c r="U128" s="91"/>
      <c r="V128" s="91"/>
      <c r="W128" s="91"/>
      <c r="X128" s="91"/>
      <c r="Y128" s="91"/>
      <c r="Z128" s="91"/>
      <c r="AA128" s="91"/>
    </row>
    <row r="129" spans="1:27" x14ac:dyDescent="0.3">
      <c r="A129" s="91"/>
      <c r="B129" s="91"/>
      <c r="C129" s="91"/>
      <c r="D129" s="91"/>
      <c r="E129" s="91"/>
      <c r="F129" s="91"/>
      <c r="G129" s="91"/>
      <c r="H129" s="91"/>
      <c r="I129" s="91"/>
      <c r="J129" s="91"/>
      <c r="K129" s="91"/>
      <c r="L129" s="91"/>
      <c r="M129" s="91"/>
      <c r="N129" s="91"/>
      <c r="O129" s="91"/>
      <c r="P129" s="91"/>
      <c r="Q129" s="91"/>
      <c r="R129" s="91"/>
      <c r="S129" s="91"/>
      <c r="T129" s="91"/>
      <c r="U129" s="91"/>
      <c r="V129" s="91"/>
      <c r="W129" s="91"/>
      <c r="X129" s="91"/>
      <c r="Y129" s="91"/>
      <c r="Z129" s="91"/>
      <c r="AA129" s="91"/>
    </row>
    <row r="130" spans="1:27" x14ac:dyDescent="0.3">
      <c r="A130" s="91"/>
      <c r="B130" s="91"/>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c r="AA130" s="91"/>
    </row>
    <row r="131" spans="1:27" x14ac:dyDescent="0.3">
      <c r="A131" s="91"/>
      <c r="B131" s="91"/>
      <c r="C131" s="91"/>
      <c r="D131" s="91"/>
      <c r="E131" s="91"/>
      <c r="F131" s="91"/>
      <c r="G131" s="91"/>
      <c r="H131" s="91"/>
      <c r="I131" s="91"/>
      <c r="J131" s="91"/>
      <c r="K131" s="91"/>
      <c r="L131" s="91"/>
      <c r="M131" s="91"/>
      <c r="N131" s="91"/>
      <c r="O131" s="91"/>
      <c r="P131" s="91"/>
      <c r="Q131" s="91"/>
      <c r="R131" s="91"/>
      <c r="S131" s="91"/>
      <c r="T131" s="91"/>
      <c r="U131" s="91"/>
      <c r="V131" s="91"/>
      <c r="W131" s="91"/>
      <c r="X131" s="91"/>
      <c r="Y131" s="91"/>
      <c r="Z131" s="91"/>
      <c r="AA131" s="91"/>
    </row>
    <row r="132" spans="1:27" x14ac:dyDescent="0.3">
      <c r="A132" s="91"/>
      <c r="B132" s="91"/>
      <c r="C132" s="91"/>
      <c r="D132" s="91"/>
      <c r="E132" s="91"/>
      <c r="F132" s="91"/>
      <c r="G132" s="91"/>
      <c r="H132" s="91"/>
      <c r="I132" s="91"/>
      <c r="J132" s="91"/>
      <c r="K132" s="91"/>
      <c r="L132" s="91"/>
      <c r="M132" s="91"/>
      <c r="N132" s="91"/>
      <c r="O132" s="91"/>
      <c r="P132" s="91"/>
      <c r="Q132" s="91"/>
      <c r="R132" s="91"/>
      <c r="S132" s="91"/>
      <c r="T132" s="91"/>
      <c r="U132" s="91"/>
      <c r="V132" s="91"/>
      <c r="W132" s="91"/>
      <c r="X132" s="91"/>
      <c r="Y132" s="91"/>
      <c r="Z132" s="91"/>
      <c r="AA132" s="91"/>
    </row>
    <row r="133" spans="1:27" x14ac:dyDescent="0.3">
      <c r="A133" s="91"/>
      <c r="B133" s="91"/>
      <c r="C133" s="91"/>
      <c r="D133" s="91"/>
      <c r="E133" s="91"/>
      <c r="F133" s="91"/>
      <c r="G133" s="91"/>
      <c r="H133" s="91"/>
      <c r="I133" s="91"/>
      <c r="J133" s="91"/>
      <c r="K133" s="91"/>
      <c r="L133" s="91"/>
      <c r="M133" s="91"/>
      <c r="N133" s="91"/>
      <c r="O133" s="91"/>
      <c r="P133" s="91"/>
      <c r="Q133" s="91"/>
      <c r="R133" s="91"/>
      <c r="S133" s="91"/>
      <c r="T133" s="91"/>
      <c r="U133" s="91"/>
      <c r="V133" s="91"/>
      <c r="W133" s="91"/>
      <c r="X133" s="91"/>
      <c r="Y133" s="91"/>
      <c r="Z133" s="91"/>
      <c r="AA133" s="91"/>
    </row>
    <row r="134" spans="1:27" x14ac:dyDescent="0.3">
      <c r="A134" s="91"/>
      <c r="B134" s="91"/>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c r="AA134" s="91"/>
    </row>
    <row r="135" spans="1:27" x14ac:dyDescent="0.3">
      <c r="A135" s="91"/>
      <c r="B135" s="91"/>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c r="AA135" s="91"/>
    </row>
    <row r="136" spans="1:27" x14ac:dyDescent="0.3">
      <c r="A136" s="91"/>
      <c r="B136" s="91"/>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c r="AA136" s="91"/>
    </row>
    <row r="137" spans="1:27" x14ac:dyDescent="0.3">
      <c r="A137" s="91"/>
      <c r="B137" s="91"/>
      <c r="C137" s="91"/>
      <c r="D137" s="91"/>
      <c r="E137" s="91"/>
      <c r="F137" s="91"/>
      <c r="G137" s="91"/>
      <c r="H137" s="91"/>
      <c r="I137" s="91"/>
      <c r="J137" s="91"/>
      <c r="K137" s="91"/>
      <c r="L137" s="91"/>
      <c r="M137" s="91"/>
      <c r="N137" s="91"/>
      <c r="O137" s="91"/>
      <c r="P137" s="91"/>
      <c r="Q137" s="91"/>
      <c r="R137" s="91"/>
      <c r="S137" s="91"/>
      <c r="T137" s="91"/>
      <c r="U137" s="91"/>
      <c r="V137" s="91"/>
      <c r="W137" s="91"/>
      <c r="X137" s="91"/>
      <c r="Y137" s="91"/>
      <c r="Z137" s="91"/>
      <c r="AA137" s="91"/>
    </row>
    <row r="138" spans="1:27" x14ac:dyDescent="0.3">
      <c r="A138" s="91"/>
      <c r="B138" s="91"/>
      <c r="C138" s="91"/>
      <c r="D138" s="91"/>
      <c r="E138" s="91"/>
      <c r="F138" s="91"/>
      <c r="G138" s="91"/>
      <c r="H138" s="91"/>
      <c r="I138" s="91"/>
      <c r="J138" s="91"/>
      <c r="K138" s="91"/>
      <c r="L138" s="91"/>
      <c r="M138" s="91"/>
      <c r="N138" s="91"/>
      <c r="O138" s="91"/>
      <c r="P138" s="91"/>
      <c r="Q138" s="91"/>
      <c r="R138" s="91"/>
      <c r="S138" s="91"/>
      <c r="T138" s="91"/>
      <c r="U138" s="91"/>
      <c r="V138" s="91"/>
      <c r="W138" s="91"/>
      <c r="X138" s="91"/>
      <c r="Y138" s="91"/>
      <c r="Z138" s="91"/>
      <c r="AA138" s="91"/>
    </row>
    <row r="139" spans="1:27" x14ac:dyDescent="0.3">
      <c r="A139" s="91"/>
      <c r="B139" s="91"/>
      <c r="C139" s="91"/>
      <c r="D139" s="91"/>
      <c r="E139" s="91"/>
      <c r="F139" s="91"/>
      <c r="G139" s="91"/>
      <c r="H139" s="91"/>
      <c r="I139" s="91"/>
      <c r="J139" s="91"/>
      <c r="K139" s="91"/>
      <c r="L139" s="91"/>
      <c r="M139" s="91"/>
      <c r="N139" s="91"/>
      <c r="O139" s="91"/>
      <c r="P139" s="91"/>
      <c r="Q139" s="91"/>
      <c r="R139" s="91"/>
      <c r="S139" s="91"/>
      <c r="T139" s="91"/>
      <c r="U139" s="91"/>
      <c r="V139" s="91"/>
      <c r="W139" s="91"/>
      <c r="X139" s="91"/>
      <c r="Y139" s="91"/>
      <c r="Z139" s="91"/>
      <c r="AA139" s="91"/>
    </row>
    <row r="140" spans="1:27" x14ac:dyDescent="0.3">
      <c r="A140" s="91"/>
      <c r="B140" s="91"/>
      <c r="C140" s="91"/>
      <c r="D140" s="91"/>
      <c r="E140" s="91"/>
      <c r="F140" s="91"/>
      <c r="G140" s="91"/>
      <c r="H140" s="91"/>
      <c r="I140" s="91"/>
      <c r="J140" s="91"/>
      <c r="K140" s="91"/>
      <c r="L140" s="91"/>
      <c r="M140" s="91"/>
      <c r="N140" s="91"/>
      <c r="O140" s="91"/>
      <c r="P140" s="91"/>
      <c r="Q140" s="91"/>
      <c r="R140" s="91"/>
      <c r="S140" s="91"/>
      <c r="T140" s="91"/>
      <c r="U140" s="91"/>
      <c r="V140" s="91"/>
      <c r="W140" s="91"/>
      <c r="X140" s="91"/>
      <c r="Y140" s="91"/>
      <c r="Z140" s="91"/>
      <c r="AA140" s="91"/>
    </row>
    <row r="141" spans="1:27" x14ac:dyDescent="0.3">
      <c r="A141" s="91"/>
      <c r="B141" s="91"/>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c r="AA141" s="91"/>
    </row>
    <row r="142" spans="1:27" x14ac:dyDescent="0.3">
      <c r="A142" s="91"/>
      <c r="B142" s="91"/>
      <c r="C142" s="91"/>
      <c r="D142" s="91"/>
      <c r="E142" s="91"/>
      <c r="F142" s="91"/>
      <c r="G142" s="91"/>
      <c r="H142" s="91"/>
      <c r="I142" s="91"/>
      <c r="J142" s="91"/>
      <c r="K142" s="91"/>
      <c r="L142" s="91"/>
      <c r="M142" s="91"/>
      <c r="N142" s="91"/>
      <c r="O142" s="91"/>
      <c r="P142" s="91"/>
      <c r="Q142" s="91"/>
      <c r="R142" s="91"/>
      <c r="S142" s="91"/>
      <c r="T142" s="91"/>
      <c r="U142" s="91"/>
      <c r="V142" s="91"/>
      <c r="W142" s="91"/>
      <c r="X142" s="91"/>
      <c r="Y142" s="91"/>
      <c r="Z142" s="91"/>
      <c r="AA142" s="91"/>
    </row>
    <row r="143" spans="1:27" x14ac:dyDescent="0.3">
      <c r="A143" s="91"/>
      <c r="B143" s="91"/>
      <c r="C143" s="91"/>
      <c r="D143" s="91"/>
      <c r="E143" s="91"/>
      <c r="F143" s="91"/>
      <c r="G143" s="91"/>
      <c r="H143" s="91"/>
      <c r="I143" s="91"/>
      <c r="J143" s="91"/>
      <c r="K143" s="91"/>
      <c r="L143" s="91"/>
      <c r="M143" s="91"/>
      <c r="N143" s="91"/>
      <c r="O143" s="91"/>
      <c r="P143" s="91"/>
      <c r="Q143" s="91"/>
      <c r="R143" s="91"/>
      <c r="S143" s="91"/>
      <c r="T143" s="91"/>
      <c r="U143" s="91"/>
      <c r="V143" s="91"/>
      <c r="W143" s="91"/>
      <c r="X143" s="91"/>
      <c r="Y143" s="91"/>
      <c r="Z143" s="91"/>
      <c r="AA143" s="91"/>
    </row>
    <row r="144" spans="1:27" x14ac:dyDescent="0.3">
      <c r="A144" s="91"/>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c r="AA144" s="91"/>
    </row>
    <row r="145" spans="1:27" x14ac:dyDescent="0.3">
      <c r="A145" s="91"/>
      <c r="B145" s="91"/>
      <c r="C145" s="91"/>
      <c r="D145" s="91"/>
      <c r="E145" s="91"/>
      <c r="F145" s="91"/>
      <c r="G145" s="91"/>
      <c r="H145" s="91"/>
      <c r="I145" s="91"/>
      <c r="J145" s="91"/>
      <c r="K145" s="91"/>
      <c r="L145" s="91"/>
      <c r="M145" s="91"/>
      <c r="N145" s="91"/>
      <c r="O145" s="91"/>
      <c r="P145" s="91"/>
      <c r="Q145" s="91"/>
      <c r="R145" s="91"/>
      <c r="S145" s="91"/>
      <c r="T145" s="91"/>
      <c r="U145" s="91"/>
      <c r="V145" s="91"/>
      <c r="W145" s="91"/>
      <c r="X145" s="91"/>
      <c r="Y145" s="91"/>
      <c r="Z145" s="91"/>
      <c r="AA145" s="91"/>
    </row>
    <row r="146" spans="1:27" x14ac:dyDescent="0.3">
      <c r="A146" s="91"/>
      <c r="B146" s="91"/>
      <c r="C146" s="91"/>
      <c r="D146" s="91"/>
      <c r="E146" s="91"/>
      <c r="F146" s="91"/>
      <c r="G146" s="91"/>
      <c r="H146" s="91"/>
      <c r="I146" s="91"/>
      <c r="J146" s="91"/>
      <c r="K146" s="91"/>
      <c r="L146" s="91"/>
      <c r="M146" s="91"/>
      <c r="N146" s="91"/>
      <c r="O146" s="91"/>
      <c r="P146" s="91"/>
      <c r="Q146" s="91"/>
      <c r="R146" s="91"/>
      <c r="S146" s="91"/>
      <c r="T146" s="91"/>
      <c r="U146" s="91"/>
      <c r="V146" s="91"/>
      <c r="W146" s="91"/>
      <c r="X146" s="91"/>
      <c r="Y146" s="91"/>
      <c r="Z146" s="91"/>
      <c r="AA146" s="91"/>
    </row>
    <row r="147" spans="1:27" x14ac:dyDescent="0.3">
      <c r="A147" s="91"/>
      <c r="B147" s="91"/>
      <c r="C147" s="91"/>
      <c r="D147" s="91"/>
      <c r="E147" s="91"/>
      <c r="F147" s="91"/>
      <c r="G147" s="91"/>
      <c r="H147" s="91"/>
      <c r="I147" s="91"/>
      <c r="J147" s="91"/>
      <c r="K147" s="91"/>
      <c r="L147" s="91"/>
      <c r="M147" s="91"/>
      <c r="N147" s="91"/>
      <c r="O147" s="91"/>
      <c r="P147" s="91"/>
      <c r="Q147" s="91"/>
      <c r="R147" s="91"/>
      <c r="S147" s="91"/>
      <c r="T147" s="91"/>
      <c r="U147" s="91"/>
      <c r="V147" s="91"/>
      <c r="W147" s="91"/>
      <c r="X147" s="91"/>
      <c r="Y147" s="91"/>
      <c r="Z147" s="91"/>
      <c r="AA147" s="91"/>
    </row>
    <row r="148" spans="1:27" x14ac:dyDescent="0.3">
      <c r="A148" s="91"/>
      <c r="B148" s="91"/>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c r="AA148" s="91"/>
    </row>
    <row r="149" spans="1:27" x14ac:dyDescent="0.3">
      <c r="A149" s="91"/>
      <c r="B149" s="91"/>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c r="AA149" s="91"/>
    </row>
    <row r="150" spans="1:27" x14ac:dyDescent="0.3">
      <c r="A150" s="91"/>
      <c r="B150" s="91"/>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c r="AA150" s="91"/>
    </row>
  </sheetData>
  <mergeCells count="47">
    <mergeCell ref="AM8:AM11"/>
    <mergeCell ref="AN8:AN11"/>
    <mergeCell ref="AF7:AF10"/>
    <mergeCell ref="AG7:AG10"/>
    <mergeCell ref="G8:I8"/>
    <mergeCell ref="J8:L8"/>
    <mergeCell ref="M8:M10"/>
    <mergeCell ref="N8:N10"/>
    <mergeCell ref="O8:P8"/>
    <mergeCell ref="R8:T8"/>
    <mergeCell ref="F8:F10"/>
    <mergeCell ref="B7:F7"/>
    <mergeCell ref="G7:P7"/>
    <mergeCell ref="R7:AB7"/>
    <mergeCell ref="AE7:AE10"/>
    <mergeCell ref="U8:W8"/>
    <mergeCell ref="X8:X10"/>
    <mergeCell ref="Y8:Y10"/>
    <mergeCell ref="Z8:AA8"/>
    <mergeCell ref="S9:S10"/>
    <mergeCell ref="T9:T10"/>
    <mergeCell ref="U9:U10"/>
    <mergeCell ref="V9:V10"/>
    <mergeCell ref="O9:O10"/>
    <mergeCell ref="P9:P10"/>
    <mergeCell ref="R9:R10"/>
    <mergeCell ref="A8:A11"/>
    <mergeCell ref="B8:B11"/>
    <mergeCell ref="C8:C11"/>
    <mergeCell ref="D8:D10"/>
    <mergeCell ref="E8:E10"/>
    <mergeCell ref="A40:G40"/>
    <mergeCell ref="A41:J41"/>
    <mergeCell ref="AH7:AH10"/>
    <mergeCell ref="W9:W10"/>
    <mergeCell ref="Z9:Z10"/>
    <mergeCell ref="AA9:AA10"/>
    <mergeCell ref="D11:F11"/>
    <mergeCell ref="G11:P11"/>
    <mergeCell ref="R11:AB11"/>
    <mergeCell ref="AB8:AB10"/>
    <mergeCell ref="G9:G10"/>
    <mergeCell ref="H9:H10"/>
    <mergeCell ref="I9:I10"/>
    <mergeCell ref="J9:J10"/>
    <mergeCell ref="K9:K10"/>
    <mergeCell ref="L9:L10"/>
  </mergeCells>
  <hyperlinks>
    <hyperlink ref="A5" r:id="rId1" xr:uid="{1916B435-B14B-4895-8B89-0AA7AC207AE5}"/>
  </hyperlinks>
  <pageMargins left="0.7" right="0.7" top="0.75" bottom="0.75" header="0.3" footer="0.3"/>
  <pageSetup paperSize="9" orientation="portrait" horizontalDpi="300" verticalDpi="300" r:id="rId2"/>
  <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E5A6E-72F4-49D4-B5D4-A750882A9525}">
  <sheetPr>
    <pageSetUpPr fitToPage="1"/>
  </sheetPr>
  <dimension ref="A1:AB57"/>
  <sheetViews>
    <sheetView showGridLines="0" tabSelected="1" topLeftCell="A13" workbookViewId="0">
      <selection activeCell="D21" sqref="D21"/>
    </sheetView>
  </sheetViews>
  <sheetFormatPr defaultColWidth="9.109375" defaultRowHeight="12" x14ac:dyDescent="0.25"/>
  <cols>
    <col min="1" max="1" width="30.5546875" style="713" customWidth="1"/>
    <col min="2" max="2" width="15.33203125" style="713" customWidth="1"/>
    <col min="3" max="3" width="10.5546875" style="713" customWidth="1"/>
    <col min="4" max="4" width="11" style="713" customWidth="1"/>
    <col min="5" max="5" width="10.109375" style="713" customWidth="1"/>
    <col min="6" max="6" width="10.44140625" style="713" customWidth="1"/>
    <col min="7" max="7" width="8.44140625" style="713" customWidth="1"/>
    <col min="8" max="8" width="7.6640625" style="713" customWidth="1"/>
    <col min="9" max="9" width="9" style="713" customWidth="1"/>
    <col min="10" max="10" width="8.6640625" style="713" customWidth="1"/>
    <col min="11" max="12" width="10.6640625" style="713" customWidth="1"/>
    <col min="13" max="13" width="10.44140625" style="713" customWidth="1"/>
    <col min="14" max="14" width="9.6640625" style="713" customWidth="1"/>
    <col min="15" max="15" width="13.88671875" style="713" customWidth="1"/>
    <col min="16" max="16" width="10.44140625" style="713" bestFit="1" customWidth="1"/>
    <col min="17" max="17" width="11.33203125" style="713" bestFit="1" customWidth="1"/>
    <col min="18" max="18" width="11.44140625" style="713" customWidth="1"/>
    <col min="19" max="19" width="9" style="713" customWidth="1"/>
    <col min="20" max="20" width="10" style="713" bestFit="1" customWidth="1"/>
    <col min="21" max="21" width="13.6640625" style="713" customWidth="1"/>
    <col min="22" max="22" width="8.6640625" style="713" customWidth="1"/>
    <col min="23" max="23" width="14.6640625" style="713" customWidth="1"/>
    <col min="24" max="24" width="11.6640625" style="713" customWidth="1"/>
    <col min="25" max="25" width="9.44140625" style="713" bestFit="1" customWidth="1"/>
    <col min="26" max="26" width="13.109375" style="713" customWidth="1"/>
    <col min="27" max="27" width="11.44140625" style="713" customWidth="1"/>
    <col min="28" max="28" width="13.5546875" style="713" customWidth="1"/>
    <col min="29" max="16384" width="9.109375" style="713"/>
  </cols>
  <sheetData>
    <row r="1" spans="1:28" ht="23.25" customHeight="1" x14ac:dyDescent="0.25">
      <c r="A1" s="709" t="s">
        <v>2022</v>
      </c>
      <c r="B1" s="710"/>
      <c r="C1" s="710"/>
      <c r="D1" s="710"/>
      <c r="E1" s="710"/>
      <c r="F1" s="710"/>
      <c r="G1" s="710"/>
      <c r="H1" s="710"/>
      <c r="I1" s="710"/>
      <c r="J1" s="710"/>
      <c r="K1" s="710"/>
      <c r="L1" s="710"/>
      <c r="M1" s="710"/>
      <c r="N1" s="710"/>
      <c r="O1" s="710"/>
      <c r="P1" s="710"/>
      <c r="Q1" s="710"/>
      <c r="R1" s="710"/>
      <c r="S1" s="710"/>
      <c r="T1" s="710"/>
      <c r="U1" s="710"/>
      <c r="V1" s="710"/>
      <c r="W1" s="710"/>
      <c r="X1" s="710"/>
      <c r="Y1" s="710"/>
      <c r="Z1" s="711"/>
      <c r="AA1" s="712"/>
      <c r="AB1" s="711"/>
    </row>
    <row r="2" spans="1:28" ht="15.6" x14ac:dyDescent="0.25">
      <c r="A2" s="709" t="s">
        <v>2023</v>
      </c>
      <c r="B2" s="710"/>
      <c r="C2" s="710"/>
      <c r="D2" s="710"/>
      <c r="E2" s="710"/>
      <c r="F2" s="710"/>
      <c r="G2" s="710"/>
      <c r="H2" s="710"/>
      <c r="I2" s="710"/>
      <c r="J2" s="710"/>
      <c r="K2" s="710"/>
      <c r="L2" s="710"/>
      <c r="M2" s="710"/>
      <c r="N2" s="710"/>
      <c r="O2" s="710"/>
      <c r="P2" s="710"/>
      <c r="Q2" s="710"/>
      <c r="R2" s="710"/>
      <c r="S2" s="710"/>
      <c r="T2" s="710"/>
      <c r="U2" s="710"/>
      <c r="V2" s="710"/>
      <c r="W2" s="710"/>
      <c r="X2" s="710"/>
      <c r="Y2" s="714"/>
      <c r="Z2" s="715"/>
      <c r="AA2" s="712"/>
      <c r="AB2" s="712" t="s">
        <v>257</v>
      </c>
    </row>
    <row r="3" spans="1:28" ht="18" x14ac:dyDescent="0.3">
      <c r="A3" s="716" t="s">
        <v>2024</v>
      </c>
      <c r="B3" s="717"/>
      <c r="C3" s="717"/>
      <c r="D3" s="717"/>
      <c r="E3" s="717"/>
      <c r="F3" s="717"/>
      <c r="G3" s="717"/>
      <c r="H3" s="717"/>
      <c r="I3" s="717"/>
      <c r="J3" s="711"/>
      <c r="K3" s="711"/>
      <c r="L3" s="711"/>
      <c r="M3" s="711"/>
      <c r="N3" s="711"/>
      <c r="O3" s="711"/>
      <c r="P3" s="711"/>
      <c r="Q3" s="711"/>
      <c r="R3" s="711"/>
      <c r="S3" s="711"/>
      <c r="T3" s="711"/>
      <c r="U3" s="711"/>
      <c r="V3" s="711"/>
      <c r="W3" s="711"/>
      <c r="X3" s="711"/>
      <c r="Y3" s="715"/>
      <c r="Z3" s="715"/>
      <c r="AA3" s="712"/>
      <c r="AB3" s="712" t="s">
        <v>2025</v>
      </c>
    </row>
    <row r="4" spans="1:28" x14ac:dyDescent="0.25">
      <c r="A4" s="717"/>
      <c r="B4" s="717"/>
      <c r="C4" s="717"/>
      <c r="D4" s="717"/>
      <c r="E4" s="717"/>
      <c r="F4" s="717"/>
      <c r="G4" s="717"/>
      <c r="H4" s="717"/>
      <c r="I4" s="717"/>
      <c r="J4" s="711"/>
      <c r="K4" s="711"/>
      <c r="L4" s="711"/>
      <c r="M4" s="711"/>
      <c r="N4" s="711"/>
      <c r="O4" s="711"/>
      <c r="P4" s="711"/>
      <c r="Q4" s="711"/>
      <c r="R4" s="711"/>
      <c r="S4" s="711"/>
      <c r="T4" s="711"/>
      <c r="U4" s="711"/>
      <c r="V4" s="711"/>
      <c r="W4" s="711"/>
      <c r="X4" s="711"/>
      <c r="Y4" s="715"/>
      <c r="Z4" s="715"/>
      <c r="AA4" s="712"/>
      <c r="AB4" s="712" t="s">
        <v>2026</v>
      </c>
    </row>
    <row r="5" spans="1:28" s="719" customFormat="1" x14ac:dyDescent="0.3">
      <c r="A5" s="718" t="s">
        <v>1488</v>
      </c>
      <c r="B5" s="718"/>
      <c r="C5" s="718"/>
      <c r="D5" s="718"/>
      <c r="E5" s="718"/>
      <c r="F5" s="718"/>
      <c r="G5" s="718"/>
      <c r="H5" s="718"/>
      <c r="I5" s="718"/>
      <c r="J5" s="718"/>
      <c r="K5" s="718"/>
      <c r="L5" s="718"/>
      <c r="M5" s="718"/>
      <c r="N5" s="718"/>
      <c r="O5" s="718"/>
      <c r="P5" s="718"/>
      <c r="Q5" s="718"/>
      <c r="R5" s="718"/>
      <c r="S5" s="718"/>
      <c r="T5" s="718"/>
      <c r="U5" s="718"/>
      <c r="V5" s="718"/>
      <c r="W5" s="718"/>
      <c r="X5" s="718"/>
      <c r="Y5" s="718"/>
      <c r="Z5" s="718"/>
      <c r="AA5" s="718"/>
      <c r="AB5" s="718"/>
    </row>
    <row r="6" spans="1:28" s="720" customFormat="1" ht="35.25" customHeight="1" x14ac:dyDescent="0.25">
      <c r="A6" s="690" t="s">
        <v>362</v>
      </c>
      <c r="B6" s="1251" t="s">
        <v>345</v>
      </c>
      <c r="C6" s="1252"/>
      <c r="D6" s="1252"/>
      <c r="E6" s="1252"/>
      <c r="F6" s="1253"/>
      <c r="G6" s="1254" t="s">
        <v>346</v>
      </c>
      <c r="H6" s="1255"/>
      <c r="I6" s="1255"/>
      <c r="J6" s="1255"/>
      <c r="K6" s="1255"/>
      <c r="L6" s="1255"/>
      <c r="M6" s="1255"/>
      <c r="N6" s="1255"/>
      <c r="O6" s="1255"/>
      <c r="P6" s="1256"/>
      <c r="Q6" s="1216" t="s">
        <v>347</v>
      </c>
      <c r="R6" s="1248"/>
      <c r="S6" s="1248"/>
      <c r="T6" s="1248"/>
      <c r="U6" s="1248"/>
      <c r="V6" s="1248"/>
      <c r="W6" s="1248"/>
      <c r="X6" s="1248"/>
      <c r="Y6" s="1248"/>
      <c r="Z6" s="1248"/>
      <c r="AA6" s="1249"/>
      <c r="AB6" s="1257" t="s">
        <v>363</v>
      </c>
    </row>
    <row r="7" spans="1:28" s="720" customFormat="1" ht="83.25" customHeight="1" x14ac:dyDescent="0.25">
      <c r="A7" s="1246" t="s">
        <v>348</v>
      </c>
      <c r="B7" s="1246" t="s">
        <v>349</v>
      </c>
      <c r="C7" s="1257" t="s">
        <v>364</v>
      </c>
      <c r="D7" s="1246" t="s">
        <v>350</v>
      </c>
      <c r="E7" s="1246" t="s">
        <v>351</v>
      </c>
      <c r="F7" s="1246" t="s">
        <v>352</v>
      </c>
      <c r="G7" s="1216" t="s">
        <v>365</v>
      </c>
      <c r="H7" s="1248"/>
      <c r="I7" s="1249"/>
      <c r="J7" s="1216" t="s">
        <v>366</v>
      </c>
      <c r="K7" s="1248"/>
      <c r="L7" s="1249"/>
      <c r="M7" s="1246" t="s">
        <v>367</v>
      </c>
      <c r="N7" s="1246" t="s">
        <v>368</v>
      </c>
      <c r="O7" s="1216" t="s">
        <v>369</v>
      </c>
      <c r="P7" s="1249"/>
      <c r="Q7" s="1216" t="s">
        <v>370</v>
      </c>
      <c r="R7" s="1248"/>
      <c r="S7" s="1249"/>
      <c r="T7" s="1216" t="s">
        <v>371</v>
      </c>
      <c r="U7" s="1248"/>
      <c r="V7" s="1249"/>
      <c r="W7" s="1246" t="s">
        <v>372</v>
      </c>
      <c r="X7" s="1246" t="s">
        <v>373</v>
      </c>
      <c r="Y7" s="1216" t="s">
        <v>374</v>
      </c>
      <c r="Z7" s="1249"/>
      <c r="AA7" s="1246" t="s">
        <v>375</v>
      </c>
      <c r="AB7" s="1258"/>
    </row>
    <row r="8" spans="1:28" s="720" customFormat="1" ht="60" customHeight="1" x14ac:dyDescent="0.25">
      <c r="A8" s="1250"/>
      <c r="B8" s="1250"/>
      <c r="C8" s="1258"/>
      <c r="D8" s="1250"/>
      <c r="E8" s="1250"/>
      <c r="F8" s="1250"/>
      <c r="G8" s="1246" t="s">
        <v>353</v>
      </c>
      <c r="H8" s="1246" t="s">
        <v>354</v>
      </c>
      <c r="I8" s="1246" t="s">
        <v>355</v>
      </c>
      <c r="J8" s="1246" t="s">
        <v>353</v>
      </c>
      <c r="K8" s="1246" t="s">
        <v>354</v>
      </c>
      <c r="L8" s="1246" t="s">
        <v>355</v>
      </c>
      <c r="M8" s="1250"/>
      <c r="N8" s="1250"/>
      <c r="O8" s="1229" t="s">
        <v>356</v>
      </c>
      <c r="P8" s="1229" t="s">
        <v>376</v>
      </c>
      <c r="Q8" s="1246" t="s">
        <v>353</v>
      </c>
      <c r="R8" s="1246" t="s">
        <v>354</v>
      </c>
      <c r="S8" s="1246" t="s">
        <v>355</v>
      </c>
      <c r="T8" s="1246" t="s">
        <v>353</v>
      </c>
      <c r="U8" s="1246" t="s">
        <v>354</v>
      </c>
      <c r="V8" s="1246" t="s">
        <v>355</v>
      </c>
      <c r="W8" s="1250"/>
      <c r="X8" s="1250"/>
      <c r="Y8" s="1229" t="s">
        <v>356</v>
      </c>
      <c r="Z8" s="1229" t="s">
        <v>377</v>
      </c>
      <c r="AA8" s="1250"/>
      <c r="AB8" s="1258"/>
    </row>
    <row r="9" spans="1:28" s="720" customFormat="1" ht="60" customHeight="1" x14ac:dyDescent="0.25">
      <c r="A9" s="1250"/>
      <c r="B9" s="1250"/>
      <c r="C9" s="1258"/>
      <c r="D9" s="1247"/>
      <c r="E9" s="1247"/>
      <c r="F9" s="1247"/>
      <c r="G9" s="1247"/>
      <c r="H9" s="1247"/>
      <c r="I9" s="1247"/>
      <c r="J9" s="1247"/>
      <c r="K9" s="1247"/>
      <c r="L9" s="1247"/>
      <c r="M9" s="1247"/>
      <c r="N9" s="1247"/>
      <c r="O9" s="1230"/>
      <c r="P9" s="1230"/>
      <c r="Q9" s="1247"/>
      <c r="R9" s="1247"/>
      <c r="S9" s="1247"/>
      <c r="T9" s="1247"/>
      <c r="U9" s="1247"/>
      <c r="V9" s="1247"/>
      <c r="W9" s="1247"/>
      <c r="X9" s="1247"/>
      <c r="Y9" s="1230"/>
      <c r="Z9" s="1230"/>
      <c r="AA9" s="1247"/>
      <c r="AB9" s="1259"/>
    </row>
    <row r="10" spans="1:28" s="720" customFormat="1" ht="34.5" customHeight="1" thickBot="1" x14ac:dyDescent="0.3">
      <c r="A10" s="1260"/>
      <c r="B10" s="1260"/>
      <c r="C10" s="1261"/>
      <c r="D10" s="1231" t="s">
        <v>357</v>
      </c>
      <c r="E10" s="1232"/>
      <c r="F10" s="1233"/>
      <c r="G10" s="1234" t="s">
        <v>358</v>
      </c>
      <c r="H10" s="1235"/>
      <c r="I10" s="1235"/>
      <c r="J10" s="1235"/>
      <c r="K10" s="1235"/>
      <c r="L10" s="1235"/>
      <c r="M10" s="1235"/>
      <c r="N10" s="1235"/>
      <c r="O10" s="1235"/>
      <c r="P10" s="1236"/>
      <c r="Q10" s="1237" t="s">
        <v>359</v>
      </c>
      <c r="R10" s="1238"/>
      <c r="S10" s="1238"/>
      <c r="T10" s="1238"/>
      <c r="U10" s="1238"/>
      <c r="V10" s="1238"/>
      <c r="W10" s="1238"/>
      <c r="X10" s="1238"/>
      <c r="Y10" s="1238"/>
      <c r="Z10" s="1238"/>
      <c r="AA10" s="1239"/>
      <c r="AB10" s="721" t="s">
        <v>378</v>
      </c>
    </row>
    <row r="11" spans="1:28" s="725" customFormat="1" ht="43.5" customHeight="1" thickTop="1" x14ac:dyDescent="0.25">
      <c r="A11" s="722" t="s">
        <v>2027</v>
      </c>
      <c r="B11" s="723" t="s">
        <v>269</v>
      </c>
      <c r="C11" s="723" t="s">
        <v>269</v>
      </c>
      <c r="D11" s="724">
        <v>7445.5917825325832</v>
      </c>
      <c r="E11" s="724">
        <v>7445.5917825325832</v>
      </c>
      <c r="F11" s="724" t="s">
        <v>360</v>
      </c>
      <c r="G11" s="724">
        <v>2.0804151482562601</v>
      </c>
      <c r="H11" s="724">
        <v>-1.1874392678441701</v>
      </c>
      <c r="I11" s="724">
        <v>0.89297588041207998</v>
      </c>
      <c r="J11" s="724">
        <v>0.42849844392858999</v>
      </c>
      <c r="K11" s="724">
        <v>-0.24866496494304</v>
      </c>
      <c r="L11" s="724">
        <v>0.17983347898556001</v>
      </c>
      <c r="M11" s="724">
        <v>2.6412136504899999E-3</v>
      </c>
      <c r="N11" s="724">
        <v>1.5357646277299999E-3</v>
      </c>
      <c r="O11" s="724" t="s">
        <v>361</v>
      </c>
      <c r="P11" s="724" t="s">
        <v>360</v>
      </c>
      <c r="Q11" s="724">
        <v>15489.921932113079</v>
      </c>
      <c r="R11" s="724">
        <v>-8841.188054917091</v>
      </c>
      <c r="S11" s="724">
        <v>6648.7338771959867</v>
      </c>
      <c r="T11" s="724">
        <v>3190.4244929427191</v>
      </c>
      <c r="U11" s="724">
        <v>-1851.4578195836239</v>
      </c>
      <c r="V11" s="724">
        <v>1338.9666733590955</v>
      </c>
      <c r="W11" s="724">
        <v>19.665398651996082</v>
      </c>
      <c r="X11" s="724">
        <v>11.434676492128389</v>
      </c>
      <c r="Y11" s="724" t="s">
        <v>361</v>
      </c>
      <c r="Z11" s="724" t="s">
        <v>360</v>
      </c>
      <c r="AA11" s="724">
        <v>490.66278558324643</v>
      </c>
      <c r="AB11" s="724">
        <v>-31201.365841369021</v>
      </c>
    </row>
    <row r="12" spans="1:28" s="725" customFormat="1" ht="18.75" customHeight="1" x14ac:dyDescent="0.25">
      <c r="A12" s="726" t="s">
        <v>2028</v>
      </c>
      <c r="B12" s="723"/>
      <c r="C12" s="723" t="s">
        <v>269</v>
      </c>
      <c r="D12" s="724">
        <v>7445.5917825325832</v>
      </c>
      <c r="E12" s="724">
        <v>7445.5917825325832</v>
      </c>
      <c r="F12" s="724" t="s">
        <v>343</v>
      </c>
      <c r="G12" s="724">
        <v>2.0804151482562601</v>
      </c>
      <c r="H12" s="724">
        <v>-1.1874392678441701</v>
      </c>
      <c r="I12" s="724">
        <v>0.89297588041207998</v>
      </c>
      <c r="J12" s="724">
        <v>0.42849844392858999</v>
      </c>
      <c r="K12" s="724">
        <v>-0.24866496494304</v>
      </c>
      <c r="L12" s="724">
        <v>0.17983347898556001</v>
      </c>
      <c r="M12" s="724">
        <v>2.6412136504899999E-3</v>
      </c>
      <c r="N12" s="724">
        <v>1.5357646277299999E-3</v>
      </c>
      <c r="O12" s="724" t="s">
        <v>344</v>
      </c>
      <c r="P12" s="724" t="s">
        <v>343</v>
      </c>
      <c r="Q12" s="724">
        <v>15489.921932113079</v>
      </c>
      <c r="R12" s="724">
        <v>-8841.188054917091</v>
      </c>
      <c r="S12" s="724">
        <v>6648.7338771959867</v>
      </c>
      <c r="T12" s="724">
        <v>3190.4244929427191</v>
      </c>
      <c r="U12" s="724">
        <v>-1851.4578195836239</v>
      </c>
      <c r="V12" s="724">
        <v>1338.9666733590955</v>
      </c>
      <c r="W12" s="724">
        <v>19.665398651996082</v>
      </c>
      <c r="X12" s="724">
        <v>11.434676492128389</v>
      </c>
      <c r="Y12" s="724" t="s">
        <v>344</v>
      </c>
      <c r="Z12" s="724" t="s">
        <v>343</v>
      </c>
      <c r="AA12" s="723"/>
      <c r="AB12" s="724">
        <v>-29402.268960897116</v>
      </c>
    </row>
    <row r="13" spans="1:28" s="720" customFormat="1" x14ac:dyDescent="0.25">
      <c r="A13" s="727" t="s">
        <v>2029</v>
      </c>
      <c r="B13" s="728" t="s">
        <v>2029</v>
      </c>
      <c r="C13" s="723" t="s">
        <v>269</v>
      </c>
      <c r="D13" s="724">
        <v>459.51480581893503</v>
      </c>
      <c r="E13" s="728">
        <v>459.51480581893503</v>
      </c>
      <c r="F13" s="728" t="s">
        <v>343</v>
      </c>
      <c r="G13" s="724">
        <v>1.7541029942634701</v>
      </c>
      <c r="H13" s="724">
        <v>-0.94695362309695996</v>
      </c>
      <c r="I13" s="724">
        <v>0.80714937116650998</v>
      </c>
      <c r="J13" s="724">
        <v>0.36644848481594</v>
      </c>
      <c r="K13" s="724">
        <v>-0.20029238517801001</v>
      </c>
      <c r="L13" s="724">
        <v>0.16615609963792</v>
      </c>
      <c r="M13" s="724">
        <v>3.7998478490299998E-3</v>
      </c>
      <c r="N13" s="724">
        <v>1.50520404879E-3</v>
      </c>
      <c r="O13" s="724" t="s">
        <v>344</v>
      </c>
      <c r="P13" s="724" t="s">
        <v>343</v>
      </c>
      <c r="Q13" s="728">
        <v>806.03629679539097</v>
      </c>
      <c r="R13" s="728">
        <v>-435.13921023693501</v>
      </c>
      <c r="S13" s="724">
        <v>370.89708655845595</v>
      </c>
      <c r="T13" s="728">
        <v>168.38850434283799</v>
      </c>
      <c r="U13" s="728">
        <v>-92.037316482086496</v>
      </c>
      <c r="V13" s="724">
        <v>76.351187860751494</v>
      </c>
      <c r="W13" s="728">
        <v>1.74608634648761</v>
      </c>
      <c r="X13" s="728">
        <v>0.69166354619685</v>
      </c>
      <c r="Y13" s="728" t="s">
        <v>344</v>
      </c>
      <c r="Z13" s="728" t="s">
        <v>343</v>
      </c>
      <c r="AA13" s="723" t="s">
        <v>269</v>
      </c>
      <c r="AB13" s="724">
        <v>-1648.8487558102718</v>
      </c>
    </row>
    <row r="14" spans="1:28" x14ac:dyDescent="0.25">
      <c r="A14" s="727" t="s">
        <v>2030</v>
      </c>
      <c r="B14" s="728" t="s">
        <v>2030</v>
      </c>
      <c r="C14" s="723" t="s">
        <v>269</v>
      </c>
      <c r="D14" s="724">
        <v>286.20984283775863</v>
      </c>
      <c r="E14" s="728">
        <v>286.20984283775863</v>
      </c>
      <c r="F14" s="728" t="s">
        <v>343</v>
      </c>
      <c r="G14" s="724">
        <v>2.1560098748569199</v>
      </c>
      <c r="H14" s="724">
        <v>-1.08413314179501</v>
      </c>
      <c r="I14" s="724">
        <v>1.0718767330619099</v>
      </c>
      <c r="J14" s="724">
        <v>0.44375077157039</v>
      </c>
      <c r="K14" s="724">
        <v>-0.23252976691197999</v>
      </c>
      <c r="L14" s="724">
        <v>0.21122100465841001</v>
      </c>
      <c r="M14" s="724">
        <v>8.6653224395E-4</v>
      </c>
      <c r="N14" s="724">
        <v>8.3973243550999996E-4</v>
      </c>
      <c r="O14" s="724" t="s">
        <v>344</v>
      </c>
      <c r="P14" s="724" t="s">
        <v>343</v>
      </c>
      <c r="Q14" s="728">
        <v>617.07124743945405</v>
      </c>
      <c r="R14" s="728">
        <v>-310.28957612835598</v>
      </c>
      <c r="S14" s="724">
        <v>306.78167131109808</v>
      </c>
      <c r="T14" s="728">
        <v>127.005838590295</v>
      </c>
      <c r="U14" s="728">
        <v>-66.552308042978694</v>
      </c>
      <c r="V14" s="724">
        <v>60.453530547316312</v>
      </c>
      <c r="W14" s="728">
        <v>0.24801005735498</v>
      </c>
      <c r="X14" s="728">
        <v>0.24033968839377001</v>
      </c>
      <c r="Y14" s="728" t="s">
        <v>344</v>
      </c>
      <c r="Z14" s="728" t="s">
        <v>343</v>
      </c>
      <c r="AA14" s="723" t="s">
        <v>269</v>
      </c>
      <c r="AB14" s="724">
        <v>-1348.319689215266</v>
      </c>
    </row>
    <row r="15" spans="1:28" x14ac:dyDescent="0.25">
      <c r="A15" s="727" t="s">
        <v>2031</v>
      </c>
      <c r="B15" s="728" t="s">
        <v>2031</v>
      </c>
      <c r="C15" s="723" t="s">
        <v>269</v>
      </c>
      <c r="D15" s="724">
        <v>108.93906240292843</v>
      </c>
      <c r="E15" s="728">
        <v>108.93906240292843</v>
      </c>
      <c r="F15" s="728" t="s">
        <v>343</v>
      </c>
      <c r="G15" s="724">
        <v>1.6735904187367601</v>
      </c>
      <c r="H15" s="724">
        <v>-0.74613290411053002</v>
      </c>
      <c r="I15" s="724">
        <v>0.92745751462623005</v>
      </c>
      <c r="J15" s="724">
        <v>0.30644883544293</v>
      </c>
      <c r="K15" s="724">
        <v>-0.14042628865872001</v>
      </c>
      <c r="L15" s="724">
        <v>0.16602254678421999</v>
      </c>
      <c r="M15" s="724">
        <v>6.6550432950100002E-3</v>
      </c>
      <c r="N15" s="724">
        <v>3.2979877926900001E-3</v>
      </c>
      <c r="O15" s="724" t="s">
        <v>344</v>
      </c>
      <c r="P15" s="724" t="s">
        <v>343</v>
      </c>
      <c r="Q15" s="728">
        <v>182.319371063707</v>
      </c>
      <c r="R15" s="728">
        <v>-81.283019001775202</v>
      </c>
      <c r="S15" s="724">
        <v>101.03635206193179</v>
      </c>
      <c r="T15" s="728">
        <v>33.384248807622598</v>
      </c>
      <c r="U15" s="728">
        <v>-15.297908223203599</v>
      </c>
      <c r="V15" s="724">
        <v>18.086340584418998</v>
      </c>
      <c r="W15" s="728">
        <v>0.72499417680908995</v>
      </c>
      <c r="X15" s="728">
        <v>0.35927969795233</v>
      </c>
      <c r="Y15" s="728" t="s">
        <v>344</v>
      </c>
      <c r="Z15" s="728" t="s">
        <v>343</v>
      </c>
      <c r="AA15" s="723" t="s">
        <v>269</v>
      </c>
      <c r="AB15" s="724">
        <v>-440.75887724407852</v>
      </c>
    </row>
    <row r="16" spans="1:28" x14ac:dyDescent="0.25">
      <c r="A16" s="727" t="s">
        <v>2032</v>
      </c>
      <c r="B16" s="728" t="s">
        <v>2032</v>
      </c>
      <c r="C16" s="723" t="s">
        <v>269</v>
      </c>
      <c r="D16" s="724">
        <v>740.53818590705646</v>
      </c>
      <c r="E16" s="728">
        <v>740.53818590705646</v>
      </c>
      <c r="F16" s="728" t="s">
        <v>343</v>
      </c>
      <c r="G16" s="724">
        <v>2.3126758761982802</v>
      </c>
      <c r="H16" s="724">
        <v>-1.11696921144455</v>
      </c>
      <c r="I16" s="724">
        <v>1.19570666475373</v>
      </c>
      <c r="J16" s="724">
        <v>0.44572954152656002</v>
      </c>
      <c r="K16" s="724">
        <v>-0.21619231448161999</v>
      </c>
      <c r="L16" s="724">
        <v>0.22953722704494001</v>
      </c>
      <c r="M16" s="724">
        <v>1.7104925117500001E-3</v>
      </c>
      <c r="N16" s="724">
        <v>1.76801864682E-3</v>
      </c>
      <c r="O16" s="724" t="s">
        <v>344</v>
      </c>
      <c r="P16" s="724" t="s">
        <v>343</v>
      </c>
      <c r="Q16" s="728">
        <v>1712.6247979508901</v>
      </c>
      <c r="R16" s="728">
        <v>-827.15835355718298</v>
      </c>
      <c r="S16" s="724">
        <v>885.46644439370709</v>
      </c>
      <c r="T16" s="728">
        <v>330.07974608726403</v>
      </c>
      <c r="U16" s="728">
        <v>-160.09866437327</v>
      </c>
      <c r="V16" s="724">
        <v>169.98108171399403</v>
      </c>
      <c r="W16" s="728">
        <v>1.26668502166149</v>
      </c>
      <c r="X16" s="728">
        <v>1.3092853213623601</v>
      </c>
      <c r="Y16" s="728" t="s">
        <v>344</v>
      </c>
      <c r="Z16" s="728" t="s">
        <v>343</v>
      </c>
      <c r="AA16" s="723" t="s">
        <v>269</v>
      </c>
      <c r="AB16" s="724">
        <v>-3879.4194869859953</v>
      </c>
    </row>
    <row r="17" spans="1:28" x14ac:dyDescent="0.25">
      <c r="A17" s="727" t="s">
        <v>2033</v>
      </c>
      <c r="B17" s="728" t="s">
        <v>2033</v>
      </c>
      <c r="C17" s="723" t="s">
        <v>269</v>
      </c>
      <c r="D17" s="724">
        <v>344.73447847178971</v>
      </c>
      <c r="E17" s="728">
        <v>344.73447847178971</v>
      </c>
      <c r="F17" s="728" t="s">
        <v>343</v>
      </c>
      <c r="G17" s="724">
        <v>1.7949181119665401</v>
      </c>
      <c r="H17" s="724">
        <v>-1.2785362808409499</v>
      </c>
      <c r="I17" s="724">
        <v>0.51638183112559</v>
      </c>
      <c r="J17" s="724">
        <v>0.34485224414319998</v>
      </c>
      <c r="K17" s="724">
        <v>-0.24863060032052001</v>
      </c>
      <c r="L17" s="724">
        <v>9.6221643822680003E-2</v>
      </c>
      <c r="M17" s="724">
        <v>2.4774837633499999E-3</v>
      </c>
      <c r="N17" s="724">
        <v>1.22228158756E-3</v>
      </c>
      <c r="O17" s="724" t="s">
        <v>344</v>
      </c>
      <c r="P17" s="724" t="s">
        <v>343</v>
      </c>
      <c r="Q17" s="728">
        <v>618.77015922835301</v>
      </c>
      <c r="R17" s="728">
        <v>-440.75553798296602</v>
      </c>
      <c r="S17" s="724">
        <v>178.01462124538699</v>
      </c>
      <c r="T17" s="728">
        <v>118.882458534533</v>
      </c>
      <c r="U17" s="728">
        <v>-85.711540333622395</v>
      </c>
      <c r="V17" s="724">
        <v>33.170918200910599</v>
      </c>
      <c r="W17" s="728">
        <v>0.85407407307912997</v>
      </c>
      <c r="X17" s="728">
        <v>0.42136260563234001</v>
      </c>
      <c r="Y17" s="728" t="s">
        <v>344</v>
      </c>
      <c r="Z17" s="728" t="s">
        <v>343</v>
      </c>
      <c r="AA17" s="723" t="s">
        <v>269</v>
      </c>
      <c r="AB17" s="724">
        <v>-779.02357912503396</v>
      </c>
    </row>
    <row r="18" spans="1:28" x14ac:dyDescent="0.25">
      <c r="A18" s="727" t="s">
        <v>2034</v>
      </c>
      <c r="B18" s="728" t="s">
        <v>2034</v>
      </c>
      <c r="C18" s="723" t="s">
        <v>269</v>
      </c>
      <c r="D18" s="724">
        <v>281.84910908495323</v>
      </c>
      <c r="E18" s="728">
        <v>281.84910908495323</v>
      </c>
      <c r="F18" s="728" t="s">
        <v>343</v>
      </c>
      <c r="G18" s="724">
        <v>3.02279916348416</v>
      </c>
      <c r="H18" s="724">
        <v>-1.6108215971575901</v>
      </c>
      <c r="I18" s="724">
        <v>1.4119775663265699</v>
      </c>
      <c r="J18" s="724">
        <v>0.62502795624982999</v>
      </c>
      <c r="K18" s="724">
        <v>-0.33560666767251002</v>
      </c>
      <c r="L18" s="724">
        <v>0.28942128857732002</v>
      </c>
      <c r="M18" s="724">
        <v>2.7083450658799998E-3</v>
      </c>
      <c r="N18" s="724">
        <v>3.34542359502E-3</v>
      </c>
      <c r="O18" s="724" t="s">
        <v>344</v>
      </c>
      <c r="P18" s="724" t="s">
        <v>343</v>
      </c>
      <c r="Q18" s="728">
        <v>851.97325117075195</v>
      </c>
      <c r="R18" s="728">
        <v>-454.00863205366898</v>
      </c>
      <c r="S18" s="724">
        <v>397.96461911708298</v>
      </c>
      <c r="T18" s="728">
        <v>176.16357262220501</v>
      </c>
      <c r="U18" s="728">
        <v>-94.590440286467299</v>
      </c>
      <c r="V18" s="724">
        <v>81.573132335737711</v>
      </c>
      <c r="W18" s="728">
        <v>0.76334464391214996</v>
      </c>
      <c r="X18" s="728">
        <v>0.94290465976686999</v>
      </c>
      <c r="Y18" s="728" t="s">
        <v>344</v>
      </c>
      <c r="Z18" s="728" t="s">
        <v>343</v>
      </c>
      <c r="AA18" s="723" t="s">
        <v>269</v>
      </c>
      <c r="AB18" s="724">
        <v>-1764.5613361071671</v>
      </c>
    </row>
    <row r="19" spans="1:28" x14ac:dyDescent="0.25">
      <c r="A19" s="727" t="s">
        <v>2035</v>
      </c>
      <c r="B19" s="728" t="s">
        <v>2035</v>
      </c>
      <c r="C19" s="723" t="s">
        <v>269</v>
      </c>
      <c r="D19" s="724">
        <v>86.8036705420526</v>
      </c>
      <c r="E19" s="728">
        <v>86.8036705420526</v>
      </c>
      <c r="F19" s="728" t="s">
        <v>343</v>
      </c>
      <c r="G19" s="724">
        <v>1.9076116158008201</v>
      </c>
      <c r="H19" s="724">
        <v>-0.85242686925875</v>
      </c>
      <c r="I19" s="724">
        <v>1.0551847465420701</v>
      </c>
      <c r="J19" s="724">
        <v>0.44723852231595002</v>
      </c>
      <c r="K19" s="724">
        <v>-0.19851388247439999</v>
      </c>
      <c r="L19" s="724">
        <v>0.24872463984154999</v>
      </c>
      <c r="M19" s="724">
        <v>1.3268948977599999E-3</v>
      </c>
      <c r="N19" s="724">
        <v>4.1787394974E-4</v>
      </c>
      <c r="O19" s="724" t="s">
        <v>344</v>
      </c>
      <c r="P19" s="724" t="s">
        <v>343</v>
      </c>
      <c r="Q19" s="728">
        <v>165.58769022016699</v>
      </c>
      <c r="R19" s="728">
        <v>-73.9937811203297</v>
      </c>
      <c r="S19" s="724">
        <v>91.59390909983729</v>
      </c>
      <c r="T19" s="728">
        <v>38.821945344828301</v>
      </c>
      <c r="U19" s="728">
        <v>-17.2317336523314</v>
      </c>
      <c r="V19" s="724">
        <v>21.590211692496901</v>
      </c>
      <c r="W19" s="728">
        <v>0.11517934754949</v>
      </c>
      <c r="X19" s="728">
        <v>3.6272992661730001E-2</v>
      </c>
      <c r="Y19" s="728" t="s">
        <v>344</v>
      </c>
      <c r="Z19" s="728" t="s">
        <v>343</v>
      </c>
      <c r="AA19" s="723" t="s">
        <v>269</v>
      </c>
      <c r="AB19" s="724">
        <v>-415.56376815266685</v>
      </c>
    </row>
    <row r="20" spans="1:28" x14ac:dyDescent="0.25">
      <c r="A20" s="727" t="s">
        <v>2036</v>
      </c>
      <c r="B20" s="728" t="s">
        <v>2036</v>
      </c>
      <c r="C20" s="723" t="s">
        <v>269</v>
      </c>
      <c r="D20" s="724">
        <v>432.75854802444059</v>
      </c>
      <c r="E20" s="728">
        <v>432.75854802444059</v>
      </c>
      <c r="F20" s="728" t="s">
        <v>343</v>
      </c>
      <c r="G20" s="724">
        <v>2.1257387347548198</v>
      </c>
      <c r="H20" s="724">
        <v>-1.0269421703597399</v>
      </c>
      <c r="I20" s="724">
        <v>1.0987965643950801</v>
      </c>
      <c r="J20" s="724">
        <v>0.53559396021032002</v>
      </c>
      <c r="K20" s="724">
        <v>-0.27157381520486001</v>
      </c>
      <c r="L20" s="724">
        <v>0.26402014500546001</v>
      </c>
      <c r="M20" s="724">
        <v>4.7299846926799997E-3</v>
      </c>
      <c r="N20" s="724">
        <v>3.3748160100999999E-3</v>
      </c>
      <c r="O20" s="724" t="s">
        <v>344</v>
      </c>
      <c r="P20" s="724" t="s">
        <v>343</v>
      </c>
      <c r="Q20" s="728">
        <v>919.93160833180696</v>
      </c>
      <c r="R20" s="728">
        <v>-444.41800254994803</v>
      </c>
      <c r="S20" s="724">
        <v>475.51360578185893</v>
      </c>
      <c r="T20" s="728">
        <v>231.78286455127599</v>
      </c>
      <c r="U20" s="728">
        <v>-117.525889949513</v>
      </c>
      <c r="V20" s="724">
        <v>114.25697460176299</v>
      </c>
      <c r="W20" s="728">
        <v>2.0469413077830501</v>
      </c>
      <c r="X20" s="728">
        <v>1.4604804763794601</v>
      </c>
      <c r="Y20" s="728" t="s">
        <v>344</v>
      </c>
      <c r="Z20" s="728" t="s">
        <v>343</v>
      </c>
      <c r="AA20" s="723" t="s">
        <v>269</v>
      </c>
      <c r="AB20" s="724">
        <v>-2175.3526746152115</v>
      </c>
    </row>
    <row r="21" spans="1:28" x14ac:dyDescent="0.25">
      <c r="A21" s="727" t="s">
        <v>2037</v>
      </c>
      <c r="B21" s="728" t="s">
        <v>2037</v>
      </c>
      <c r="C21" s="723" t="s">
        <v>269</v>
      </c>
      <c r="D21" s="724">
        <v>306.25563973085923</v>
      </c>
      <c r="E21" s="728">
        <v>306.25563973085923</v>
      </c>
      <c r="F21" s="728" t="s">
        <v>343</v>
      </c>
      <c r="G21" s="724">
        <v>1.9253268729023201</v>
      </c>
      <c r="H21" s="724">
        <v>-0.89743578837662996</v>
      </c>
      <c r="I21" s="724">
        <v>1.0278910845256899</v>
      </c>
      <c r="J21" s="724">
        <v>0.33968632505832003</v>
      </c>
      <c r="K21" s="724">
        <v>-0.16209701329108001</v>
      </c>
      <c r="L21" s="724">
        <v>0.17758931176723999</v>
      </c>
      <c r="M21" s="724">
        <v>5.2463183399399996E-3</v>
      </c>
      <c r="N21" s="724">
        <v>1.7964411790600001E-3</v>
      </c>
      <c r="O21" s="724" t="s">
        <v>344</v>
      </c>
      <c r="P21" s="724" t="s">
        <v>343</v>
      </c>
      <c r="Q21" s="728">
        <v>589.64221315171596</v>
      </c>
      <c r="R21" s="728">
        <v>-274.844771486654</v>
      </c>
      <c r="S21" s="724">
        <v>314.79744166506197</v>
      </c>
      <c r="T21" s="728">
        <v>104.03085278856101</v>
      </c>
      <c r="U21" s="728">
        <v>-49.643124503922401</v>
      </c>
      <c r="V21" s="724">
        <v>54.387728284638612</v>
      </c>
      <c r="W21" s="728">
        <v>1.60671457942936</v>
      </c>
      <c r="X21" s="728">
        <v>0.55017024253086999</v>
      </c>
      <c r="Y21" s="728" t="s">
        <v>344</v>
      </c>
      <c r="Z21" s="728" t="s">
        <v>343</v>
      </c>
      <c r="AA21" s="723" t="s">
        <v>269</v>
      </c>
      <c r="AB21" s="724">
        <v>-1361.5875341627575</v>
      </c>
    </row>
    <row r="22" spans="1:28" x14ac:dyDescent="0.25">
      <c r="A22" s="727" t="s">
        <v>2038</v>
      </c>
      <c r="B22" s="728" t="s">
        <v>2038</v>
      </c>
      <c r="C22" s="723" t="s">
        <v>269</v>
      </c>
      <c r="D22" s="724">
        <v>242.61238115978165</v>
      </c>
      <c r="E22" s="728">
        <v>242.61238115978165</v>
      </c>
      <c r="F22" s="728" t="s">
        <v>343</v>
      </c>
      <c r="G22" s="724">
        <v>1.23872090232128</v>
      </c>
      <c r="H22" s="724">
        <v>-0.55737194444302995</v>
      </c>
      <c r="I22" s="724">
        <v>0.68134895787825001</v>
      </c>
      <c r="J22" s="724">
        <v>0.24628631968487999</v>
      </c>
      <c r="K22" s="724">
        <v>-0.11055466787932</v>
      </c>
      <c r="L22" s="724">
        <v>0.13573165180555999</v>
      </c>
      <c r="M22" s="724">
        <v>7.3775676799000005E-4</v>
      </c>
      <c r="N22" s="724">
        <v>2.1878544048000001E-4</v>
      </c>
      <c r="O22" s="724" t="s">
        <v>344</v>
      </c>
      <c r="P22" s="724" t="s">
        <v>343</v>
      </c>
      <c r="Q22" s="728">
        <v>300.52902770456001</v>
      </c>
      <c r="R22" s="728">
        <v>-135.225334632982</v>
      </c>
      <c r="S22" s="724">
        <v>165.30369307157801</v>
      </c>
      <c r="T22" s="728">
        <v>59.752110465828999</v>
      </c>
      <c r="U22" s="728">
        <v>-26.821931222531699</v>
      </c>
      <c r="V22" s="724">
        <v>32.930179243297303</v>
      </c>
      <c r="W22" s="728">
        <v>0.17898892619807999</v>
      </c>
      <c r="X22" s="728">
        <v>5.3080056677139997E-2</v>
      </c>
      <c r="Y22" s="728" t="s">
        <v>344</v>
      </c>
      <c r="Z22" s="728" t="s">
        <v>343</v>
      </c>
      <c r="AA22" s="723" t="s">
        <v>269</v>
      </c>
      <c r="AB22" s="724">
        <v>-727.70845142508597</v>
      </c>
    </row>
    <row r="23" spans="1:28" x14ac:dyDescent="0.25">
      <c r="A23" s="727" t="s">
        <v>2039</v>
      </c>
      <c r="B23" s="728" t="s">
        <v>2039</v>
      </c>
      <c r="C23" s="723" t="s">
        <v>269</v>
      </c>
      <c r="D23" s="724">
        <v>633.32214592358775</v>
      </c>
      <c r="E23" s="728">
        <v>633.32214592358775</v>
      </c>
      <c r="F23" s="728" t="s">
        <v>343</v>
      </c>
      <c r="G23" s="724">
        <v>1.6965688326105</v>
      </c>
      <c r="H23" s="724">
        <v>-1.8719125081893799</v>
      </c>
      <c r="I23" s="724">
        <v>-0.17534367557887001</v>
      </c>
      <c r="J23" s="724">
        <v>0.40177634538347001</v>
      </c>
      <c r="K23" s="724">
        <v>-0.43193592733535002</v>
      </c>
      <c r="L23" s="724">
        <v>-3.0159581951889999E-2</v>
      </c>
      <c r="M23" s="724">
        <v>6.6095818670000006E-5</v>
      </c>
      <c r="N23" s="724">
        <v>1.214607437E-4</v>
      </c>
      <c r="O23" s="724" t="s">
        <v>344</v>
      </c>
      <c r="P23" s="724" t="s">
        <v>343</v>
      </c>
      <c r="Q23" s="728">
        <v>1074.474613775961</v>
      </c>
      <c r="R23" s="728">
        <v>-1185.523646667702</v>
      </c>
      <c r="S23" s="724">
        <v>-111.04903289174096</v>
      </c>
      <c r="T23" s="728">
        <v>254.45385723959299</v>
      </c>
      <c r="U23" s="728">
        <v>-273.55458840152102</v>
      </c>
      <c r="V23" s="724">
        <v>-19.10073116192801</v>
      </c>
      <c r="W23" s="728">
        <v>4.1859945715009998E-2</v>
      </c>
      <c r="X23" s="728">
        <v>7.6923778847270002E-2</v>
      </c>
      <c r="Y23" s="728" t="s">
        <v>344</v>
      </c>
      <c r="Z23" s="728" t="s">
        <v>343</v>
      </c>
      <c r="AA23" s="723" t="s">
        <v>269</v>
      </c>
      <c r="AB23" s="724">
        <v>476.78026120672502</v>
      </c>
    </row>
    <row r="24" spans="1:28" x14ac:dyDescent="0.25">
      <c r="A24" s="729" t="s">
        <v>2040</v>
      </c>
      <c r="B24" s="728" t="s">
        <v>2040</v>
      </c>
      <c r="C24" s="724" t="s">
        <v>269</v>
      </c>
      <c r="D24" s="724">
        <v>291.86340271032867</v>
      </c>
      <c r="E24" s="728">
        <v>291.86340271032867</v>
      </c>
      <c r="F24" s="728" t="s">
        <v>343</v>
      </c>
      <c r="G24" s="724">
        <v>1.9404928986406</v>
      </c>
      <c r="H24" s="724">
        <v>-2.1436357682638301</v>
      </c>
      <c r="I24" s="724">
        <v>-0.20314286962323</v>
      </c>
      <c r="J24" s="724">
        <v>0.47305525395378001</v>
      </c>
      <c r="K24" s="724">
        <v>-0.51276713295526999</v>
      </c>
      <c r="L24" s="724">
        <v>-3.9711879001490001E-2</v>
      </c>
      <c r="M24" s="724">
        <v>-3.9969464233500004E-3</v>
      </c>
      <c r="N24" s="724">
        <v>-1.0870531269E-3</v>
      </c>
      <c r="O24" s="724" t="s">
        <v>344</v>
      </c>
      <c r="P24" s="724" t="s">
        <v>343</v>
      </c>
      <c r="Q24" s="728">
        <v>566.358860332473</v>
      </c>
      <c r="R24" s="728">
        <v>-625.64882949704997</v>
      </c>
      <c r="S24" s="724">
        <v>-59.289969164576974</v>
      </c>
      <c r="T24" s="728">
        <v>138.06751608894899</v>
      </c>
      <c r="U24" s="728">
        <v>-149.657960222344</v>
      </c>
      <c r="V24" s="724">
        <v>-11.59044413339501</v>
      </c>
      <c r="W24" s="728">
        <v>-1.16656238356949</v>
      </c>
      <c r="X24" s="728">
        <v>-0.31727102454417999</v>
      </c>
      <c r="Y24" s="728" t="s">
        <v>344</v>
      </c>
      <c r="Z24" s="728" t="s">
        <v>343</v>
      </c>
      <c r="AA24" s="724" t="s">
        <v>269</v>
      </c>
      <c r="AB24" s="724">
        <v>265.33557125564761</v>
      </c>
    </row>
    <row r="25" spans="1:28" x14ac:dyDescent="0.25">
      <c r="A25" s="729" t="s">
        <v>2041</v>
      </c>
      <c r="B25" s="728" t="s">
        <v>2041</v>
      </c>
      <c r="C25" s="724" t="s">
        <v>269</v>
      </c>
      <c r="D25" s="724">
        <v>341.45874321325908</v>
      </c>
      <c r="E25" s="728">
        <v>341.45874321325908</v>
      </c>
      <c r="F25" s="728" t="s">
        <v>343</v>
      </c>
      <c r="G25" s="724">
        <v>1.48807363566656</v>
      </c>
      <c r="H25" s="724">
        <v>-1.63965582460128</v>
      </c>
      <c r="I25" s="724">
        <v>-0.15158218893472</v>
      </c>
      <c r="J25" s="724">
        <v>0.34085037640391003</v>
      </c>
      <c r="K25" s="724">
        <v>-0.36284508931668003</v>
      </c>
      <c r="L25" s="724">
        <v>-2.199471291278E-2</v>
      </c>
      <c r="M25" s="724">
        <v>3.5389995227899998E-3</v>
      </c>
      <c r="N25" s="724">
        <v>1.1544434319699999E-3</v>
      </c>
      <c r="O25" s="724" t="s">
        <v>344</v>
      </c>
      <c r="P25" s="724" t="s">
        <v>343</v>
      </c>
      <c r="Q25" s="728">
        <v>508.11575344348802</v>
      </c>
      <c r="R25" s="728">
        <v>-559.87481717065202</v>
      </c>
      <c r="S25" s="724">
        <v>-51.759063727163998</v>
      </c>
      <c r="T25" s="728">
        <v>116.386341150644</v>
      </c>
      <c r="U25" s="728">
        <v>-123.896628179177</v>
      </c>
      <c r="V25" s="724">
        <v>-7.5102870285329999</v>
      </c>
      <c r="W25" s="728">
        <v>1.2084223292845</v>
      </c>
      <c r="X25" s="728">
        <v>0.39419480339145002</v>
      </c>
      <c r="Y25" s="728" t="s">
        <v>344</v>
      </c>
      <c r="Z25" s="728" t="s">
        <v>343</v>
      </c>
      <c r="AA25" s="724" t="s">
        <v>269</v>
      </c>
      <c r="AB25" s="724">
        <v>211.44468995107738</v>
      </c>
    </row>
    <row r="26" spans="1:28" x14ac:dyDescent="0.25">
      <c r="A26" s="727" t="s">
        <v>454</v>
      </c>
      <c r="B26" s="728" t="s">
        <v>454</v>
      </c>
      <c r="C26" s="723" t="s">
        <v>269</v>
      </c>
      <c r="D26" s="724">
        <v>473.35798668655713</v>
      </c>
      <c r="E26" s="728">
        <v>473.35798668655713</v>
      </c>
      <c r="F26" s="728" t="s">
        <v>343</v>
      </c>
      <c r="G26" s="724">
        <v>1.6944041147659901</v>
      </c>
      <c r="H26" s="724">
        <v>-0.87855522844286005</v>
      </c>
      <c r="I26" s="724">
        <v>0.81584888632313002</v>
      </c>
      <c r="J26" s="724">
        <v>0.32031696812632998</v>
      </c>
      <c r="K26" s="724">
        <v>-0.16441820826855</v>
      </c>
      <c r="L26" s="724">
        <v>0.15589875985778001</v>
      </c>
      <c r="M26" s="724">
        <v>1.82475430888E-3</v>
      </c>
      <c r="N26" s="724">
        <v>1.3172419706500001E-3</v>
      </c>
      <c r="O26" s="724" t="s">
        <v>344</v>
      </c>
      <c r="P26" s="724" t="s">
        <v>343</v>
      </c>
      <c r="Q26" s="728">
        <v>802.05972039904702</v>
      </c>
      <c r="R26" s="728">
        <v>-415.87113412866199</v>
      </c>
      <c r="S26" s="724">
        <v>386.18858627038503</v>
      </c>
      <c r="T26" s="728">
        <v>151.624595133822</v>
      </c>
      <c r="U26" s="728">
        <v>-77.8286720406104</v>
      </c>
      <c r="V26" s="724">
        <v>73.795923093211599</v>
      </c>
      <c r="W26" s="728">
        <v>0.86376202585103001</v>
      </c>
      <c r="X26" s="728">
        <v>0.62352700720511001</v>
      </c>
      <c r="Y26" s="728" t="s">
        <v>344</v>
      </c>
      <c r="Z26" s="728" t="s">
        <v>343</v>
      </c>
      <c r="AA26" s="723" t="s">
        <v>269</v>
      </c>
      <c r="AB26" s="724">
        <v>-1692.0632607877283</v>
      </c>
    </row>
    <row r="27" spans="1:28" x14ac:dyDescent="0.25">
      <c r="A27" s="727" t="s">
        <v>2042</v>
      </c>
      <c r="B27" s="728" t="s">
        <v>2042</v>
      </c>
      <c r="C27" s="723" t="s">
        <v>269</v>
      </c>
      <c r="D27" s="724">
        <v>423.22244111192219</v>
      </c>
      <c r="E27" s="728">
        <v>423.22244111192219</v>
      </c>
      <c r="F27" s="728" t="s">
        <v>343</v>
      </c>
      <c r="G27" s="724">
        <v>2.67046121469969</v>
      </c>
      <c r="H27" s="724">
        <v>-1.49472956423082</v>
      </c>
      <c r="I27" s="724">
        <v>1.17573165046887</v>
      </c>
      <c r="J27" s="724">
        <v>0.57608719903769001</v>
      </c>
      <c r="K27" s="724">
        <v>-0.32941333854255</v>
      </c>
      <c r="L27" s="724">
        <v>0.24667386049514001</v>
      </c>
      <c r="M27" s="724">
        <v>5.6332514473999996E-3</v>
      </c>
      <c r="N27" s="724">
        <v>2.7467089467599999E-3</v>
      </c>
      <c r="O27" s="724" t="s">
        <v>344</v>
      </c>
      <c r="P27" s="724" t="s">
        <v>343</v>
      </c>
      <c r="Q27" s="728">
        <v>1130.1991141799101</v>
      </c>
      <c r="R27" s="728">
        <v>-632.60309497592596</v>
      </c>
      <c r="S27" s="724">
        <v>497.59601920398416</v>
      </c>
      <c r="T27" s="728">
        <v>243.81303067005999</v>
      </c>
      <c r="U27" s="728">
        <v>-139.41511727280499</v>
      </c>
      <c r="V27" s="724">
        <v>104.397913397255</v>
      </c>
      <c r="W27" s="728">
        <v>2.3841184289654702</v>
      </c>
      <c r="X27" s="728">
        <v>1.1624688654734101</v>
      </c>
      <c r="Y27" s="728" t="s">
        <v>344</v>
      </c>
      <c r="Z27" s="728" t="s">
        <v>343</v>
      </c>
      <c r="AA27" s="723" t="s">
        <v>269</v>
      </c>
      <c r="AB27" s="724">
        <v>-2220.3152396174883</v>
      </c>
    </row>
    <row r="28" spans="1:28" x14ac:dyDescent="0.25">
      <c r="A28" s="727" t="s">
        <v>2043</v>
      </c>
      <c r="B28" s="728" t="s">
        <v>2043</v>
      </c>
      <c r="C28" s="723" t="s">
        <v>269</v>
      </c>
      <c r="D28" s="724">
        <v>521.62980102898928</v>
      </c>
      <c r="E28" s="728">
        <v>521.62980102898928</v>
      </c>
      <c r="F28" s="728" t="s">
        <v>343</v>
      </c>
      <c r="G28" s="724">
        <v>2.08113218511386</v>
      </c>
      <c r="H28" s="724">
        <v>-1.5527316830673299</v>
      </c>
      <c r="I28" s="724">
        <v>0.52840050204653</v>
      </c>
      <c r="J28" s="724">
        <v>0.40231077383078001</v>
      </c>
      <c r="K28" s="724">
        <v>-0.30064758277684001</v>
      </c>
      <c r="L28" s="724">
        <v>0.10166319105394001</v>
      </c>
      <c r="M28" s="724">
        <v>2.9103860279999999E-3</v>
      </c>
      <c r="N28" s="724">
        <v>1.72555121253E-3</v>
      </c>
      <c r="O28" s="724" t="s">
        <v>344</v>
      </c>
      <c r="P28" s="724" t="s">
        <v>343</v>
      </c>
      <c r="Q28" s="728">
        <v>1085.5805676359701</v>
      </c>
      <c r="R28" s="728">
        <v>-809.95111888982103</v>
      </c>
      <c r="S28" s="724">
        <v>275.62944874614908</v>
      </c>
      <c r="T28" s="728">
        <v>209.85728890516799</v>
      </c>
      <c r="U28" s="728">
        <v>-156.82673878372799</v>
      </c>
      <c r="V28" s="724">
        <v>53.030550121440001</v>
      </c>
      <c r="W28" s="728">
        <v>1.51814408470457</v>
      </c>
      <c r="X28" s="728">
        <v>0.90009893565580001</v>
      </c>
      <c r="Y28" s="728" t="s">
        <v>344</v>
      </c>
      <c r="Z28" s="728" t="s">
        <v>343</v>
      </c>
      <c r="AA28" s="723" t="s">
        <v>269</v>
      </c>
      <c r="AB28" s="724">
        <v>-1213.9535535891491</v>
      </c>
    </row>
    <row r="29" spans="1:28" x14ac:dyDescent="0.25">
      <c r="A29" s="727" t="s">
        <v>342</v>
      </c>
      <c r="B29" s="728" t="s">
        <v>342</v>
      </c>
      <c r="C29" s="723" t="s">
        <v>269</v>
      </c>
      <c r="D29" s="724">
        <v>235.82188283937401</v>
      </c>
      <c r="E29" s="728">
        <v>235.82188283937401</v>
      </c>
      <c r="F29" s="728" t="s">
        <v>343</v>
      </c>
      <c r="G29" s="724">
        <v>2.2036689163491601</v>
      </c>
      <c r="H29" s="724">
        <v>-0.94445100241647995</v>
      </c>
      <c r="I29" s="724">
        <v>1.25921791393267</v>
      </c>
      <c r="J29" s="724">
        <v>0.43935011393856999</v>
      </c>
      <c r="K29" s="724">
        <v>-0.19298984685477</v>
      </c>
      <c r="L29" s="724">
        <v>0.24636026708379</v>
      </c>
      <c r="M29" s="724">
        <v>5.6773184542699999E-3</v>
      </c>
      <c r="N29" s="724">
        <v>1.42333525693E-3</v>
      </c>
      <c r="O29" s="724" t="s">
        <v>344</v>
      </c>
      <c r="P29" s="724" t="s">
        <v>343</v>
      </c>
      <c r="Q29" s="728">
        <v>519.67335300806099</v>
      </c>
      <c r="R29" s="728">
        <v>-222.722213639389</v>
      </c>
      <c r="S29" s="724">
        <v>296.95113936867199</v>
      </c>
      <c r="T29" s="728">
        <v>103.60837109468601</v>
      </c>
      <c r="U29" s="728">
        <v>-45.511229054174699</v>
      </c>
      <c r="V29" s="724">
        <v>58.097142040511308</v>
      </c>
      <c r="W29" s="728">
        <v>1.3388359273647901</v>
      </c>
      <c r="X29" s="728">
        <v>0.33565360020047003</v>
      </c>
      <c r="Y29" s="728" t="s">
        <v>344</v>
      </c>
      <c r="Z29" s="728" t="s">
        <v>343</v>
      </c>
      <c r="AA29" s="723" t="s">
        <v>269</v>
      </c>
      <c r="AB29" s="724">
        <v>-1307.9834934347459</v>
      </c>
    </row>
    <row r="30" spans="1:28" x14ac:dyDescent="0.25">
      <c r="A30" s="727" t="s">
        <v>2044</v>
      </c>
      <c r="B30" s="728" t="s">
        <v>2044</v>
      </c>
      <c r="C30" s="723" t="s">
        <v>269</v>
      </c>
      <c r="D30" s="724">
        <v>305.81040285767637</v>
      </c>
      <c r="E30" s="728">
        <v>305.81040285767637</v>
      </c>
      <c r="F30" s="728" t="s">
        <v>343</v>
      </c>
      <c r="G30" s="724">
        <v>1.89731410026037</v>
      </c>
      <c r="H30" s="724">
        <v>-1.34929825665977</v>
      </c>
      <c r="I30" s="724">
        <v>0.54801584360059996</v>
      </c>
      <c r="J30" s="724">
        <v>0.38858651694466001</v>
      </c>
      <c r="K30" s="724">
        <v>-0.27271990207371999</v>
      </c>
      <c r="L30" s="724">
        <v>0.11586661487093999</v>
      </c>
      <c r="M30" s="724">
        <v>1.9021059259499999E-3</v>
      </c>
      <c r="N30" s="724">
        <v>5.3104856833999996E-4</v>
      </c>
      <c r="O30" s="724" t="s">
        <v>344</v>
      </c>
      <c r="P30" s="724" t="s">
        <v>343</v>
      </c>
      <c r="Q30" s="728">
        <v>580.21838934817504</v>
      </c>
      <c r="R30" s="728">
        <v>-412.62944344428598</v>
      </c>
      <c r="S30" s="724">
        <v>167.58894590388905</v>
      </c>
      <c r="T30" s="728">
        <v>118.833799291909</v>
      </c>
      <c r="U30" s="728">
        <v>-83.400583120470998</v>
      </c>
      <c r="V30" s="724">
        <v>35.433216171437998</v>
      </c>
      <c r="W30" s="728">
        <v>0.58168377949422001</v>
      </c>
      <c r="X30" s="728">
        <v>0.16240017662115999</v>
      </c>
      <c r="Y30" s="728" t="s">
        <v>344</v>
      </c>
      <c r="Z30" s="728" t="s">
        <v>343</v>
      </c>
      <c r="AA30" s="723" t="s">
        <v>269</v>
      </c>
      <c r="AB30" s="724">
        <v>-747.14290211528964</v>
      </c>
    </row>
    <row r="31" spans="1:28" x14ac:dyDescent="0.25">
      <c r="A31" s="727" t="s">
        <v>2045</v>
      </c>
      <c r="B31" s="728" t="s">
        <v>2045</v>
      </c>
      <c r="C31" s="723" t="s">
        <v>269</v>
      </c>
      <c r="D31" s="724">
        <v>314.70413850263708</v>
      </c>
      <c r="E31" s="728">
        <v>314.70413850263708</v>
      </c>
      <c r="F31" s="728" t="s">
        <v>343</v>
      </c>
      <c r="G31" s="724">
        <v>2.3985273550064901</v>
      </c>
      <c r="H31" s="724">
        <v>-1.2263990840928101</v>
      </c>
      <c r="I31" s="724">
        <v>1.17212827091367</v>
      </c>
      <c r="J31" s="724">
        <v>0.46922374418983998</v>
      </c>
      <c r="K31" s="724">
        <v>-0.2448712251247</v>
      </c>
      <c r="L31" s="724">
        <v>0.22435251906514</v>
      </c>
      <c r="M31" s="724">
        <v>1.5321396937199999E-3</v>
      </c>
      <c r="N31" s="724">
        <v>5.7986680026000004E-4</v>
      </c>
      <c r="O31" s="724" t="s">
        <v>344</v>
      </c>
      <c r="P31" s="724" t="s">
        <v>343</v>
      </c>
      <c r="Q31" s="728">
        <v>754.826484932325</v>
      </c>
      <c r="R31" s="728">
        <v>-385.95286721985201</v>
      </c>
      <c r="S31" s="724">
        <v>368.87361771247299</v>
      </c>
      <c r="T31" s="728">
        <v>147.66665418024499</v>
      </c>
      <c r="U31" s="728">
        <v>-77.061987946953494</v>
      </c>
      <c r="V31" s="724">
        <v>70.604666233291496</v>
      </c>
      <c r="W31" s="728">
        <v>0.48217070237676002</v>
      </c>
      <c r="X31" s="728">
        <v>0.1824864818236</v>
      </c>
      <c r="Y31" s="728" t="s">
        <v>344</v>
      </c>
      <c r="Z31" s="728" t="s">
        <v>343</v>
      </c>
      <c r="AA31" s="723" t="s">
        <v>269</v>
      </c>
      <c r="AB31" s="724">
        <v>-1613.8574508098725</v>
      </c>
    </row>
    <row r="32" spans="1:28" x14ac:dyDescent="0.25">
      <c r="A32" s="727" t="s">
        <v>2046</v>
      </c>
      <c r="B32" s="728" t="s">
        <v>2046</v>
      </c>
      <c r="C32" s="723" t="s">
        <v>269</v>
      </c>
      <c r="D32" s="724">
        <v>126.58245137464917</v>
      </c>
      <c r="E32" s="728">
        <v>126.58245137464917</v>
      </c>
      <c r="F32" s="728" t="s">
        <v>343</v>
      </c>
      <c r="G32" s="724">
        <v>1.63073794221714</v>
      </c>
      <c r="H32" s="724">
        <v>-1.0341991598548199</v>
      </c>
      <c r="I32" s="724">
        <v>0.59653878236230995</v>
      </c>
      <c r="J32" s="724">
        <v>0.33773468307123999</v>
      </c>
      <c r="K32" s="724">
        <v>-0.22500230631406001</v>
      </c>
      <c r="L32" s="724">
        <v>0.11273237675717999</v>
      </c>
      <c r="M32" s="724">
        <v>3.3758981024499999E-3</v>
      </c>
      <c r="N32" s="724">
        <v>1.3546125252000001E-3</v>
      </c>
      <c r="O32" s="724" t="s">
        <v>344</v>
      </c>
      <c r="P32" s="724" t="s">
        <v>343</v>
      </c>
      <c r="Q32" s="728">
        <v>206.42280627549599</v>
      </c>
      <c r="R32" s="728">
        <v>-130.91146486402599</v>
      </c>
      <c r="S32" s="724">
        <v>75.511341411469999</v>
      </c>
      <c r="T32" s="728">
        <v>42.751284097397999</v>
      </c>
      <c r="U32" s="728">
        <v>-28.4813434981839</v>
      </c>
      <c r="V32" s="724">
        <v>14.269940599214101</v>
      </c>
      <c r="W32" s="728">
        <v>0.42732945739970002</v>
      </c>
      <c r="X32" s="728">
        <v>0.17147017410304999</v>
      </c>
      <c r="Y32" s="728" t="s">
        <v>344</v>
      </c>
      <c r="Z32" s="728" t="s">
        <v>343</v>
      </c>
      <c r="AA32" s="723" t="s">
        <v>269</v>
      </c>
      <c r="AB32" s="724">
        <v>-331.39363268801873</v>
      </c>
    </row>
    <row r="33" spans="1:28" x14ac:dyDescent="0.25">
      <c r="A33" s="727" t="s">
        <v>2047</v>
      </c>
      <c r="B33" s="728" t="s">
        <v>2047</v>
      </c>
      <c r="C33" s="723" t="s">
        <v>269</v>
      </c>
      <c r="D33" s="724">
        <v>882.00080615202501</v>
      </c>
      <c r="E33" s="728">
        <v>882.00080615202501</v>
      </c>
      <c r="F33" s="728" t="s">
        <v>343</v>
      </c>
      <c r="G33" s="724">
        <v>2.38874458462332</v>
      </c>
      <c r="H33" s="724">
        <v>-1.1812761069673099</v>
      </c>
      <c r="I33" s="724">
        <v>1.2074684776560101</v>
      </c>
      <c r="J33" s="724">
        <v>0.49479223783912002</v>
      </c>
      <c r="K33" s="724">
        <v>-0.24625058762629001</v>
      </c>
      <c r="L33" s="724">
        <v>0.24854165021281999</v>
      </c>
      <c r="M33" s="724">
        <v>1.4513906999900001E-3</v>
      </c>
      <c r="N33" s="724">
        <v>1.4480960937199999E-3</v>
      </c>
      <c r="O33" s="724" t="s">
        <v>344</v>
      </c>
      <c r="P33" s="724" t="s">
        <v>343</v>
      </c>
      <c r="Q33" s="728">
        <v>2106.87464932905</v>
      </c>
      <c r="R33" s="728">
        <v>-1041.8864786332899</v>
      </c>
      <c r="S33" s="724">
        <v>1064.9881706957601</v>
      </c>
      <c r="T33" s="728">
        <v>436.40715265186498</v>
      </c>
      <c r="U33" s="728">
        <v>-217.19321680180099</v>
      </c>
      <c r="V33" s="724">
        <v>219.21393585006399</v>
      </c>
      <c r="W33" s="728">
        <v>1.28012776743449</v>
      </c>
      <c r="X33" s="728">
        <v>1.27722192205089</v>
      </c>
      <c r="Y33" s="728" t="s">
        <v>344</v>
      </c>
      <c r="Z33" s="728" t="s">
        <v>343</v>
      </c>
      <c r="AA33" s="723" t="s">
        <v>269</v>
      </c>
      <c r="AB33" s="724">
        <v>-4718.1180061961386</v>
      </c>
    </row>
    <row r="34" spans="1:28" x14ac:dyDescent="0.25">
      <c r="A34" s="727" t="s">
        <v>2048</v>
      </c>
      <c r="B34" s="728" t="s">
        <v>2048</v>
      </c>
      <c r="C34" s="723" t="s">
        <v>269</v>
      </c>
      <c r="D34" s="724">
        <v>238.92400207460952</v>
      </c>
      <c r="E34" s="728">
        <v>238.92400207460952</v>
      </c>
      <c r="F34" s="728" t="s">
        <v>343</v>
      </c>
      <c r="G34" s="724">
        <v>1.94667160324498</v>
      </c>
      <c r="H34" s="724">
        <v>-0.52744961832670001</v>
      </c>
      <c r="I34" s="724">
        <v>1.4192219849182801</v>
      </c>
      <c r="J34" s="724">
        <v>0.38973195130743998</v>
      </c>
      <c r="K34" s="724">
        <v>-0.11164004186201</v>
      </c>
      <c r="L34" s="724">
        <v>0.27809190944543</v>
      </c>
      <c r="M34" s="724">
        <v>5.0072326013200002E-3</v>
      </c>
      <c r="N34" s="724">
        <v>1.9989044986999998E-3</v>
      </c>
      <c r="O34" s="724" t="s">
        <v>344</v>
      </c>
      <c r="P34" s="724" t="s">
        <v>343</v>
      </c>
      <c r="Q34" s="728">
        <v>465.10657017228601</v>
      </c>
      <c r="R34" s="728">
        <v>-126.02037370334</v>
      </c>
      <c r="S34" s="724">
        <v>339.08619646894601</v>
      </c>
      <c r="T34" s="728">
        <v>93.116317542721404</v>
      </c>
      <c r="U34" s="728">
        <v>-26.673485593448302</v>
      </c>
      <c r="V34" s="724">
        <v>66.442831949273099</v>
      </c>
      <c r="W34" s="728">
        <v>1.19634805242561</v>
      </c>
      <c r="X34" s="728">
        <v>0.47758626259391002</v>
      </c>
      <c r="Y34" s="728" t="s">
        <v>344</v>
      </c>
      <c r="Z34" s="728" t="s">
        <v>343</v>
      </c>
      <c r="AA34" s="723" t="s">
        <v>269</v>
      </c>
      <c r="AB34" s="724">
        <v>-1493.0775300218763</v>
      </c>
    </row>
    <row r="35" spans="1:28" s="725" customFormat="1" ht="21.75" customHeight="1" thickBot="1" x14ac:dyDescent="0.3">
      <c r="A35" s="730" t="s">
        <v>2049</v>
      </c>
      <c r="B35" s="724" t="s">
        <v>269</v>
      </c>
      <c r="C35" s="724" t="s">
        <v>269</v>
      </c>
      <c r="D35" s="724" t="s">
        <v>269</v>
      </c>
      <c r="E35" s="724" t="s">
        <v>269</v>
      </c>
      <c r="F35" s="724" t="s">
        <v>269</v>
      </c>
      <c r="G35" s="724" t="s">
        <v>269</v>
      </c>
      <c r="H35" s="724" t="s">
        <v>269</v>
      </c>
      <c r="I35" s="724" t="s">
        <v>269</v>
      </c>
      <c r="J35" s="724" t="s">
        <v>269</v>
      </c>
      <c r="K35" s="724" t="s">
        <v>269</v>
      </c>
      <c r="L35" s="724" t="s">
        <v>269</v>
      </c>
      <c r="M35" s="724" t="s">
        <v>269</v>
      </c>
      <c r="N35" s="724" t="s">
        <v>269</v>
      </c>
      <c r="O35" s="724" t="s">
        <v>269</v>
      </c>
      <c r="P35" s="724" t="s">
        <v>269</v>
      </c>
      <c r="Q35" s="724" t="s">
        <v>269</v>
      </c>
      <c r="R35" s="724" t="s">
        <v>269</v>
      </c>
      <c r="S35" s="724" t="s">
        <v>269</v>
      </c>
      <c r="T35" s="724" t="s">
        <v>269</v>
      </c>
      <c r="U35" s="724" t="s">
        <v>269</v>
      </c>
      <c r="V35" s="724" t="s">
        <v>269</v>
      </c>
      <c r="W35" s="724" t="s">
        <v>269</v>
      </c>
      <c r="X35" s="724" t="s">
        <v>269</v>
      </c>
      <c r="Y35" s="724" t="s">
        <v>269</v>
      </c>
      <c r="Z35" s="724" t="s">
        <v>269</v>
      </c>
      <c r="AA35" s="724" t="s">
        <v>269</v>
      </c>
      <c r="AB35" s="724" t="s">
        <v>269</v>
      </c>
    </row>
    <row r="36" spans="1:28" s="720" customFormat="1" ht="12.6" thickTop="1" x14ac:dyDescent="0.25">
      <c r="A36" s="731" t="s">
        <v>2050</v>
      </c>
      <c r="B36" s="723"/>
      <c r="C36" s="723" t="s">
        <v>269</v>
      </c>
      <c r="D36" s="724" t="s">
        <v>2051</v>
      </c>
      <c r="E36" s="724" t="s">
        <v>2051</v>
      </c>
      <c r="F36" s="724" t="s">
        <v>2051</v>
      </c>
      <c r="G36" s="724" t="s">
        <v>2051</v>
      </c>
      <c r="H36" s="724" t="s">
        <v>2051</v>
      </c>
      <c r="I36" s="724" t="s">
        <v>2051</v>
      </c>
      <c r="J36" s="724" t="s">
        <v>2051</v>
      </c>
      <c r="K36" s="724" t="s">
        <v>2051</v>
      </c>
      <c r="L36" s="724" t="s">
        <v>2051</v>
      </c>
      <c r="M36" s="724" t="s">
        <v>2051</v>
      </c>
      <c r="N36" s="724" t="s">
        <v>2051</v>
      </c>
      <c r="O36" s="724" t="s">
        <v>2051</v>
      </c>
      <c r="P36" s="724" t="s">
        <v>2051</v>
      </c>
      <c r="Q36" s="724" t="s">
        <v>2051</v>
      </c>
      <c r="R36" s="724" t="s">
        <v>2051</v>
      </c>
      <c r="S36" s="724" t="s">
        <v>2051</v>
      </c>
      <c r="T36" s="724" t="s">
        <v>2051</v>
      </c>
      <c r="U36" s="724" t="s">
        <v>2051</v>
      </c>
      <c r="V36" s="724" t="s">
        <v>2051</v>
      </c>
      <c r="W36" s="724" t="s">
        <v>2051</v>
      </c>
      <c r="X36" s="724" t="s">
        <v>2051</v>
      </c>
      <c r="Y36" s="724" t="s">
        <v>2051</v>
      </c>
      <c r="Z36" s="724" t="s">
        <v>2051</v>
      </c>
      <c r="AA36" s="723"/>
      <c r="AB36" s="724" t="s">
        <v>2051</v>
      </c>
    </row>
    <row r="37" spans="1:28" s="725" customFormat="1" ht="21.75" customHeight="1" thickBot="1" x14ac:dyDescent="0.3">
      <c r="A37" s="730" t="s">
        <v>2052</v>
      </c>
      <c r="B37" s="724" t="s">
        <v>269</v>
      </c>
      <c r="C37" s="724" t="s">
        <v>269</v>
      </c>
      <c r="D37" s="724" t="s">
        <v>269</v>
      </c>
      <c r="E37" s="724" t="s">
        <v>269</v>
      </c>
      <c r="F37" s="724" t="s">
        <v>269</v>
      </c>
      <c r="G37" s="724" t="s">
        <v>269</v>
      </c>
      <c r="H37" s="724" t="s">
        <v>269</v>
      </c>
      <c r="I37" s="724" t="s">
        <v>269</v>
      </c>
      <c r="J37" s="724" t="s">
        <v>269</v>
      </c>
      <c r="K37" s="724" t="s">
        <v>269</v>
      </c>
      <c r="L37" s="724" t="s">
        <v>269</v>
      </c>
      <c r="M37" s="724" t="s">
        <v>269</v>
      </c>
      <c r="N37" s="724" t="s">
        <v>269</v>
      </c>
      <c r="O37" s="724" t="s">
        <v>269</v>
      </c>
      <c r="P37" s="724" t="s">
        <v>269</v>
      </c>
      <c r="Q37" s="724" t="s">
        <v>269</v>
      </c>
      <c r="R37" s="724" t="s">
        <v>269</v>
      </c>
      <c r="S37" s="724" t="s">
        <v>269</v>
      </c>
      <c r="T37" s="724" t="s">
        <v>269</v>
      </c>
      <c r="U37" s="724" t="s">
        <v>269</v>
      </c>
      <c r="V37" s="724" t="s">
        <v>269</v>
      </c>
      <c r="W37" s="724" t="s">
        <v>269</v>
      </c>
      <c r="X37" s="724" t="s">
        <v>269</v>
      </c>
      <c r="Y37" s="724" t="s">
        <v>269</v>
      </c>
      <c r="Z37" s="724" t="s">
        <v>269</v>
      </c>
      <c r="AA37" s="724" t="s">
        <v>269</v>
      </c>
      <c r="AB37" s="724" t="s">
        <v>269</v>
      </c>
    </row>
    <row r="38" spans="1:28" s="720" customFormat="1" ht="12.6" thickTop="1" x14ac:dyDescent="0.25">
      <c r="A38" s="732" t="s">
        <v>2050</v>
      </c>
      <c r="B38" s="723"/>
      <c r="C38" s="723" t="s">
        <v>269</v>
      </c>
      <c r="D38" s="724" t="s">
        <v>2051</v>
      </c>
      <c r="E38" s="724" t="s">
        <v>2051</v>
      </c>
      <c r="F38" s="724" t="s">
        <v>2051</v>
      </c>
      <c r="G38" s="724" t="s">
        <v>2051</v>
      </c>
      <c r="H38" s="724" t="s">
        <v>2051</v>
      </c>
      <c r="I38" s="724" t="s">
        <v>2051</v>
      </c>
      <c r="J38" s="724" t="s">
        <v>2051</v>
      </c>
      <c r="K38" s="724" t="s">
        <v>2051</v>
      </c>
      <c r="L38" s="724" t="s">
        <v>2051</v>
      </c>
      <c r="M38" s="724" t="s">
        <v>2051</v>
      </c>
      <c r="N38" s="724" t="s">
        <v>2051</v>
      </c>
      <c r="O38" s="724" t="s">
        <v>2051</v>
      </c>
      <c r="P38" s="724" t="s">
        <v>2051</v>
      </c>
      <c r="Q38" s="724" t="s">
        <v>2051</v>
      </c>
      <c r="R38" s="724" t="s">
        <v>2051</v>
      </c>
      <c r="S38" s="724" t="s">
        <v>2051</v>
      </c>
      <c r="T38" s="724" t="s">
        <v>2051</v>
      </c>
      <c r="U38" s="724" t="s">
        <v>2051</v>
      </c>
      <c r="V38" s="724" t="s">
        <v>2051</v>
      </c>
      <c r="W38" s="724" t="s">
        <v>2051</v>
      </c>
      <c r="X38" s="724" t="s">
        <v>2051</v>
      </c>
      <c r="Y38" s="724" t="s">
        <v>2051</v>
      </c>
      <c r="Z38" s="724" t="s">
        <v>2051</v>
      </c>
      <c r="AA38" s="723"/>
      <c r="AB38" s="724" t="s">
        <v>2051</v>
      </c>
    </row>
    <row r="39" spans="1:28" s="725" customFormat="1" ht="22.5" customHeight="1" thickBot="1" x14ac:dyDescent="0.3">
      <c r="A39" s="730" t="s">
        <v>2053</v>
      </c>
      <c r="B39" s="724" t="s">
        <v>269</v>
      </c>
      <c r="C39" s="724" t="s">
        <v>269</v>
      </c>
      <c r="D39" s="724" t="s">
        <v>269</v>
      </c>
      <c r="E39" s="724" t="s">
        <v>269</v>
      </c>
      <c r="F39" s="724" t="s">
        <v>269</v>
      </c>
      <c r="G39" s="724" t="s">
        <v>269</v>
      </c>
      <c r="H39" s="724" t="s">
        <v>269</v>
      </c>
      <c r="I39" s="724" t="s">
        <v>269</v>
      </c>
      <c r="J39" s="724" t="s">
        <v>269</v>
      </c>
      <c r="K39" s="724" t="s">
        <v>269</v>
      </c>
      <c r="L39" s="724" t="s">
        <v>269</v>
      </c>
      <c r="M39" s="724" t="s">
        <v>269</v>
      </c>
      <c r="N39" s="724" t="s">
        <v>269</v>
      </c>
      <c r="O39" s="724" t="s">
        <v>269</v>
      </c>
      <c r="P39" s="724" t="s">
        <v>269</v>
      </c>
      <c r="Q39" s="724" t="s">
        <v>269</v>
      </c>
      <c r="R39" s="724" t="s">
        <v>269</v>
      </c>
      <c r="S39" s="724" t="s">
        <v>269</v>
      </c>
      <c r="T39" s="724" t="s">
        <v>269</v>
      </c>
      <c r="U39" s="724" t="s">
        <v>269</v>
      </c>
      <c r="V39" s="724" t="s">
        <v>269</v>
      </c>
      <c r="W39" s="724" t="s">
        <v>269</v>
      </c>
      <c r="X39" s="724" t="s">
        <v>269</v>
      </c>
      <c r="Y39" s="724" t="s">
        <v>269</v>
      </c>
      <c r="Z39" s="724" t="s">
        <v>269</v>
      </c>
      <c r="AA39" s="724" t="s">
        <v>269</v>
      </c>
      <c r="AB39" s="724" t="s">
        <v>269</v>
      </c>
    </row>
    <row r="40" spans="1:28" s="720" customFormat="1" ht="12.6" thickTop="1" x14ac:dyDescent="0.25">
      <c r="A40" s="732" t="s">
        <v>2050</v>
      </c>
      <c r="B40" s="723"/>
      <c r="C40" s="723" t="s">
        <v>269</v>
      </c>
      <c r="D40" s="724" t="s">
        <v>343</v>
      </c>
      <c r="E40" s="724" t="s">
        <v>343</v>
      </c>
      <c r="F40" s="724" t="s">
        <v>343</v>
      </c>
      <c r="G40" s="724" t="s">
        <v>343</v>
      </c>
      <c r="H40" s="724" t="s">
        <v>343</v>
      </c>
      <c r="I40" s="724" t="s">
        <v>343</v>
      </c>
      <c r="J40" s="724" t="s">
        <v>343</v>
      </c>
      <c r="K40" s="724" t="s">
        <v>343</v>
      </c>
      <c r="L40" s="724" t="s">
        <v>343</v>
      </c>
      <c r="M40" s="724" t="s">
        <v>343</v>
      </c>
      <c r="N40" s="724" t="s">
        <v>343</v>
      </c>
      <c r="O40" s="724" t="s">
        <v>343</v>
      </c>
      <c r="P40" s="724" t="s">
        <v>343</v>
      </c>
      <c r="Q40" s="724" t="s">
        <v>343</v>
      </c>
      <c r="R40" s="724" t="s">
        <v>343</v>
      </c>
      <c r="S40" s="724" t="s">
        <v>343</v>
      </c>
      <c r="T40" s="724" t="s">
        <v>343</v>
      </c>
      <c r="U40" s="724" t="s">
        <v>343</v>
      </c>
      <c r="V40" s="724" t="s">
        <v>343</v>
      </c>
      <c r="W40" s="724" t="s">
        <v>343</v>
      </c>
      <c r="X40" s="724" t="s">
        <v>343</v>
      </c>
      <c r="Y40" s="724" t="s">
        <v>343</v>
      </c>
      <c r="Z40" s="724" t="s">
        <v>343</v>
      </c>
      <c r="AA40" s="723"/>
      <c r="AB40" s="724" t="s">
        <v>343</v>
      </c>
    </row>
    <row r="41" spans="1:28" x14ac:dyDescent="0.25">
      <c r="A41" s="733" t="s">
        <v>2054</v>
      </c>
      <c r="B41" s="711"/>
      <c r="C41" s="711"/>
      <c r="D41" s="711"/>
      <c r="E41" s="711"/>
      <c r="F41" s="711"/>
      <c r="G41" s="711"/>
      <c r="H41" s="711"/>
      <c r="I41" s="711"/>
      <c r="J41" s="711"/>
      <c r="K41" s="711"/>
      <c r="L41" s="711"/>
      <c r="M41" s="711"/>
      <c r="N41" s="711"/>
      <c r="O41" s="711"/>
      <c r="P41" s="711"/>
      <c r="Q41" s="711"/>
      <c r="R41" s="711"/>
      <c r="S41" s="711"/>
      <c r="T41" s="711"/>
      <c r="U41" s="711"/>
      <c r="V41" s="711"/>
      <c r="W41" s="711"/>
      <c r="X41" s="711"/>
      <c r="Y41" s="711"/>
      <c r="Z41" s="711"/>
      <c r="AA41" s="711"/>
      <c r="AB41" s="711"/>
    </row>
    <row r="42" spans="1:28" x14ac:dyDescent="0.25">
      <c r="A42" s="1240" t="s">
        <v>340</v>
      </c>
      <c r="B42" s="1241"/>
      <c r="C42" s="1241"/>
      <c r="D42" s="1241"/>
      <c r="E42" s="1241"/>
      <c r="F42" s="1241"/>
      <c r="G42" s="1241"/>
      <c r="H42" s="1241"/>
      <c r="I42" s="1241"/>
      <c r="J42" s="1241"/>
      <c r="K42" s="1241"/>
      <c r="L42" s="1241"/>
      <c r="M42" s="1241"/>
      <c r="N42" s="1241"/>
      <c r="O42" s="1241"/>
      <c r="P42" s="1241"/>
      <c r="Q42" s="1241"/>
      <c r="R42" s="1241"/>
      <c r="S42" s="1241"/>
      <c r="T42" s="1241"/>
      <c r="U42" s="1241"/>
      <c r="V42" s="1241"/>
      <c r="W42" s="1241"/>
      <c r="X42" s="1241"/>
      <c r="Y42" s="1241"/>
      <c r="Z42" s="1241"/>
      <c r="AA42" s="1241"/>
      <c r="AB42" s="1242"/>
    </row>
    <row r="43" spans="1:28" x14ac:dyDescent="0.25">
      <c r="A43" s="1243" t="s">
        <v>2055</v>
      </c>
      <c r="B43" s="1244"/>
      <c r="C43" s="1244"/>
      <c r="D43" s="1244"/>
      <c r="E43" s="1244"/>
      <c r="F43" s="1244"/>
      <c r="G43" s="1244"/>
      <c r="H43" s="1244"/>
      <c r="I43" s="1244"/>
      <c r="J43" s="1244"/>
      <c r="K43" s="1244"/>
      <c r="L43" s="1244"/>
      <c r="M43" s="1244"/>
      <c r="N43" s="1244"/>
      <c r="O43" s="1244"/>
      <c r="P43" s="1244"/>
      <c r="Q43" s="1244"/>
      <c r="R43" s="1244"/>
      <c r="S43" s="1244"/>
      <c r="T43" s="1244"/>
      <c r="U43" s="1244"/>
      <c r="V43" s="1244"/>
      <c r="W43" s="1244"/>
      <c r="X43" s="1244"/>
      <c r="Y43" s="1244"/>
      <c r="Z43" s="1244"/>
      <c r="AA43" s="1244"/>
      <c r="AB43" s="1245"/>
    </row>
    <row r="44" spans="1:28" x14ac:dyDescent="0.25">
      <c r="A44" s="734" t="s">
        <v>340</v>
      </c>
      <c r="B44" s="1227" t="s">
        <v>269</v>
      </c>
      <c r="C44" s="1228"/>
      <c r="D44" s="1228"/>
      <c r="E44" s="1228"/>
      <c r="F44" s="1228"/>
      <c r="G44" s="1228"/>
      <c r="H44" s="1228"/>
      <c r="I44" s="1228"/>
      <c r="J44" s="1228"/>
      <c r="K44" s="1228"/>
      <c r="L44" s="1228"/>
      <c r="M44" s="1228"/>
      <c r="N44" s="1228"/>
      <c r="O44" s="1228"/>
      <c r="P44" s="1228"/>
      <c r="Q44" s="1228"/>
      <c r="R44" s="1228"/>
      <c r="S44" s="1228"/>
      <c r="T44" s="1228"/>
      <c r="U44" s="1228"/>
      <c r="V44" s="1228"/>
      <c r="W44" s="1228"/>
      <c r="X44" s="1228"/>
      <c r="Y44" s="1228"/>
      <c r="Z44" s="1228"/>
      <c r="AA44" s="1228"/>
      <c r="AB44" s="1228"/>
    </row>
    <row r="45" spans="1:28" x14ac:dyDescent="0.25">
      <c r="A45" s="711"/>
      <c r="B45" s="711"/>
      <c r="C45" s="711"/>
      <c r="D45" s="711"/>
      <c r="E45" s="711"/>
      <c r="F45" s="711"/>
      <c r="G45" s="711"/>
      <c r="H45" s="711"/>
      <c r="I45" s="711"/>
      <c r="J45" s="711"/>
      <c r="K45" s="711"/>
      <c r="L45" s="711"/>
      <c r="M45" s="711"/>
      <c r="N45" s="711"/>
      <c r="O45" s="711"/>
      <c r="P45" s="711"/>
      <c r="Q45" s="711"/>
      <c r="R45" s="711"/>
      <c r="S45" s="711"/>
      <c r="T45" s="711"/>
      <c r="U45" s="711"/>
      <c r="V45" s="711"/>
      <c r="W45" s="711"/>
      <c r="X45" s="711"/>
      <c r="Y45" s="711"/>
      <c r="Z45" s="711"/>
      <c r="AA45" s="711"/>
      <c r="AB45" s="711"/>
    </row>
    <row r="46" spans="1:28" ht="14.4" x14ac:dyDescent="0.25">
      <c r="A46" s="1225" t="s">
        <v>2056</v>
      </c>
      <c r="B46" s="1225"/>
      <c r="C46" s="1225"/>
      <c r="D46" s="1225"/>
      <c r="E46" s="1225"/>
      <c r="F46" s="1225"/>
      <c r="G46" s="1225"/>
      <c r="H46" s="1225"/>
      <c r="I46" s="1225"/>
      <c r="J46" s="1225"/>
      <c r="K46" s="1225"/>
      <c r="L46" s="1225"/>
      <c r="M46" s="1225"/>
      <c r="N46" s="1225"/>
      <c r="O46" s="1225"/>
      <c r="P46" s="1225"/>
      <c r="Q46" s="1225"/>
      <c r="R46" s="1225"/>
      <c r="S46" s="1225"/>
      <c r="T46" s="1225"/>
      <c r="U46" s="1225"/>
      <c r="V46" s="1225"/>
      <c r="W46" s="1225"/>
      <c r="X46" s="1225"/>
      <c r="Y46" s="1225"/>
      <c r="Z46" s="1225"/>
      <c r="AA46" s="1225"/>
      <c r="AB46" s="1225"/>
    </row>
    <row r="47" spans="1:28" ht="14.4" x14ac:dyDescent="0.25">
      <c r="A47" s="1225" t="s">
        <v>2057</v>
      </c>
      <c r="B47" s="1225"/>
      <c r="C47" s="1225"/>
      <c r="D47" s="1225"/>
      <c r="E47" s="1225"/>
      <c r="F47" s="1225"/>
      <c r="G47" s="1225"/>
      <c r="H47" s="1225"/>
      <c r="I47" s="1225"/>
      <c r="J47" s="1225"/>
      <c r="K47" s="1225"/>
      <c r="L47" s="1225"/>
      <c r="M47" s="1225"/>
      <c r="N47" s="1225"/>
      <c r="O47" s="1225"/>
      <c r="P47" s="1225"/>
      <c r="Q47" s="1225"/>
      <c r="R47" s="1225"/>
      <c r="S47" s="1225"/>
      <c r="T47" s="1225"/>
      <c r="U47" s="735"/>
      <c r="V47" s="735"/>
      <c r="W47" s="735"/>
      <c r="X47" s="735"/>
      <c r="Y47" s="735"/>
      <c r="Z47" s="735"/>
      <c r="AA47" s="735"/>
      <c r="AB47" s="735"/>
    </row>
    <row r="48" spans="1:28" ht="14.4" x14ac:dyDescent="0.25">
      <c r="A48" s="1225" t="s">
        <v>2058</v>
      </c>
      <c r="B48" s="1225"/>
      <c r="C48" s="1225"/>
      <c r="D48" s="1225"/>
      <c r="E48" s="1225"/>
      <c r="F48" s="1225"/>
      <c r="G48" s="1225"/>
      <c r="H48" s="1225"/>
      <c r="I48" s="1225"/>
      <c r="J48" s="1225"/>
      <c r="K48" s="1225"/>
      <c r="L48" s="1225"/>
      <c r="M48" s="1225"/>
      <c r="N48" s="1225"/>
      <c r="O48" s="1225"/>
      <c r="P48" s="1225"/>
      <c r="Q48" s="1225"/>
      <c r="R48" s="1225"/>
      <c r="S48" s="1225"/>
      <c r="T48" s="1225"/>
      <c r="U48" s="735"/>
      <c r="V48" s="735"/>
      <c r="W48" s="735"/>
      <c r="X48" s="735"/>
      <c r="Y48" s="735"/>
      <c r="Z48" s="735"/>
      <c r="AA48" s="735"/>
      <c r="AB48" s="735"/>
    </row>
    <row r="49" spans="1:28" ht="14.4" x14ac:dyDescent="0.25">
      <c r="A49" s="1225" t="s">
        <v>2059</v>
      </c>
      <c r="B49" s="1225"/>
      <c r="C49" s="1225"/>
      <c r="D49" s="1225"/>
      <c r="E49" s="1225"/>
      <c r="F49" s="1225"/>
      <c r="G49" s="1225"/>
      <c r="H49" s="1225"/>
      <c r="I49" s="1225"/>
      <c r="J49" s="1225"/>
      <c r="K49" s="1225"/>
      <c r="L49" s="1225"/>
      <c r="M49" s="1225"/>
      <c r="N49" s="1225"/>
      <c r="O49" s="1225"/>
      <c r="P49" s="1225"/>
      <c r="Q49" s="1225"/>
      <c r="R49" s="1225"/>
      <c r="S49" s="1225"/>
      <c r="T49" s="1225"/>
      <c r="U49" s="735"/>
      <c r="V49" s="735"/>
      <c r="W49" s="735"/>
      <c r="X49" s="735"/>
      <c r="Y49" s="735"/>
      <c r="Z49" s="735"/>
      <c r="AA49" s="735"/>
      <c r="AB49" s="735"/>
    </row>
    <row r="50" spans="1:28" ht="14.4" x14ac:dyDescent="0.25">
      <c r="A50" s="1225" t="s">
        <v>2060</v>
      </c>
      <c r="B50" s="1225"/>
      <c r="C50" s="1225"/>
      <c r="D50" s="1225"/>
      <c r="E50" s="1225"/>
      <c r="F50" s="1225"/>
      <c r="G50" s="1225"/>
      <c r="H50" s="1225"/>
      <c r="I50" s="1225"/>
      <c r="J50" s="1225"/>
      <c r="K50" s="1225"/>
      <c r="L50" s="1225"/>
      <c r="M50" s="1225"/>
      <c r="N50" s="1225"/>
      <c r="O50" s="1225"/>
      <c r="P50" s="1225"/>
      <c r="Q50" s="1225"/>
      <c r="R50" s="1225"/>
      <c r="S50" s="1225"/>
      <c r="T50" s="1225"/>
      <c r="U50" s="1225"/>
      <c r="V50" s="1225"/>
      <c r="W50" s="1225"/>
      <c r="X50" s="1225"/>
      <c r="Y50" s="1225"/>
      <c r="Z50" s="1225"/>
      <c r="AA50" s="1225"/>
      <c r="AB50" s="1225"/>
    </row>
    <row r="51" spans="1:28" ht="14.4" x14ac:dyDescent="0.25">
      <c r="A51" s="1224" t="s">
        <v>2061</v>
      </c>
      <c r="B51" s="1224"/>
      <c r="C51" s="1224"/>
      <c r="D51" s="1224"/>
      <c r="E51" s="1224"/>
      <c r="F51" s="1224"/>
      <c r="G51" s="1224"/>
      <c r="H51" s="1224"/>
      <c r="I51" s="1224"/>
      <c r="J51" s="1224"/>
      <c r="K51" s="1224"/>
      <c r="L51" s="1224"/>
      <c r="M51" s="1224"/>
      <c r="N51" s="1224"/>
      <c r="O51" s="1224"/>
      <c r="P51" s="1224"/>
      <c r="Q51" s="1224"/>
      <c r="R51" s="1224"/>
      <c r="S51" s="1224"/>
      <c r="T51" s="1224"/>
      <c r="U51" s="735"/>
      <c r="V51" s="735"/>
      <c r="W51" s="735"/>
      <c r="X51" s="735"/>
      <c r="Y51" s="735"/>
      <c r="Z51" s="735"/>
      <c r="AA51" s="735"/>
      <c r="AB51" s="735"/>
    </row>
    <row r="52" spans="1:28" ht="14.4" x14ac:dyDescent="0.25">
      <c r="A52" s="1225" t="s">
        <v>2062</v>
      </c>
      <c r="B52" s="1225"/>
      <c r="C52" s="1225"/>
      <c r="D52" s="1225"/>
      <c r="E52" s="1225"/>
      <c r="F52" s="1225"/>
      <c r="G52" s="1225"/>
      <c r="H52" s="1225"/>
      <c r="I52" s="1225"/>
      <c r="J52" s="1225"/>
      <c r="K52" s="1225"/>
      <c r="L52" s="1225"/>
      <c r="M52" s="1225"/>
      <c r="N52" s="1225"/>
      <c r="O52" s="1225"/>
      <c r="P52" s="1225"/>
      <c r="Q52" s="1225"/>
      <c r="R52" s="1225"/>
      <c r="S52" s="1225"/>
      <c r="T52" s="1225"/>
      <c r="U52" s="735"/>
      <c r="V52" s="735"/>
      <c r="W52" s="735"/>
      <c r="X52" s="735"/>
      <c r="Y52" s="735"/>
      <c r="Z52" s="735"/>
      <c r="AA52" s="735"/>
      <c r="AB52" s="735"/>
    </row>
    <row r="53" spans="1:28" ht="14.4" x14ac:dyDescent="0.25">
      <c r="A53" s="1224" t="s">
        <v>2063</v>
      </c>
      <c r="B53" s="1224"/>
      <c r="C53" s="1224"/>
      <c r="D53" s="1224"/>
      <c r="E53" s="1224"/>
      <c r="F53" s="1224"/>
      <c r="G53" s="1224"/>
      <c r="H53" s="1224"/>
      <c r="I53" s="1224"/>
      <c r="J53" s="1224"/>
      <c r="K53" s="1224"/>
      <c r="L53" s="1224"/>
      <c r="M53" s="1224"/>
      <c r="N53" s="1224"/>
      <c r="O53" s="1224"/>
      <c r="P53" s="1224"/>
      <c r="Q53" s="1224"/>
      <c r="R53" s="1224"/>
      <c r="S53" s="1224"/>
      <c r="T53" s="1224"/>
      <c r="U53" s="1224"/>
      <c r="V53" s="1224"/>
      <c r="W53" s="1224"/>
      <c r="X53" s="1224"/>
      <c r="Y53" s="1224"/>
      <c r="Z53" s="1224"/>
      <c r="AA53" s="1224"/>
      <c r="AB53" s="1224"/>
    </row>
    <row r="54" spans="1:28" ht="25.5" customHeight="1" x14ac:dyDescent="0.25">
      <c r="A54" s="1225" t="s">
        <v>2064</v>
      </c>
      <c r="B54" s="1225"/>
      <c r="C54" s="1225"/>
      <c r="D54" s="1225"/>
      <c r="E54" s="1225"/>
      <c r="F54" s="1225"/>
      <c r="G54" s="1225"/>
      <c r="H54" s="1225"/>
      <c r="I54" s="1225"/>
      <c r="J54" s="1225"/>
      <c r="K54" s="1225"/>
      <c r="L54" s="1225"/>
      <c r="M54" s="1225"/>
      <c r="N54" s="1225"/>
      <c r="O54" s="1225"/>
      <c r="P54" s="1225"/>
      <c r="Q54" s="1225"/>
      <c r="R54" s="1225"/>
      <c r="S54" s="1225"/>
      <c r="T54" s="1225"/>
      <c r="U54" s="1225"/>
      <c r="V54" s="1225"/>
      <c r="W54" s="1225"/>
      <c r="X54" s="1225"/>
      <c r="Y54" s="1225"/>
      <c r="Z54" s="1225"/>
      <c r="AA54" s="735"/>
      <c r="AB54" s="735"/>
    </row>
    <row r="55" spans="1:28" ht="14.4" x14ac:dyDescent="0.25">
      <c r="A55" s="1226" t="s">
        <v>2065</v>
      </c>
      <c r="B55" s="1226"/>
      <c r="C55" s="1226"/>
      <c r="D55" s="1226"/>
      <c r="E55" s="1226"/>
      <c r="F55" s="1226"/>
      <c r="G55" s="1226"/>
      <c r="H55" s="1226"/>
      <c r="I55" s="1226"/>
      <c r="J55" s="1226"/>
      <c r="K55" s="1226"/>
      <c r="L55" s="1226"/>
      <c r="M55" s="1226"/>
      <c r="N55" s="1226"/>
      <c r="O55" s="1226"/>
      <c r="P55" s="1226"/>
      <c r="Q55" s="1226"/>
      <c r="R55" s="1226"/>
      <c r="S55" s="1226"/>
      <c r="T55" s="1226"/>
      <c r="U55" s="710"/>
      <c r="V55" s="710"/>
      <c r="W55" s="710"/>
      <c r="X55" s="710"/>
      <c r="Y55" s="710"/>
      <c r="Z55" s="710"/>
      <c r="AA55" s="710"/>
      <c r="AB55" s="710"/>
    </row>
    <row r="56" spans="1:28" ht="14.4" x14ac:dyDescent="0.25">
      <c r="A56" s="1224" t="s">
        <v>2066</v>
      </c>
      <c r="B56" s="1224"/>
      <c r="C56" s="1224"/>
      <c r="D56" s="1224"/>
      <c r="E56" s="1224"/>
      <c r="F56" s="1224"/>
      <c r="G56" s="1224"/>
      <c r="H56" s="1224"/>
      <c r="I56" s="1224"/>
      <c r="J56" s="1224"/>
      <c r="K56" s="1224"/>
      <c r="L56" s="1224"/>
      <c r="M56" s="1224"/>
      <c r="N56" s="1224"/>
      <c r="O56" s="1224"/>
      <c r="P56" s="1224"/>
      <c r="Q56" s="1224"/>
      <c r="R56" s="1224"/>
      <c r="S56" s="1224"/>
      <c r="T56" s="1224"/>
      <c r="U56" s="1224"/>
      <c r="V56" s="1224"/>
      <c r="W56" s="1224"/>
      <c r="X56" s="1224"/>
      <c r="Y56" s="1224"/>
      <c r="Z56" s="1224"/>
      <c r="AA56" s="1224"/>
      <c r="AB56" s="1224"/>
    </row>
    <row r="57" spans="1:28" x14ac:dyDescent="0.25">
      <c r="A57" s="1223" t="s">
        <v>2067</v>
      </c>
      <c r="B57" s="1223"/>
      <c r="C57" s="1223"/>
      <c r="D57" s="1223"/>
      <c r="E57" s="1223"/>
      <c r="F57" s="1223"/>
      <c r="G57" s="1223"/>
      <c r="H57" s="1223"/>
      <c r="I57" s="1223"/>
      <c r="J57" s="1223"/>
      <c r="K57" s="1223"/>
      <c r="L57" s="1223"/>
      <c r="M57" s="1223"/>
      <c r="N57" s="1223"/>
      <c r="O57" s="1223"/>
      <c r="P57" s="1223"/>
      <c r="Q57" s="1223"/>
      <c r="R57" s="1223"/>
      <c r="S57" s="1223"/>
      <c r="T57" s="1223"/>
      <c r="U57" s="1223"/>
      <c r="V57" s="1223"/>
      <c r="W57" s="1223"/>
      <c r="X57" s="1223"/>
      <c r="Y57" s="1223"/>
      <c r="Z57" s="1223"/>
      <c r="AA57" s="1223"/>
      <c r="AB57" s="1223"/>
    </row>
  </sheetData>
  <sheetProtection password="A754" sheet="1" objects="1" scenarios="1"/>
  <mergeCells count="55">
    <mergeCell ref="B6:F6"/>
    <mergeCell ref="G6:P6"/>
    <mergeCell ref="Q6:AA6"/>
    <mergeCell ref="AB6:AB9"/>
    <mergeCell ref="A7:A10"/>
    <mergeCell ref="B7:B10"/>
    <mergeCell ref="C7:C10"/>
    <mergeCell ref="D7:D9"/>
    <mergeCell ref="E7:E9"/>
    <mergeCell ref="F7:F9"/>
    <mergeCell ref="N7:N9"/>
    <mergeCell ref="O7:P7"/>
    <mergeCell ref="Q7:S7"/>
    <mergeCell ref="L8:L9"/>
    <mergeCell ref="O8:O9"/>
    <mergeCell ref="P8:P9"/>
    <mergeCell ref="Q8:Q9"/>
    <mergeCell ref="J8:J9"/>
    <mergeCell ref="K8:K9"/>
    <mergeCell ref="G7:I7"/>
    <mergeCell ref="J7:L7"/>
    <mergeCell ref="M7:M9"/>
    <mergeCell ref="T7:V7"/>
    <mergeCell ref="W7:W9"/>
    <mergeCell ref="X7:X9"/>
    <mergeCell ref="Y7:Z7"/>
    <mergeCell ref="AA7:AA9"/>
    <mergeCell ref="A50:AB50"/>
    <mergeCell ref="Z8:Z9"/>
    <mergeCell ref="D10:F10"/>
    <mergeCell ref="G10:P10"/>
    <mergeCell ref="Q10:AA10"/>
    <mergeCell ref="A42:AB42"/>
    <mergeCell ref="A43:AB43"/>
    <mergeCell ref="R8:R9"/>
    <mergeCell ref="S8:S9"/>
    <mergeCell ref="T8:T9"/>
    <mergeCell ref="U8:U9"/>
    <mergeCell ref="V8:V9"/>
    <mergeCell ref="Y8:Y9"/>
    <mergeCell ref="G8:G9"/>
    <mergeCell ref="H8:H9"/>
    <mergeCell ref="I8:I9"/>
    <mergeCell ref="B44:AB44"/>
    <mergeCell ref="A46:AB46"/>
    <mergeCell ref="A47:T47"/>
    <mergeCell ref="A48:T48"/>
    <mergeCell ref="A49:T49"/>
    <mergeCell ref="A57:AB57"/>
    <mergeCell ref="A51:T51"/>
    <mergeCell ref="A52:T52"/>
    <mergeCell ref="A53:AB53"/>
    <mergeCell ref="A54:Z54"/>
    <mergeCell ref="A55:T55"/>
    <mergeCell ref="A56:AB56"/>
  </mergeCells>
  <pageMargins left="0.70866141732283472" right="0.70866141732283472" top="0.74803149606299213" bottom="0.74803149606299213" header="0.31496062992125984" footer="0.31496062992125984"/>
  <pageSetup scale="23" orientation="landscape"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C3A80-08A7-4E3E-8A76-E997016F32C6}">
  <sheetPr>
    <tabColor rgb="FFFF0000"/>
  </sheetPr>
  <dimension ref="A1:L25"/>
  <sheetViews>
    <sheetView workbookViewId="0">
      <selection activeCell="A16" sqref="A16"/>
    </sheetView>
  </sheetViews>
  <sheetFormatPr defaultColWidth="9.109375" defaultRowHeight="14.4" x14ac:dyDescent="0.3"/>
  <cols>
    <col min="1" max="1" width="37" style="91" customWidth="1"/>
    <col min="2" max="4" width="16.44140625" style="91" customWidth="1"/>
    <col min="5" max="6" width="15.33203125" style="91" customWidth="1"/>
    <col min="7" max="7" width="15.6640625" style="91" customWidth="1"/>
    <col min="8" max="11" width="12" style="91" customWidth="1"/>
    <col min="12" max="12" width="11.5546875" style="91" bestFit="1" customWidth="1"/>
    <col min="13" max="16384" width="9.109375" style="91"/>
  </cols>
  <sheetData>
    <row r="1" spans="1:12" ht="18" x14ac:dyDescent="0.35">
      <c r="A1" s="89" t="s">
        <v>389</v>
      </c>
      <c r="B1" s="90"/>
      <c r="C1" s="90"/>
      <c r="D1" s="90"/>
      <c r="E1" s="90"/>
    </row>
    <row r="2" spans="1:12" ht="18.600000000000001" thickBot="1" x14ac:dyDescent="0.4">
      <c r="A2" s="89" t="s">
        <v>390</v>
      </c>
      <c r="B2" s="90"/>
      <c r="C2" s="90"/>
      <c r="D2" s="90"/>
      <c r="E2" s="90"/>
    </row>
    <row r="3" spans="1:12" ht="80.25" customHeight="1" thickBot="1" x14ac:dyDescent="0.35">
      <c r="A3" s="310" t="s">
        <v>391</v>
      </c>
      <c r="B3" s="1262" t="s">
        <v>392</v>
      </c>
      <c r="C3" s="1263"/>
      <c r="D3" s="1264"/>
      <c r="E3" s="1262" t="s">
        <v>393</v>
      </c>
      <c r="F3" s="1263"/>
      <c r="G3" s="1264"/>
      <c r="H3" s="1262" t="s">
        <v>180</v>
      </c>
      <c r="I3" s="1263"/>
      <c r="J3" s="1263"/>
      <c r="K3" s="1264"/>
    </row>
    <row r="4" spans="1:12" ht="35.25" customHeight="1" thickBot="1" x14ac:dyDescent="0.4">
      <c r="A4" s="93" t="s">
        <v>181</v>
      </c>
      <c r="B4" s="94">
        <v>2015</v>
      </c>
      <c r="C4" s="95">
        <v>2016</v>
      </c>
      <c r="D4" s="96">
        <v>2017</v>
      </c>
      <c r="E4" s="97">
        <v>2015</v>
      </c>
      <c r="F4" s="95">
        <v>2016</v>
      </c>
      <c r="G4" s="98">
        <v>2017</v>
      </c>
      <c r="H4" s="94">
        <v>2015</v>
      </c>
      <c r="I4" s="95">
        <v>2016</v>
      </c>
      <c r="J4" s="96">
        <v>2017</v>
      </c>
      <c r="K4" s="99" t="s">
        <v>170</v>
      </c>
    </row>
    <row r="5" spans="1:12" x14ac:dyDescent="0.3">
      <c r="A5" s="100" t="s">
        <v>182</v>
      </c>
      <c r="B5" s="101" t="s">
        <v>138</v>
      </c>
      <c r="C5" s="102" t="s">
        <v>138</v>
      </c>
      <c r="D5" s="103" t="s">
        <v>138</v>
      </c>
      <c r="E5" s="104" t="s">
        <v>163</v>
      </c>
      <c r="F5" s="105" t="s">
        <v>163</v>
      </c>
      <c r="G5" s="103" t="s">
        <v>162</v>
      </c>
      <c r="H5" s="104" t="s">
        <v>167</v>
      </c>
      <c r="I5" s="105" t="s">
        <v>167</v>
      </c>
      <c r="J5" s="103" t="s">
        <v>167</v>
      </c>
      <c r="K5" s="106" t="s">
        <v>167</v>
      </c>
      <c r="L5" s="91" t="s">
        <v>183</v>
      </c>
    </row>
    <row r="6" spans="1:12" x14ac:dyDescent="0.3">
      <c r="A6" s="225" t="s">
        <v>394</v>
      </c>
      <c r="B6" s="226"/>
      <c r="C6" s="227"/>
      <c r="D6" s="228">
        <f>8082.43718406451*10</f>
        <v>80824.371840645093</v>
      </c>
      <c r="E6" s="229"/>
      <c r="F6" s="230"/>
      <c r="G6" s="231">
        <f>-18475.0651514236/1000</f>
        <v>-18.4750651514236</v>
      </c>
      <c r="H6" s="232"/>
      <c r="I6" s="233"/>
      <c r="J6" s="234">
        <f>1000000000*G6/(1000000*D6)</f>
        <v>-0.22858284859731909</v>
      </c>
      <c r="K6" s="235">
        <f>AVERAGE(H6:J6)</f>
        <v>-0.22858284859731909</v>
      </c>
      <c r="L6" s="118">
        <f>(D6)/($D$12)</f>
        <v>0.3020109278300882</v>
      </c>
    </row>
    <row r="7" spans="1:12" x14ac:dyDescent="0.3">
      <c r="A7" s="236" t="s">
        <v>395</v>
      </c>
      <c r="B7" s="226"/>
      <c r="C7" s="227"/>
      <c r="D7" s="231">
        <f>8845.49844*10</f>
        <v>88454.984399999987</v>
      </c>
      <c r="E7" s="229"/>
      <c r="F7" s="230"/>
      <c r="G7" s="231">
        <f>937.660503985074/1000</f>
        <v>0.93766050398507406</v>
      </c>
      <c r="H7" s="232"/>
      <c r="I7" s="233"/>
      <c r="J7" s="234">
        <f>1000000000*G7/(1000000*D7)</f>
        <v>1.0600425858930729E-2</v>
      </c>
      <c r="K7" s="235">
        <f>AVERAGE(H7:J7)</f>
        <v>1.0600425858930729E-2</v>
      </c>
      <c r="L7" s="118">
        <f t="shared" ref="L7:L12" si="0">(D7)/($D$12)</f>
        <v>0.33052371829762628</v>
      </c>
    </row>
    <row r="8" spans="1:12" x14ac:dyDescent="0.3">
      <c r="A8" s="225" t="s">
        <v>396</v>
      </c>
      <c r="B8" s="226"/>
      <c r="C8" s="227"/>
      <c r="D8" s="228">
        <f>6828.47025301102*10</f>
        <v>68284.702530110197</v>
      </c>
      <c r="E8" s="229"/>
      <c r="F8" s="230"/>
      <c r="G8" s="231">
        <f>-81.8226899780407/1000</f>
        <v>-8.1822689978040694E-2</v>
      </c>
      <c r="H8" s="232"/>
      <c r="I8" s="233"/>
      <c r="J8" s="234">
        <f>1000000000*G8/(1000000*D8)</f>
        <v>-1.1982579837989469E-3</v>
      </c>
      <c r="K8" s="235">
        <f>AVERAGE(H8:J8)</f>
        <v>-1.1982579837989469E-3</v>
      </c>
      <c r="L8" s="118">
        <f t="shared" si="0"/>
        <v>0.25515479920314532</v>
      </c>
    </row>
    <row r="9" spans="1:12" x14ac:dyDescent="0.3">
      <c r="A9" s="225" t="s">
        <v>397</v>
      </c>
      <c r="B9" s="226"/>
      <c r="C9" s="227"/>
      <c r="D9" s="231">
        <f>513.3759085*10</f>
        <v>5133.7590850000006</v>
      </c>
      <c r="E9" s="229"/>
      <c r="F9" s="230"/>
      <c r="G9" s="237" t="s">
        <v>398</v>
      </c>
      <c r="H9" s="232"/>
      <c r="I9" s="233"/>
      <c r="J9" s="234">
        <v>0</v>
      </c>
      <c r="K9" s="235">
        <f>AVERAGE(H9:J9)</f>
        <v>0</v>
      </c>
      <c r="L9" s="118">
        <f t="shared" si="0"/>
        <v>1.9182968072723103E-2</v>
      </c>
    </row>
    <row r="10" spans="1:12" x14ac:dyDescent="0.3">
      <c r="A10" s="225" t="s">
        <v>399</v>
      </c>
      <c r="B10" s="226"/>
      <c r="C10" s="227"/>
      <c r="D10" s="231">
        <f>1837.24646283334*10</f>
        <v>18372.4646283334</v>
      </c>
      <c r="E10" s="229"/>
      <c r="F10" s="230"/>
      <c r="G10" s="237" t="s">
        <v>398</v>
      </c>
      <c r="H10" s="232"/>
      <c r="I10" s="233"/>
      <c r="J10" s="234">
        <v>0</v>
      </c>
      <c r="K10" s="235">
        <f>AVERAGE(H10:J10)</f>
        <v>0</v>
      </c>
      <c r="L10" s="118">
        <f t="shared" si="0"/>
        <v>6.8651137801211043E-2</v>
      </c>
    </row>
    <row r="11" spans="1:12" ht="15" thickBot="1" x14ac:dyDescent="0.35">
      <c r="A11" s="225" t="s">
        <v>400</v>
      </c>
      <c r="B11" s="226"/>
      <c r="C11" s="227"/>
      <c r="D11" s="231">
        <f>655.040403*10</f>
        <v>6550.4040299999997</v>
      </c>
      <c r="E11" s="238"/>
      <c r="F11" s="239"/>
      <c r="G11" s="240" t="s">
        <v>401</v>
      </c>
      <c r="H11" s="232"/>
      <c r="I11" s="241"/>
      <c r="J11" s="242">
        <v>0</v>
      </c>
      <c r="K11" s="243"/>
      <c r="L11" s="118">
        <f t="shared" si="0"/>
        <v>2.4476448795206118E-2</v>
      </c>
    </row>
    <row r="12" spans="1:12" ht="15" thickBot="1" x14ac:dyDescent="0.35">
      <c r="A12" s="126" t="s">
        <v>402</v>
      </c>
      <c r="B12" s="127">
        <f t="shared" ref="B12:G12" si="1">SUM(B6:B11)</f>
        <v>0</v>
      </c>
      <c r="C12" s="128">
        <f t="shared" si="1"/>
        <v>0</v>
      </c>
      <c r="D12" s="244">
        <f t="shared" si="1"/>
        <v>267620.68651408865</v>
      </c>
      <c r="E12" s="130">
        <f t="shared" si="1"/>
        <v>0</v>
      </c>
      <c r="F12" s="131">
        <f t="shared" si="1"/>
        <v>0</v>
      </c>
      <c r="G12" s="132">
        <f t="shared" si="1"/>
        <v>-17.619227337416564</v>
      </c>
      <c r="H12" s="130"/>
      <c r="I12" s="131"/>
      <c r="J12" s="245">
        <f>SUM(J6:J11)</f>
        <v>-0.2191806807221873</v>
      </c>
      <c r="K12" s="246">
        <f>AVERAGE(H12:J12)</f>
        <v>-0.2191806807221873</v>
      </c>
      <c r="L12" s="118">
        <f t="shared" si="0"/>
        <v>1</v>
      </c>
    </row>
    <row r="13" spans="1:12" x14ac:dyDescent="0.3">
      <c r="A13" s="247" t="s">
        <v>403</v>
      </c>
      <c r="B13" s="248"/>
      <c r="C13" s="248"/>
      <c r="D13" s="249">
        <v>33715.323485911256</v>
      </c>
      <c r="E13" s="250"/>
      <c r="F13" s="250"/>
      <c r="G13" s="250"/>
      <c r="H13" s="250"/>
      <c r="I13" s="250"/>
      <c r="J13" s="251"/>
      <c r="K13" s="252"/>
      <c r="L13" s="118"/>
    </row>
    <row r="14" spans="1:12" x14ac:dyDescent="0.3">
      <c r="A14" s="247" t="s">
        <v>404</v>
      </c>
      <c r="B14" s="248"/>
      <c r="C14" s="248"/>
      <c r="D14" s="249">
        <f>D12+D13</f>
        <v>301336.00999999989</v>
      </c>
      <c r="E14" s="250"/>
      <c r="F14" s="250"/>
      <c r="G14" s="250"/>
      <c r="H14" s="250"/>
      <c r="I14" s="250"/>
      <c r="J14" s="251"/>
      <c r="K14" s="252"/>
      <c r="L14" s="118"/>
    </row>
    <row r="15" spans="1:12" x14ac:dyDescent="0.3">
      <c r="A15" s="135" t="s">
        <v>184</v>
      </c>
      <c r="B15" s="136"/>
      <c r="C15" s="136"/>
      <c r="L15" s="134">
        <f>SUM(L6:L11)</f>
        <v>1</v>
      </c>
    </row>
    <row r="16" spans="1:12" x14ac:dyDescent="0.3">
      <c r="B16" s="136"/>
      <c r="C16" s="136"/>
    </row>
    <row r="17" spans="1:6" ht="15.6" x14ac:dyDescent="0.3">
      <c r="A17" s="253" t="s">
        <v>405</v>
      </c>
    </row>
    <row r="18" spans="1:6" ht="43.2" x14ac:dyDescent="0.3">
      <c r="A18" s="112" t="s">
        <v>174</v>
      </c>
      <c r="B18" s="138" t="s">
        <v>148</v>
      </c>
      <c r="C18" s="138" t="s">
        <v>149</v>
      </c>
      <c r="D18" s="138" t="s">
        <v>150</v>
      </c>
      <c r="E18" s="138" t="s">
        <v>151</v>
      </c>
      <c r="F18" s="138" t="s">
        <v>152</v>
      </c>
    </row>
    <row r="19" spans="1:6" x14ac:dyDescent="0.3">
      <c r="A19" s="112" t="s">
        <v>148</v>
      </c>
      <c r="B19" s="254">
        <f>J6</f>
        <v>-0.22858284859731909</v>
      </c>
      <c r="C19" s="255">
        <f>J7-J6</f>
        <v>0.23918327445624982</v>
      </c>
      <c r="D19" s="256">
        <f>J8-J6</f>
        <v>0.22738459061352015</v>
      </c>
      <c r="E19" s="257">
        <f>J9-J6</f>
        <v>0.22858284859731909</v>
      </c>
      <c r="F19" s="255">
        <f>J10-J6</f>
        <v>0.22858284859731909</v>
      </c>
    </row>
    <row r="20" spans="1:6" x14ac:dyDescent="0.3">
      <c r="A20" s="112" t="s">
        <v>149</v>
      </c>
      <c r="B20" s="258">
        <f>J6-J7</f>
        <v>-0.23918327445624982</v>
      </c>
      <c r="C20" s="259">
        <f>J7</f>
        <v>1.0600425858930729E-2</v>
      </c>
      <c r="D20" s="256">
        <f>J8-J7</f>
        <v>-1.1798683842729675E-2</v>
      </c>
      <c r="E20" s="256">
        <f>J9-J7</f>
        <v>-1.0600425858930729E-2</v>
      </c>
      <c r="F20" s="256">
        <f>J10-J7</f>
        <v>-1.0600425858930729E-2</v>
      </c>
    </row>
    <row r="21" spans="1:6" x14ac:dyDescent="0.3">
      <c r="A21" s="112" t="s">
        <v>150</v>
      </c>
      <c r="B21" s="258">
        <f>J6-J8</f>
        <v>-0.22738459061352015</v>
      </c>
      <c r="C21" s="256">
        <f>J7-J8</f>
        <v>1.1798683842729675E-2</v>
      </c>
      <c r="D21" s="254">
        <f>J8</f>
        <v>-1.1982579837989469E-3</v>
      </c>
      <c r="E21" s="256">
        <f>J9-J8</f>
        <v>1.1982579837989469E-3</v>
      </c>
      <c r="F21" s="256">
        <f>J10-J8</f>
        <v>1.1982579837989469E-3</v>
      </c>
    </row>
    <row r="22" spans="1:6" x14ac:dyDescent="0.3">
      <c r="A22" s="112" t="s">
        <v>151</v>
      </c>
      <c r="B22" s="258">
        <f>J6-J9</f>
        <v>-0.22858284859731909</v>
      </c>
      <c r="C22" s="256">
        <f>J7-J9</f>
        <v>1.0600425858930729E-2</v>
      </c>
      <c r="D22" s="256">
        <f>J8-J9</f>
        <v>-1.1982579837989469E-3</v>
      </c>
      <c r="E22" s="259">
        <f>J9</f>
        <v>0</v>
      </c>
      <c r="F22" s="256">
        <f>J10-J9</f>
        <v>0</v>
      </c>
    </row>
    <row r="23" spans="1:6" x14ac:dyDescent="0.3">
      <c r="A23" s="112" t="s">
        <v>152</v>
      </c>
      <c r="B23" s="260">
        <f>J6-J10</f>
        <v>-0.22858284859731909</v>
      </c>
      <c r="C23" s="256">
        <f>J7-J10</f>
        <v>1.0600425858930729E-2</v>
      </c>
      <c r="D23" s="256">
        <f>J8-J10</f>
        <v>-1.1982579837989469E-3</v>
      </c>
      <c r="E23" s="256">
        <f>J9-J10</f>
        <v>0</v>
      </c>
      <c r="F23" s="261">
        <f>J10</f>
        <v>0</v>
      </c>
    </row>
    <row r="25" spans="1:6" x14ac:dyDescent="0.3">
      <c r="A25" s="91" t="s">
        <v>406</v>
      </c>
    </row>
  </sheetData>
  <mergeCells count="3">
    <mergeCell ref="B3:D3"/>
    <mergeCell ref="E3:G3"/>
    <mergeCell ref="H3:K3"/>
  </mergeCells>
  <hyperlinks>
    <hyperlink ref="A3" r:id="rId1" xr:uid="{9EE7C7CC-7EDD-4F39-B029-3923CEF41F46}"/>
  </hyperlinks>
  <pageMargins left="0.7" right="0.7" top="0.75" bottom="0.75" header="0.3" footer="0.3"/>
  <pageSetup paperSize="9" orientation="portrait"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3A114-C155-4481-855E-7339E1960A0D}">
  <sheetPr>
    <tabColor rgb="FFFF0000"/>
  </sheetPr>
  <dimension ref="A1:L33"/>
  <sheetViews>
    <sheetView workbookViewId="0">
      <selection activeCell="A36" sqref="A36"/>
    </sheetView>
  </sheetViews>
  <sheetFormatPr defaultColWidth="9.109375" defaultRowHeight="14.4" x14ac:dyDescent="0.3"/>
  <cols>
    <col min="1" max="1" width="37" style="91" customWidth="1"/>
    <col min="2" max="4" width="16.44140625" style="91" customWidth="1"/>
    <col min="5" max="6" width="15.33203125" style="91" customWidth="1"/>
    <col min="7" max="7" width="15.6640625" style="91" customWidth="1"/>
    <col min="8" max="11" width="12" style="91" customWidth="1"/>
    <col min="12" max="12" width="11.5546875" style="91" bestFit="1" customWidth="1"/>
    <col min="13" max="16384" width="9.109375" style="91"/>
  </cols>
  <sheetData>
    <row r="1" spans="1:12" ht="18" x14ac:dyDescent="0.35">
      <c r="A1" s="89" t="s">
        <v>176</v>
      </c>
      <c r="B1" s="90"/>
      <c r="C1" s="90"/>
      <c r="D1" s="90"/>
      <c r="E1" s="90"/>
    </row>
    <row r="2" spans="1:12" ht="18.600000000000001" thickBot="1" x14ac:dyDescent="0.4">
      <c r="A2" s="89" t="s">
        <v>407</v>
      </c>
      <c r="B2" s="90"/>
      <c r="C2" s="90"/>
      <c r="D2" s="90"/>
      <c r="E2" s="90"/>
    </row>
    <row r="3" spans="1:12" ht="65.25" customHeight="1" thickBot="1" x14ac:dyDescent="0.35">
      <c r="A3" s="92" t="s">
        <v>177</v>
      </c>
      <c r="B3" s="1262" t="s">
        <v>178</v>
      </c>
      <c r="C3" s="1263"/>
      <c r="D3" s="1264"/>
      <c r="E3" s="1262" t="s">
        <v>179</v>
      </c>
      <c r="F3" s="1263"/>
      <c r="G3" s="1264"/>
      <c r="H3" s="1262" t="s">
        <v>180</v>
      </c>
      <c r="I3" s="1263"/>
      <c r="J3" s="1263"/>
      <c r="K3" s="1264"/>
    </row>
    <row r="4" spans="1:12" ht="35.25" customHeight="1" thickBot="1" x14ac:dyDescent="0.4">
      <c r="A4" s="93" t="s">
        <v>181</v>
      </c>
      <c r="B4" s="94">
        <v>2015</v>
      </c>
      <c r="C4" s="95">
        <v>2016</v>
      </c>
      <c r="D4" s="96">
        <v>2017</v>
      </c>
      <c r="E4" s="97">
        <v>2015</v>
      </c>
      <c r="F4" s="95">
        <v>2016</v>
      </c>
      <c r="G4" s="98">
        <v>2017</v>
      </c>
      <c r="H4" s="94">
        <v>2015</v>
      </c>
      <c r="I4" s="95">
        <v>2016</v>
      </c>
      <c r="J4" s="96">
        <v>2017</v>
      </c>
      <c r="K4" s="99" t="s">
        <v>170</v>
      </c>
    </row>
    <row r="5" spans="1:12" x14ac:dyDescent="0.3">
      <c r="A5" s="100" t="s">
        <v>182</v>
      </c>
      <c r="B5" s="101" t="s">
        <v>138</v>
      </c>
      <c r="C5" s="102" t="s">
        <v>138</v>
      </c>
      <c r="D5" s="103" t="s">
        <v>138</v>
      </c>
      <c r="E5" s="104" t="s">
        <v>163</v>
      </c>
      <c r="F5" s="105" t="s">
        <v>163</v>
      </c>
      <c r="G5" s="103" t="s">
        <v>162</v>
      </c>
      <c r="H5" s="104" t="s">
        <v>167</v>
      </c>
      <c r="I5" s="105" t="s">
        <v>167</v>
      </c>
      <c r="J5" s="103" t="s">
        <v>167</v>
      </c>
      <c r="K5" s="106" t="s">
        <v>167</v>
      </c>
      <c r="L5" s="91" t="s">
        <v>183</v>
      </c>
    </row>
    <row r="6" spans="1:12" x14ac:dyDescent="0.3">
      <c r="A6" s="107" t="s">
        <v>148</v>
      </c>
      <c r="B6" s="108">
        <v>93060</v>
      </c>
      <c r="C6" s="109">
        <v>93610</v>
      </c>
      <c r="D6" s="110">
        <v>94150</v>
      </c>
      <c r="E6" s="111">
        <v>-40.113</v>
      </c>
      <c r="F6" s="112">
        <v>-37.072000000000003</v>
      </c>
      <c r="G6" s="113">
        <v>-22.734000000000002</v>
      </c>
      <c r="H6" s="114">
        <f>1000000000*E6/(1000000*B6)</f>
        <v>-0.43104448742746615</v>
      </c>
      <c r="I6" s="115">
        <f t="shared" ref="I6:J10" si="0">1000000000*F6/(1000000*C6)</f>
        <v>-0.39602606559128301</v>
      </c>
      <c r="J6" s="116">
        <f t="shared" si="0"/>
        <v>-0.24146574614976102</v>
      </c>
      <c r="K6" s="117">
        <f>AVERAGE(H6:J6)</f>
        <v>-0.35617876638950347</v>
      </c>
      <c r="L6" s="118">
        <f t="shared" ref="L6:L13" si="1">(B6+C6+D6)/($B$13*3)</f>
        <v>0.31063472047078605</v>
      </c>
    </row>
    <row r="7" spans="1:12" x14ac:dyDescent="0.3">
      <c r="A7" s="107" t="s">
        <v>149</v>
      </c>
      <c r="B7" s="108">
        <v>88450</v>
      </c>
      <c r="C7" s="109">
        <v>89290</v>
      </c>
      <c r="D7" s="110">
        <v>88890</v>
      </c>
      <c r="E7" s="111">
        <v>2.157</v>
      </c>
      <c r="F7" s="112">
        <v>1.099</v>
      </c>
      <c r="G7" s="113">
        <v>1.228</v>
      </c>
      <c r="H7" s="114">
        <f>1000000000*E7/(1000000*B7)</f>
        <v>2.4386659129451666E-2</v>
      </c>
      <c r="I7" s="115">
        <f t="shared" si="0"/>
        <v>1.2308209205958114E-2</v>
      </c>
      <c r="J7" s="116">
        <f t="shared" si="0"/>
        <v>1.3814827314658567E-2</v>
      </c>
      <c r="K7" s="119">
        <f>AVERAGE(H7:J7)</f>
        <v>1.6836565216689449E-2</v>
      </c>
      <c r="L7" s="118">
        <f t="shared" si="1"/>
        <v>0.29493816508484327</v>
      </c>
    </row>
    <row r="8" spans="1:12" x14ac:dyDescent="0.3">
      <c r="A8" s="107" t="s">
        <v>150</v>
      </c>
      <c r="B8" s="108">
        <v>85130</v>
      </c>
      <c r="C8" s="109">
        <v>83520</v>
      </c>
      <c r="D8" s="110">
        <v>83160</v>
      </c>
      <c r="E8" s="111">
        <v>-7.0609999999999999</v>
      </c>
      <c r="F8" s="112">
        <v>-6.7430000000000003</v>
      </c>
      <c r="G8" s="113">
        <v>-3.9380000000000002</v>
      </c>
      <c r="H8" s="114">
        <f>1000000000*E8/(1000000*B8)</f>
        <v>-8.294373311406085E-2</v>
      </c>
      <c r="I8" s="115">
        <f t="shared" si="0"/>
        <v>-8.0735153256704981E-2</v>
      </c>
      <c r="J8" s="116">
        <f t="shared" si="0"/>
        <v>-4.7354497354497357E-2</v>
      </c>
      <c r="K8" s="117">
        <f>AVERAGE(H8:J8)</f>
        <v>-7.0344461241754405E-2</v>
      </c>
      <c r="L8" s="118">
        <f t="shared" si="1"/>
        <v>0.27854472246189244</v>
      </c>
    </row>
    <row r="9" spans="1:12" x14ac:dyDescent="0.3">
      <c r="A9" s="107" t="s">
        <v>151</v>
      </c>
      <c r="B9" s="108">
        <v>5710</v>
      </c>
      <c r="C9" s="109">
        <v>5790</v>
      </c>
      <c r="D9" s="110">
        <v>5860</v>
      </c>
      <c r="E9" s="111">
        <v>0.13</v>
      </c>
      <c r="F9" s="112">
        <v>7.9000000000000001E-2</v>
      </c>
      <c r="G9" s="113">
        <v>7.9000000000000001E-2</v>
      </c>
      <c r="H9" s="114">
        <f>1000000000*E9/(1000000*B9)</f>
        <v>2.276707530647986E-2</v>
      </c>
      <c r="I9" s="115">
        <f t="shared" si="0"/>
        <v>1.3644214162348877E-2</v>
      </c>
      <c r="J9" s="116">
        <f t="shared" si="0"/>
        <v>1.348122866894198E-2</v>
      </c>
      <c r="K9" s="119">
        <f>AVERAGE(H9:J9)</f>
        <v>1.6630839379256909E-2</v>
      </c>
      <c r="L9" s="118">
        <f t="shared" si="1"/>
        <v>1.9203114975332405E-2</v>
      </c>
    </row>
    <row r="10" spans="1:12" x14ac:dyDescent="0.3">
      <c r="A10" s="107" t="s">
        <v>152</v>
      </c>
      <c r="B10" s="108">
        <v>22440</v>
      </c>
      <c r="C10" s="109">
        <v>22580</v>
      </c>
      <c r="D10" s="110">
        <v>22730</v>
      </c>
      <c r="E10" s="111">
        <v>4.4379999999999997</v>
      </c>
      <c r="F10" s="112">
        <v>5.1760000000000002</v>
      </c>
      <c r="G10" s="113">
        <v>5.1779999999999999</v>
      </c>
      <c r="H10" s="114">
        <f>1000000000*E10/(1000000*B10)</f>
        <v>0.19777183600713014</v>
      </c>
      <c r="I10" s="115">
        <f t="shared" si="0"/>
        <v>0.22922940655447299</v>
      </c>
      <c r="J10" s="116">
        <f t="shared" si="0"/>
        <v>0.22780466344038716</v>
      </c>
      <c r="K10" s="120">
        <f>AVERAGE(H10:J10)</f>
        <v>0.21826863533399676</v>
      </c>
      <c r="L10" s="118">
        <f t="shared" si="1"/>
        <v>7.4943032233800139E-2</v>
      </c>
    </row>
    <row r="11" spans="1:12" x14ac:dyDescent="0.3">
      <c r="A11" s="107" t="s">
        <v>153</v>
      </c>
      <c r="B11" s="108">
        <v>6550</v>
      </c>
      <c r="C11" s="109">
        <v>6550</v>
      </c>
      <c r="D11" s="110">
        <v>6550</v>
      </c>
      <c r="E11" s="121" t="s">
        <v>166</v>
      </c>
      <c r="F11" s="122" t="s">
        <v>166</v>
      </c>
      <c r="G11" s="123" t="s">
        <v>166</v>
      </c>
      <c r="H11" s="114"/>
      <c r="I11" s="124"/>
      <c r="J11" s="113"/>
      <c r="K11" s="125"/>
      <c r="L11" s="118">
        <f t="shared" si="1"/>
        <v>2.1736244773345723E-2</v>
      </c>
    </row>
    <row r="12" spans="1:12" ht="15" thickBot="1" x14ac:dyDescent="0.35">
      <c r="A12" s="107" t="s">
        <v>164</v>
      </c>
      <c r="B12" s="108" t="s">
        <v>165</v>
      </c>
      <c r="C12" s="109" t="s">
        <v>165</v>
      </c>
      <c r="D12" s="110" t="s">
        <v>165</v>
      </c>
      <c r="E12" s="111">
        <v>0.223</v>
      </c>
      <c r="F12" s="112">
        <v>9.0999999999999998E-2</v>
      </c>
      <c r="G12" s="113">
        <v>-0.16200000000000001</v>
      </c>
      <c r="H12" s="114"/>
      <c r="I12" s="112"/>
      <c r="J12" s="113"/>
      <c r="K12" s="125"/>
    </row>
    <row r="13" spans="1:12" ht="15" thickBot="1" x14ac:dyDescent="0.35">
      <c r="A13" s="126" t="s">
        <v>154</v>
      </c>
      <c r="B13" s="127">
        <f>SUM(B6:B12)</f>
        <v>301340</v>
      </c>
      <c r="C13" s="128">
        <f>SUM(C6:C12)</f>
        <v>301340</v>
      </c>
      <c r="D13" s="129">
        <v>301340</v>
      </c>
      <c r="E13" s="130">
        <f t="shared" ref="E13:J13" si="2">SUM(E6:E12)</f>
        <v>-40.225999999999999</v>
      </c>
      <c r="F13" s="131">
        <f t="shared" si="2"/>
        <v>-37.370000000000005</v>
      </c>
      <c r="G13" s="132">
        <f t="shared" si="2"/>
        <v>-20.348999999999997</v>
      </c>
      <c r="H13" s="130">
        <f t="shared" si="2"/>
        <v>-0.26906265009846531</v>
      </c>
      <c r="I13" s="131">
        <f t="shared" si="2"/>
        <v>-0.22157938892520801</v>
      </c>
      <c r="J13" s="132">
        <f t="shared" si="2"/>
        <v>-3.3719524080270652E-2</v>
      </c>
      <c r="K13" s="133">
        <f>AVERAGE(H13:J13)</f>
        <v>-0.17478718770131466</v>
      </c>
      <c r="L13" s="134">
        <f t="shared" si="1"/>
        <v>1</v>
      </c>
    </row>
    <row r="14" spans="1:12" x14ac:dyDescent="0.3">
      <c r="A14" s="135" t="s">
        <v>184</v>
      </c>
      <c r="B14" s="136">
        <f>SUM(C6:C12)</f>
        <v>301340</v>
      </c>
      <c r="C14" s="136">
        <f>SUM(D6:D12)</f>
        <v>301340</v>
      </c>
      <c r="L14" s="134">
        <f>SUM(L6:L11)</f>
        <v>1</v>
      </c>
    </row>
    <row r="15" spans="1:12" x14ac:dyDescent="0.3">
      <c r="B15" s="136"/>
      <c r="C15" s="136"/>
    </row>
    <row r="16" spans="1:12" x14ac:dyDescent="0.3">
      <c r="A16" s="137" t="s">
        <v>175</v>
      </c>
    </row>
    <row r="17" spans="1:8" ht="43.2" x14ac:dyDescent="0.3">
      <c r="A17" s="112" t="s">
        <v>174</v>
      </c>
      <c r="B17" s="138" t="s">
        <v>148</v>
      </c>
      <c r="C17" s="138" t="s">
        <v>149</v>
      </c>
      <c r="D17" s="138" t="s">
        <v>150</v>
      </c>
      <c r="E17" s="138" t="s">
        <v>151</v>
      </c>
      <c r="F17" s="138" t="s">
        <v>152</v>
      </c>
    </row>
    <row r="18" spans="1:8" x14ac:dyDescent="0.3">
      <c r="A18" s="112" t="s">
        <v>148</v>
      </c>
      <c r="B18" s="139">
        <f>K6</f>
        <v>-0.35617876638950347</v>
      </c>
      <c r="C18" s="140">
        <f>K7-K6</f>
        <v>0.37301533160619293</v>
      </c>
      <c r="D18" s="141">
        <f>K8-K6</f>
        <v>0.28583430514774905</v>
      </c>
      <c r="E18" s="142">
        <f>K9-K6</f>
        <v>0.37280960576876038</v>
      </c>
      <c r="F18" s="140">
        <f>K10-K6</f>
        <v>0.57444740172350017</v>
      </c>
    </row>
    <row r="19" spans="1:8" x14ac:dyDescent="0.3">
      <c r="A19" s="112" t="s">
        <v>149</v>
      </c>
      <c r="B19" s="143">
        <f>K6-K7</f>
        <v>-0.37301533160619293</v>
      </c>
      <c r="C19" s="144">
        <f>K7</f>
        <v>1.6836565216689449E-2</v>
      </c>
      <c r="D19" s="141">
        <f>K8-K7</f>
        <v>-8.7181026458443861E-2</v>
      </c>
      <c r="E19" s="141">
        <f>K9-K7</f>
        <v>-2.0572583743254033E-4</v>
      </c>
      <c r="F19" s="141">
        <f>K10-K7</f>
        <v>0.20143207011730732</v>
      </c>
    </row>
    <row r="20" spans="1:8" x14ac:dyDescent="0.3">
      <c r="A20" s="112" t="s">
        <v>150</v>
      </c>
      <c r="B20" s="143">
        <f>K6-K8</f>
        <v>-0.28583430514774905</v>
      </c>
      <c r="C20" s="141">
        <f>K7-K8</f>
        <v>8.7181026458443861E-2</v>
      </c>
      <c r="D20" s="139">
        <f>K8</f>
        <v>-7.0344461241754405E-2</v>
      </c>
      <c r="E20" s="141">
        <f>K9-K8</f>
        <v>8.6975300621011317E-2</v>
      </c>
      <c r="F20" s="141">
        <f>K10-K8</f>
        <v>0.28861309657575118</v>
      </c>
    </row>
    <row r="21" spans="1:8" x14ac:dyDescent="0.3">
      <c r="A21" s="112" t="s">
        <v>151</v>
      </c>
      <c r="B21" s="143">
        <f>K6-K9</f>
        <v>-0.37280960576876038</v>
      </c>
      <c r="C21" s="141">
        <f>K7-K9</f>
        <v>2.0572583743254033E-4</v>
      </c>
      <c r="D21" s="141">
        <f>K8-K9</f>
        <v>-8.6975300621011317E-2</v>
      </c>
      <c r="E21" s="144">
        <f>K9</f>
        <v>1.6630839379256909E-2</v>
      </c>
      <c r="F21" s="141">
        <f>K10-K9</f>
        <v>0.20163779595473985</v>
      </c>
    </row>
    <row r="22" spans="1:8" x14ac:dyDescent="0.3">
      <c r="A22" s="112" t="s">
        <v>152</v>
      </c>
      <c r="B22" s="145">
        <f>K6-K10</f>
        <v>-0.57444740172350017</v>
      </c>
      <c r="C22" s="141">
        <f>K7-K10</f>
        <v>-0.20143207011730732</v>
      </c>
      <c r="D22" s="141">
        <f>K8-K10</f>
        <v>-0.28861309657575118</v>
      </c>
      <c r="E22" s="141">
        <f>K9-K10</f>
        <v>-0.20163779595473985</v>
      </c>
      <c r="F22" s="146">
        <f>K10</f>
        <v>0.21826863533399676</v>
      </c>
    </row>
    <row r="24" spans="1:8" x14ac:dyDescent="0.3">
      <c r="A24" s="1265"/>
      <c r="B24" s="1266"/>
      <c r="C24" s="1266"/>
      <c r="D24" s="1266"/>
      <c r="E24" s="1266"/>
      <c r="F24" s="1266"/>
      <c r="G24" s="1266"/>
      <c r="H24" s="1266"/>
    </row>
    <row r="25" spans="1:8" x14ac:dyDescent="0.3">
      <c r="A25" s="1266"/>
      <c r="B25" s="1266"/>
      <c r="C25" s="1266"/>
      <c r="D25" s="1266"/>
      <c r="E25" s="1266"/>
      <c r="F25" s="1266"/>
      <c r="G25" s="1266"/>
      <c r="H25" s="1266"/>
    </row>
    <row r="26" spans="1:8" ht="18" customHeight="1" x14ac:dyDescent="0.3">
      <c r="A26" s="1266"/>
      <c r="B26" s="1266"/>
      <c r="C26" s="1266"/>
      <c r="D26" s="1266"/>
      <c r="E26" s="1266"/>
      <c r="F26" s="1266"/>
      <c r="G26" s="1266"/>
      <c r="H26" s="1266"/>
    </row>
    <row r="27" spans="1:8" ht="98.25" customHeight="1" x14ac:dyDescent="0.3">
      <c r="A27" s="1266"/>
      <c r="B27" s="1266"/>
      <c r="C27" s="1266"/>
      <c r="D27" s="1266"/>
      <c r="E27" s="1266"/>
      <c r="F27" s="1266"/>
      <c r="G27" s="1266"/>
      <c r="H27" s="1266"/>
    </row>
    <row r="28" spans="1:8" x14ac:dyDescent="0.3">
      <c r="A28" s="1266"/>
      <c r="B28" s="1266"/>
      <c r="C28" s="1266"/>
      <c r="D28" s="1266"/>
      <c r="E28" s="1266"/>
      <c r="F28" s="1266"/>
      <c r="G28" s="1266"/>
      <c r="H28" s="1266"/>
    </row>
    <row r="29" spans="1:8" x14ac:dyDescent="0.3">
      <c r="A29" s="1266"/>
      <c r="B29" s="1266"/>
      <c r="C29" s="1266"/>
      <c r="D29" s="1266"/>
      <c r="E29" s="1266"/>
      <c r="F29" s="1266"/>
      <c r="G29" s="1266"/>
      <c r="H29" s="1266"/>
    </row>
    <row r="30" spans="1:8" x14ac:dyDescent="0.3">
      <c r="A30" s="1266"/>
      <c r="B30" s="1266"/>
      <c r="C30" s="1266"/>
      <c r="D30" s="1266"/>
      <c r="E30" s="1266"/>
      <c r="F30" s="1266"/>
      <c r="G30" s="1266"/>
      <c r="H30" s="1266"/>
    </row>
    <row r="31" spans="1:8" x14ac:dyDescent="0.3">
      <c r="A31" s="1266"/>
      <c r="B31" s="1266"/>
      <c r="C31" s="1266"/>
      <c r="D31" s="1266"/>
      <c r="E31" s="1266"/>
      <c r="F31" s="1266"/>
      <c r="G31" s="1266"/>
      <c r="H31" s="1266"/>
    </row>
    <row r="32" spans="1:8" x14ac:dyDescent="0.3">
      <c r="A32" s="1266"/>
      <c r="B32" s="1266"/>
      <c r="C32" s="1266"/>
      <c r="D32" s="1266"/>
      <c r="E32" s="1266"/>
      <c r="F32" s="1266"/>
      <c r="G32" s="1266"/>
      <c r="H32" s="1266"/>
    </row>
    <row r="33" spans="1:8" x14ac:dyDescent="0.3">
      <c r="A33" s="1266"/>
      <c r="B33" s="1266"/>
      <c r="C33" s="1266"/>
      <c r="D33" s="1266"/>
      <c r="E33" s="1266"/>
      <c r="F33" s="1266"/>
      <c r="G33" s="1266"/>
      <c r="H33" s="1266"/>
    </row>
  </sheetData>
  <mergeCells count="4">
    <mergeCell ref="B3:D3"/>
    <mergeCell ref="E3:G3"/>
    <mergeCell ref="H3:K3"/>
    <mergeCell ref="A24:H33"/>
  </mergeCell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7F6D6-9DD2-4EE3-87B3-38989A400701}">
  <sheetPr>
    <tabColor rgb="FFFF0000"/>
  </sheetPr>
  <dimension ref="A1:J33"/>
  <sheetViews>
    <sheetView workbookViewId="0">
      <selection activeCell="A36" sqref="A36"/>
    </sheetView>
  </sheetViews>
  <sheetFormatPr defaultRowHeight="14.4" x14ac:dyDescent="0.3"/>
  <cols>
    <col min="1" max="1" width="64.109375" customWidth="1"/>
    <col min="2" max="6" width="16.44140625" customWidth="1"/>
    <col min="7" max="7" width="18" customWidth="1"/>
    <col min="8" max="8" width="17.88671875" customWidth="1"/>
    <col min="9" max="10" width="16.44140625" customWidth="1"/>
    <col min="11" max="11" width="18.33203125" customWidth="1"/>
  </cols>
  <sheetData>
    <row r="1" spans="1:10" ht="21.6" thickBot="1" x14ac:dyDescent="0.45">
      <c r="A1" s="14" t="s">
        <v>112</v>
      </c>
      <c r="F1" s="1">
        <f>F4*1000/10000</f>
        <v>14.342000000000001</v>
      </c>
      <c r="G1" t="s">
        <v>147</v>
      </c>
    </row>
    <row r="2" spans="1:10" ht="29.4" thickBot="1" x14ac:dyDescent="0.35">
      <c r="A2" t="s">
        <v>127</v>
      </c>
      <c r="B2" s="12" t="s">
        <v>9</v>
      </c>
      <c r="C2" s="13" t="s">
        <v>8</v>
      </c>
      <c r="D2" s="13" t="s">
        <v>14</v>
      </c>
      <c r="E2" s="13" t="s">
        <v>11</v>
      </c>
      <c r="F2" s="24" t="s">
        <v>7</v>
      </c>
      <c r="G2" s="28" t="s">
        <v>7</v>
      </c>
      <c r="J2" s="15" t="s">
        <v>15</v>
      </c>
    </row>
    <row r="3" spans="1:10" x14ac:dyDescent="0.3">
      <c r="A3" s="2"/>
      <c r="B3" s="10" t="s">
        <v>6</v>
      </c>
      <c r="C3" s="11" t="s">
        <v>6</v>
      </c>
      <c r="D3" s="11" t="s">
        <v>6</v>
      </c>
      <c r="E3" s="11" t="s">
        <v>6</v>
      </c>
      <c r="F3" s="25" t="s">
        <v>6</v>
      </c>
      <c r="G3" s="29" t="s">
        <v>42</v>
      </c>
      <c r="H3" t="s">
        <v>12</v>
      </c>
      <c r="I3" s="16" t="s">
        <v>18</v>
      </c>
    </row>
    <row r="4" spans="1:10" x14ac:dyDescent="0.3">
      <c r="A4" s="3" t="s">
        <v>5</v>
      </c>
      <c r="B4" s="5">
        <v>76.099999999999994</v>
      </c>
      <c r="C4" s="6">
        <v>50.5</v>
      </c>
      <c r="D4" s="7">
        <v>11.525</v>
      </c>
      <c r="E4" s="7">
        <v>5.2949999999999999</v>
      </c>
      <c r="F4" s="26">
        <v>143.41999999999999</v>
      </c>
      <c r="G4" s="30">
        <f t="shared" ref="G4:G9" si="0">3.66*F4</f>
        <v>524.91719999999998</v>
      </c>
      <c r="H4" s="1">
        <f t="shared" ref="H4:H9" si="1">SUM(B4:E4)</f>
        <v>143.41999999999999</v>
      </c>
      <c r="I4" s="17">
        <f t="shared" ref="I4:I9" si="2">H4/$H$8</f>
        <v>1.8177439797211656</v>
      </c>
      <c r="J4" t="s">
        <v>19</v>
      </c>
    </row>
    <row r="5" spans="1:10" x14ac:dyDescent="0.3">
      <c r="A5" s="3" t="s">
        <v>1</v>
      </c>
      <c r="B5" s="5">
        <v>53.1</v>
      </c>
      <c r="C5" s="7">
        <v>5</v>
      </c>
      <c r="D5" s="7" t="s">
        <v>10</v>
      </c>
      <c r="E5" s="7" t="s">
        <v>10</v>
      </c>
      <c r="F5" s="26">
        <v>58.1</v>
      </c>
      <c r="G5" s="30">
        <f t="shared" si="0"/>
        <v>212.64600000000002</v>
      </c>
      <c r="H5" s="1">
        <f t="shared" si="1"/>
        <v>58.1</v>
      </c>
      <c r="I5" s="17">
        <f t="shared" si="2"/>
        <v>0.7363751584283903</v>
      </c>
      <c r="J5" t="s">
        <v>20</v>
      </c>
    </row>
    <row r="6" spans="1:10" x14ac:dyDescent="0.3">
      <c r="A6" s="3" t="s">
        <v>0</v>
      </c>
      <c r="B6" s="5">
        <v>52.1</v>
      </c>
      <c r="C6" s="7">
        <v>10</v>
      </c>
      <c r="D6" s="7" t="s">
        <v>10</v>
      </c>
      <c r="E6" s="7" t="s">
        <v>10</v>
      </c>
      <c r="F6" s="26">
        <v>62.1</v>
      </c>
      <c r="G6" s="30">
        <f t="shared" si="0"/>
        <v>227.286</v>
      </c>
      <c r="H6" s="1">
        <f t="shared" si="1"/>
        <v>62.1</v>
      </c>
      <c r="I6" s="17">
        <f t="shared" si="2"/>
        <v>0.78707224334600756</v>
      </c>
      <c r="J6" t="s">
        <v>21</v>
      </c>
    </row>
    <row r="7" spans="1:10" x14ac:dyDescent="0.3">
      <c r="A7" s="3" t="s">
        <v>2</v>
      </c>
      <c r="B7" s="5">
        <v>63.9</v>
      </c>
      <c r="C7" s="7">
        <v>28.55</v>
      </c>
      <c r="D7" s="7">
        <v>5.25</v>
      </c>
      <c r="E7" s="7">
        <v>1.75</v>
      </c>
      <c r="F7" s="26">
        <v>99.45</v>
      </c>
      <c r="G7" s="30">
        <f t="shared" si="0"/>
        <v>363.98700000000002</v>
      </c>
      <c r="H7" s="1">
        <f t="shared" si="1"/>
        <v>99.45</v>
      </c>
      <c r="I7" s="17">
        <f t="shared" si="2"/>
        <v>1.2604562737642584</v>
      </c>
      <c r="J7" t="s">
        <v>22</v>
      </c>
    </row>
    <row r="8" spans="1:10" x14ac:dyDescent="0.3">
      <c r="A8" s="3" t="s">
        <v>3</v>
      </c>
      <c r="B8" s="5">
        <v>78.900000000000006</v>
      </c>
      <c r="C8" s="7">
        <v>0</v>
      </c>
      <c r="D8" s="7" t="s">
        <v>10</v>
      </c>
      <c r="E8" s="7" t="s">
        <v>10</v>
      </c>
      <c r="F8" s="26">
        <v>78.900000000000006</v>
      </c>
      <c r="G8" s="30">
        <f t="shared" si="0"/>
        <v>288.77400000000006</v>
      </c>
      <c r="H8" s="1">
        <f t="shared" si="1"/>
        <v>78.900000000000006</v>
      </c>
      <c r="I8" s="18">
        <f t="shared" si="2"/>
        <v>1</v>
      </c>
      <c r="J8" t="s">
        <v>16</v>
      </c>
    </row>
    <row r="9" spans="1:10" ht="15" thickBot="1" x14ac:dyDescent="0.35">
      <c r="A9" s="4" t="s">
        <v>4</v>
      </c>
      <c r="B9" s="8">
        <v>66.900000000000006</v>
      </c>
      <c r="C9" s="9">
        <v>3.05</v>
      </c>
      <c r="D9" s="9" t="s">
        <v>10</v>
      </c>
      <c r="E9" s="9" t="s">
        <v>10</v>
      </c>
      <c r="F9" s="27">
        <v>69.95</v>
      </c>
      <c r="G9" s="30">
        <f t="shared" si="0"/>
        <v>256.017</v>
      </c>
      <c r="H9" s="1">
        <f t="shared" si="1"/>
        <v>69.95</v>
      </c>
      <c r="I9" s="17">
        <f t="shared" si="2"/>
        <v>0.88656527249683137</v>
      </c>
      <c r="J9" t="s">
        <v>17</v>
      </c>
    </row>
    <row r="10" spans="1:10" x14ac:dyDescent="0.3">
      <c r="A10" s="52" t="s">
        <v>13</v>
      </c>
    </row>
    <row r="11" spans="1:10" ht="28.8" x14ac:dyDescent="0.3">
      <c r="A11" s="23" t="s">
        <v>41</v>
      </c>
    </row>
    <row r="12" spans="1:10" x14ac:dyDescent="0.3">
      <c r="A12" s="19" t="s">
        <v>23</v>
      </c>
    </row>
    <row r="13" spans="1:10" x14ac:dyDescent="0.3">
      <c r="A13" t="s">
        <v>113</v>
      </c>
    </row>
    <row r="15" spans="1:10" ht="18.600000000000001" thickBot="1" x14ac:dyDescent="0.4">
      <c r="A15" s="65" t="s">
        <v>186</v>
      </c>
      <c r="B15" s="64"/>
      <c r="C15" s="64"/>
      <c r="D15" s="64"/>
      <c r="E15" s="64"/>
    </row>
    <row r="16" spans="1:10" ht="43.8" thickBot="1" x14ac:dyDescent="0.35">
      <c r="A16" s="66" t="s">
        <v>144</v>
      </c>
      <c r="B16" s="40" t="s">
        <v>85</v>
      </c>
      <c r="C16" s="41" t="s">
        <v>84</v>
      </c>
      <c r="D16" s="41" t="s">
        <v>86</v>
      </c>
      <c r="E16" s="41" t="s">
        <v>86</v>
      </c>
      <c r="G16" s="1267" t="s">
        <v>124</v>
      </c>
      <c r="H16" s="1186"/>
      <c r="I16" s="1186"/>
    </row>
    <row r="17" spans="1:10" ht="43.2" x14ac:dyDescent="0.3">
      <c r="A17" s="42"/>
      <c r="B17" s="43" t="s">
        <v>6</v>
      </c>
      <c r="C17" s="43" t="s">
        <v>110</v>
      </c>
      <c r="D17" s="43" t="s">
        <v>91</v>
      </c>
      <c r="E17" s="44" t="s">
        <v>90</v>
      </c>
      <c r="G17" s="21"/>
      <c r="H17" s="76" t="s">
        <v>120</v>
      </c>
      <c r="I17" s="76" t="s">
        <v>123</v>
      </c>
      <c r="J17" s="76" t="s">
        <v>123</v>
      </c>
    </row>
    <row r="18" spans="1:10" x14ac:dyDescent="0.3">
      <c r="A18" s="74" t="s">
        <v>5</v>
      </c>
      <c r="B18" s="46">
        <f>C4</f>
        <v>50.5</v>
      </c>
      <c r="C18" s="61">
        <v>50</v>
      </c>
      <c r="D18" s="47">
        <f t="shared" ref="D18:D24" si="3">B18/C18</f>
        <v>1.01</v>
      </c>
      <c r="E18" s="71">
        <f>3.66*D18</f>
        <v>3.6966000000000001</v>
      </c>
      <c r="G18" s="21"/>
      <c r="H18" s="6" t="s">
        <v>119</v>
      </c>
      <c r="I18" s="6" t="s">
        <v>119</v>
      </c>
      <c r="J18" s="6" t="s">
        <v>116</v>
      </c>
    </row>
    <row r="19" spans="1:10" x14ac:dyDescent="0.3">
      <c r="A19" s="45" t="s">
        <v>1</v>
      </c>
      <c r="B19" s="46">
        <f>C5</f>
        <v>5</v>
      </c>
      <c r="C19" s="61">
        <v>1</v>
      </c>
      <c r="D19" s="47">
        <f t="shared" si="3"/>
        <v>5</v>
      </c>
      <c r="E19" s="48">
        <f t="shared" ref="E19:E24" si="4">3.66*D19</f>
        <v>18.3</v>
      </c>
      <c r="G19" s="21" t="s">
        <v>118</v>
      </c>
      <c r="H19" s="21">
        <f>9.1-4.4</f>
        <v>4.6999999999999993</v>
      </c>
      <c r="I19" s="75">
        <f>H19/15</f>
        <v>0.3133333333333333</v>
      </c>
      <c r="J19" s="75">
        <f>I19*3.66</f>
        <v>1.1467999999999998</v>
      </c>
    </row>
    <row r="20" spans="1:10" x14ac:dyDescent="0.3">
      <c r="A20" s="74" t="s">
        <v>126</v>
      </c>
      <c r="B20" s="46">
        <f>C6</f>
        <v>10</v>
      </c>
      <c r="C20" s="61">
        <v>20</v>
      </c>
      <c r="D20" s="47">
        <f t="shared" si="3"/>
        <v>0.5</v>
      </c>
      <c r="E20" s="71">
        <f t="shared" si="4"/>
        <v>1.83</v>
      </c>
      <c r="G20" s="21" t="s">
        <v>121</v>
      </c>
      <c r="H20" s="21">
        <f>5.5-0.4</f>
        <v>5.0999999999999996</v>
      </c>
      <c r="I20" s="75">
        <f>H20/15</f>
        <v>0.33999999999999997</v>
      </c>
      <c r="J20" s="75">
        <f>I20*3.66</f>
        <v>1.2444</v>
      </c>
    </row>
    <row r="21" spans="1:10" x14ac:dyDescent="0.3">
      <c r="A21" s="74" t="s">
        <v>125</v>
      </c>
      <c r="B21" s="46">
        <f>H21</f>
        <v>4.0000000000000009</v>
      </c>
      <c r="C21" s="61">
        <v>15</v>
      </c>
      <c r="D21" s="73">
        <f t="shared" si="3"/>
        <v>0.26666666666666672</v>
      </c>
      <c r="E21" s="72">
        <f t="shared" si="4"/>
        <v>0.9760000000000002</v>
      </c>
      <c r="G21" s="21" t="s">
        <v>122</v>
      </c>
      <c r="H21" s="21">
        <f>8.3-4.3</f>
        <v>4.0000000000000009</v>
      </c>
      <c r="I21" s="75">
        <f>H21/15</f>
        <v>0.26666666666666672</v>
      </c>
      <c r="J21" s="75">
        <f>I21*3.66</f>
        <v>0.9760000000000002</v>
      </c>
    </row>
    <row r="22" spans="1:10" x14ac:dyDescent="0.3">
      <c r="A22" s="74" t="s">
        <v>2</v>
      </c>
      <c r="B22" s="46">
        <f>C7</f>
        <v>28.55</v>
      </c>
      <c r="C22" s="61">
        <v>20</v>
      </c>
      <c r="D22" s="47">
        <f t="shared" si="3"/>
        <v>1.4275</v>
      </c>
      <c r="E22" s="71">
        <f t="shared" si="4"/>
        <v>5.2246500000000005</v>
      </c>
    </row>
    <row r="23" spans="1:10" x14ac:dyDescent="0.3">
      <c r="A23" s="45" t="s">
        <v>3</v>
      </c>
      <c r="B23" s="46">
        <f>C8</f>
        <v>0</v>
      </c>
      <c r="C23" s="61">
        <v>20</v>
      </c>
      <c r="D23" s="47">
        <f t="shared" si="3"/>
        <v>0</v>
      </c>
      <c r="E23" s="48">
        <f t="shared" si="4"/>
        <v>0</v>
      </c>
    </row>
    <row r="24" spans="1:10" ht="15" thickBot="1" x14ac:dyDescent="0.35">
      <c r="A24" s="49" t="s">
        <v>4</v>
      </c>
      <c r="B24" s="46">
        <f>C9</f>
        <v>3.05</v>
      </c>
      <c r="C24" s="62">
        <v>20</v>
      </c>
      <c r="D24" s="47">
        <f t="shared" si="3"/>
        <v>0.1525</v>
      </c>
      <c r="E24" s="48">
        <f t="shared" si="4"/>
        <v>0.55815000000000003</v>
      </c>
    </row>
    <row r="26" spans="1:10" x14ac:dyDescent="0.3">
      <c r="A26" s="63" t="s">
        <v>111</v>
      </c>
    </row>
    <row r="27" spans="1:10" ht="65.25" customHeight="1" x14ac:dyDescent="0.3">
      <c r="A27" s="1218" t="s">
        <v>173</v>
      </c>
      <c r="B27" s="1218"/>
      <c r="C27" s="1218"/>
      <c r="D27" s="1218"/>
      <c r="E27" s="1218"/>
      <c r="F27" s="1218"/>
      <c r="G27" s="1218"/>
    </row>
    <row r="28" spans="1:10" ht="77.25" customHeight="1" x14ac:dyDescent="0.3">
      <c r="A28" s="1186" t="s">
        <v>145</v>
      </c>
      <c r="B28" s="1186"/>
      <c r="C28" s="1186"/>
      <c r="D28" s="1186"/>
      <c r="E28" s="1186"/>
    </row>
    <row r="29" spans="1:10" x14ac:dyDescent="0.3">
      <c r="A29" s="77" t="s">
        <v>128</v>
      </c>
      <c r="B29" s="59"/>
      <c r="C29" s="59"/>
      <c r="F29" s="67"/>
      <c r="G29" s="67"/>
      <c r="H29" s="68"/>
      <c r="I29" s="67"/>
    </row>
    <row r="30" spans="1:10" x14ac:dyDescent="0.3">
      <c r="A30" s="77" t="s">
        <v>115</v>
      </c>
      <c r="B30" s="77">
        <f>332.5/100</f>
        <v>3.3250000000000002</v>
      </c>
      <c r="C30" s="59" t="s">
        <v>117</v>
      </c>
      <c r="D30" s="84">
        <f>(1000*B30/3.66)/10000</f>
        <v>9.0846994535519129E-2</v>
      </c>
      <c r="E30" t="s">
        <v>146</v>
      </c>
      <c r="F30" s="87">
        <f>D30*3.66</f>
        <v>0.33250000000000002</v>
      </c>
      <c r="G30" s="59" t="s">
        <v>168</v>
      </c>
      <c r="H30" s="68"/>
      <c r="I30" s="67"/>
    </row>
    <row r="31" spans="1:10" x14ac:dyDescent="0.3">
      <c r="A31" s="69" t="s">
        <v>67</v>
      </c>
      <c r="B31" s="70">
        <f>320/100</f>
        <v>3.2</v>
      </c>
      <c r="C31" t="s">
        <v>117</v>
      </c>
      <c r="F31" s="67" t="s">
        <v>169</v>
      </c>
      <c r="G31" s="67"/>
      <c r="H31" s="68"/>
      <c r="I31" s="67"/>
    </row>
    <row r="32" spans="1:10" x14ac:dyDescent="0.3">
      <c r="A32" s="69" t="s">
        <v>46</v>
      </c>
      <c r="B32" s="69">
        <f>345/100</f>
        <v>3.45</v>
      </c>
      <c r="C32" t="s">
        <v>117</v>
      </c>
      <c r="D32" s="59" t="s">
        <v>171</v>
      </c>
      <c r="E32" s="59"/>
      <c r="F32" s="59"/>
      <c r="G32" s="59"/>
    </row>
    <row r="33" spans="1:6" x14ac:dyDescent="0.3">
      <c r="A33" s="69"/>
      <c r="B33" s="69"/>
      <c r="D33" s="88">
        <f>-28.659*1000000000/(9142*1000*10000)</f>
        <v>-0.31348720192518048</v>
      </c>
      <c r="E33" s="59" t="s">
        <v>168</v>
      </c>
      <c r="F33" t="s">
        <v>172</v>
      </c>
    </row>
  </sheetData>
  <mergeCells count="3">
    <mergeCell ref="A27:G27"/>
    <mergeCell ref="A28:E28"/>
    <mergeCell ref="G16:I16"/>
  </mergeCells>
  <phoneticPr fontId="1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EECE6-6400-45D5-8348-FFE748F956BA}">
  <sheetPr>
    <tabColor rgb="FF00B050"/>
  </sheetPr>
  <dimension ref="A1:H446"/>
  <sheetViews>
    <sheetView topLeftCell="B1" workbookViewId="0">
      <selection activeCell="G1" sqref="G1"/>
    </sheetView>
  </sheetViews>
  <sheetFormatPr defaultRowHeight="14.4" x14ac:dyDescent="0.3"/>
  <cols>
    <col min="1" max="1" width="9.88671875" customWidth="1"/>
    <col min="2" max="2" width="29.109375" customWidth="1"/>
    <col min="3" max="3" width="27.109375" customWidth="1"/>
    <col min="5" max="5" width="16.33203125" customWidth="1"/>
    <col min="7" max="7" width="47.88671875" customWidth="1"/>
    <col min="8" max="8" width="23.109375" customWidth="1"/>
  </cols>
  <sheetData>
    <row r="1" spans="1:8" s="19" customFormat="1" x14ac:dyDescent="0.3">
      <c r="A1" s="19" t="s">
        <v>487</v>
      </c>
      <c r="B1" s="19" t="s">
        <v>488</v>
      </c>
      <c r="C1" s="19" t="s">
        <v>489</v>
      </c>
      <c r="D1" s="19" t="s">
        <v>490</v>
      </c>
      <c r="E1" s="19" t="s">
        <v>491</v>
      </c>
      <c r="F1" s="19" t="s">
        <v>492</v>
      </c>
      <c r="G1" s="19" t="s">
        <v>493</v>
      </c>
      <c r="H1" s="19" t="s">
        <v>494</v>
      </c>
    </row>
    <row r="2" spans="1:8" x14ac:dyDescent="0.3">
      <c r="A2">
        <v>737</v>
      </c>
      <c r="B2" t="s">
        <v>495</v>
      </c>
      <c r="C2" t="s">
        <v>496</v>
      </c>
      <c r="D2" t="s">
        <v>497</v>
      </c>
      <c r="E2" t="s">
        <v>498</v>
      </c>
      <c r="F2" t="s">
        <v>499</v>
      </c>
      <c r="G2" t="s">
        <v>500</v>
      </c>
      <c r="H2" t="str">
        <f>+VLOOKUP(G2,'PITESAI corrisp Corine3 - Maes'!$A$2:$B$26,2,FALSE)</f>
        <v>Woodland and forest</v>
      </c>
    </row>
    <row r="3" spans="1:8" x14ac:dyDescent="0.3">
      <c r="A3">
        <v>761</v>
      </c>
      <c r="B3" t="s">
        <v>501</v>
      </c>
      <c r="C3" t="s">
        <v>502</v>
      </c>
      <c r="D3" t="s">
        <v>503</v>
      </c>
      <c r="E3" t="s">
        <v>504</v>
      </c>
      <c r="F3" t="s">
        <v>505</v>
      </c>
      <c r="G3" t="s">
        <v>506</v>
      </c>
      <c r="H3" t="str">
        <f>+VLOOKUP(G3,'PITESAI corrisp Corine3 - Maes'!$A$2:$B$26,2,FALSE)</f>
        <v>Woodland and forest</v>
      </c>
    </row>
    <row r="4" spans="1:8" x14ac:dyDescent="0.3">
      <c r="A4">
        <v>734</v>
      </c>
      <c r="B4" t="s">
        <v>507</v>
      </c>
      <c r="C4" t="s">
        <v>508</v>
      </c>
      <c r="D4" t="s">
        <v>509</v>
      </c>
      <c r="E4" t="s">
        <v>498</v>
      </c>
      <c r="F4" t="s">
        <v>510</v>
      </c>
      <c r="G4" t="s">
        <v>511</v>
      </c>
      <c r="H4" t="str">
        <f>+VLOOKUP(G4,'PITESAI corrisp Corine3 - Maes'!$A$2:$B$26,2,FALSE)</f>
        <v>Cropland</v>
      </c>
    </row>
    <row r="5" spans="1:8" x14ac:dyDescent="0.3">
      <c r="A5">
        <v>744</v>
      </c>
      <c r="B5" t="s">
        <v>512</v>
      </c>
      <c r="C5" t="s">
        <v>513</v>
      </c>
      <c r="D5" t="s">
        <v>514</v>
      </c>
      <c r="E5" t="s">
        <v>498</v>
      </c>
      <c r="F5" t="s">
        <v>515</v>
      </c>
      <c r="G5" t="s">
        <v>506</v>
      </c>
      <c r="H5" t="str">
        <f>+VLOOKUP(G5,'PITESAI corrisp Corine3 - Maes'!$A$2:$B$26,2,FALSE)</f>
        <v>Woodland and forest</v>
      </c>
    </row>
    <row r="6" spans="1:8" x14ac:dyDescent="0.3">
      <c r="A6">
        <v>750</v>
      </c>
      <c r="B6" t="s">
        <v>516</v>
      </c>
      <c r="C6" t="s">
        <v>513</v>
      </c>
      <c r="D6" t="s">
        <v>514</v>
      </c>
      <c r="E6" t="s">
        <v>498</v>
      </c>
      <c r="F6" t="s">
        <v>510</v>
      </c>
      <c r="G6" t="s">
        <v>511</v>
      </c>
      <c r="H6" t="str">
        <f>+VLOOKUP(G6,'PITESAI corrisp Corine3 - Maes'!$A$2:$B$26,2,FALSE)</f>
        <v>Cropland</v>
      </c>
    </row>
    <row r="7" spans="1:8" x14ac:dyDescent="0.3">
      <c r="A7">
        <v>759</v>
      </c>
      <c r="B7" t="s">
        <v>517</v>
      </c>
      <c r="C7" t="s">
        <v>502</v>
      </c>
      <c r="D7" t="s">
        <v>503</v>
      </c>
      <c r="E7" t="s">
        <v>504</v>
      </c>
      <c r="F7" t="s">
        <v>505</v>
      </c>
      <c r="G7" t="s">
        <v>506</v>
      </c>
      <c r="H7" t="str">
        <f>+VLOOKUP(G7,'PITESAI corrisp Corine3 - Maes'!$A$2:$B$26,2,FALSE)</f>
        <v>Woodland and forest</v>
      </c>
    </row>
    <row r="8" spans="1:8" x14ac:dyDescent="0.3">
      <c r="A8">
        <v>753</v>
      </c>
      <c r="B8" t="s">
        <v>518</v>
      </c>
      <c r="C8" t="s">
        <v>513</v>
      </c>
      <c r="D8" t="s">
        <v>514</v>
      </c>
      <c r="E8" t="s">
        <v>498</v>
      </c>
      <c r="F8" t="s">
        <v>510</v>
      </c>
      <c r="G8" t="s">
        <v>511</v>
      </c>
      <c r="H8" t="str">
        <f>+VLOOKUP(G8,'PITESAI corrisp Corine3 - Maes'!$A$2:$B$26,2,FALSE)</f>
        <v>Cropland</v>
      </c>
    </row>
    <row r="9" spans="1:8" x14ac:dyDescent="0.3">
      <c r="A9">
        <v>751</v>
      </c>
      <c r="B9" t="s">
        <v>519</v>
      </c>
      <c r="C9" t="s">
        <v>513</v>
      </c>
      <c r="D9" t="s">
        <v>514</v>
      </c>
      <c r="E9" t="s">
        <v>498</v>
      </c>
      <c r="F9" t="s">
        <v>510</v>
      </c>
      <c r="G9" t="s">
        <v>511</v>
      </c>
      <c r="H9" t="str">
        <f>+VLOOKUP(G9,'PITESAI corrisp Corine3 - Maes'!$A$2:$B$26,2,FALSE)</f>
        <v>Cropland</v>
      </c>
    </row>
    <row r="10" spans="1:8" x14ac:dyDescent="0.3">
      <c r="A10">
        <v>742</v>
      </c>
      <c r="B10" t="s">
        <v>520</v>
      </c>
      <c r="C10" t="s">
        <v>521</v>
      </c>
      <c r="D10" t="s">
        <v>522</v>
      </c>
      <c r="E10" t="s">
        <v>498</v>
      </c>
      <c r="F10" t="s">
        <v>523</v>
      </c>
      <c r="G10" t="s">
        <v>524</v>
      </c>
      <c r="H10" t="str">
        <f>+VLOOKUP(G10,'PITESAI corrisp Corine3 - Maes'!$A$2:$B$26,2,FALSE)</f>
        <v>Cropland</v>
      </c>
    </row>
    <row r="11" spans="1:8" x14ac:dyDescent="0.3">
      <c r="A11">
        <v>749</v>
      </c>
      <c r="B11" t="s">
        <v>525</v>
      </c>
      <c r="C11" t="s">
        <v>513</v>
      </c>
      <c r="D11" t="s">
        <v>514</v>
      </c>
      <c r="E11" t="s">
        <v>498</v>
      </c>
      <c r="F11" t="s">
        <v>510</v>
      </c>
      <c r="G11" t="s">
        <v>511</v>
      </c>
      <c r="H11" t="str">
        <f>+VLOOKUP(G11,'PITESAI corrisp Corine3 - Maes'!$A$2:$B$26,2,FALSE)</f>
        <v>Cropland</v>
      </c>
    </row>
    <row r="12" spans="1:8" x14ac:dyDescent="0.3">
      <c r="A12">
        <v>748</v>
      </c>
      <c r="B12" t="s">
        <v>526</v>
      </c>
      <c r="C12" t="s">
        <v>513</v>
      </c>
      <c r="D12" t="s">
        <v>514</v>
      </c>
      <c r="E12" t="s">
        <v>498</v>
      </c>
      <c r="F12" t="s">
        <v>527</v>
      </c>
      <c r="G12" t="s">
        <v>528</v>
      </c>
      <c r="H12" t="str">
        <f>+VLOOKUP(G12,'PITESAI corrisp Corine3 - Maes'!$A$2:$B$26,2,FALSE)</f>
        <v>Cropland</v>
      </c>
    </row>
    <row r="13" spans="1:8" x14ac:dyDescent="0.3">
      <c r="A13">
        <v>747</v>
      </c>
      <c r="B13" t="s">
        <v>529</v>
      </c>
      <c r="C13" t="s">
        <v>513</v>
      </c>
      <c r="D13" t="s">
        <v>514</v>
      </c>
      <c r="E13" t="s">
        <v>498</v>
      </c>
      <c r="F13" t="s">
        <v>510</v>
      </c>
      <c r="G13" t="s">
        <v>511</v>
      </c>
      <c r="H13" t="str">
        <f>+VLOOKUP(G13,'PITESAI corrisp Corine3 - Maes'!$A$2:$B$26,2,FALSE)</f>
        <v>Cropland</v>
      </c>
    </row>
    <row r="14" spans="1:8" x14ac:dyDescent="0.3">
      <c r="A14">
        <v>746</v>
      </c>
      <c r="B14" t="s">
        <v>530</v>
      </c>
      <c r="C14" t="s">
        <v>513</v>
      </c>
      <c r="D14" t="s">
        <v>514</v>
      </c>
      <c r="E14" t="s">
        <v>498</v>
      </c>
      <c r="F14" t="s">
        <v>510</v>
      </c>
      <c r="G14" t="s">
        <v>511</v>
      </c>
      <c r="H14" t="str">
        <f>+VLOOKUP(G14,'PITESAI corrisp Corine3 - Maes'!$A$2:$B$26,2,FALSE)</f>
        <v>Cropland</v>
      </c>
    </row>
    <row r="15" spans="1:8" x14ac:dyDescent="0.3">
      <c r="A15">
        <v>745</v>
      </c>
      <c r="B15" t="s">
        <v>531</v>
      </c>
      <c r="C15" t="s">
        <v>513</v>
      </c>
      <c r="D15" t="s">
        <v>514</v>
      </c>
      <c r="E15" t="s">
        <v>498</v>
      </c>
      <c r="F15" t="s">
        <v>515</v>
      </c>
      <c r="G15" t="s">
        <v>506</v>
      </c>
      <c r="H15" t="str">
        <f>+VLOOKUP(G15,'PITESAI corrisp Corine3 - Maes'!$A$2:$B$26,2,FALSE)</f>
        <v>Woodland and forest</v>
      </c>
    </row>
    <row r="16" spans="1:8" x14ac:dyDescent="0.3">
      <c r="A16">
        <v>752</v>
      </c>
      <c r="B16" t="s">
        <v>532</v>
      </c>
      <c r="C16" t="s">
        <v>513</v>
      </c>
      <c r="D16" t="s">
        <v>514</v>
      </c>
      <c r="E16" t="s">
        <v>498</v>
      </c>
      <c r="F16" t="s">
        <v>515</v>
      </c>
      <c r="G16" t="s">
        <v>506</v>
      </c>
      <c r="H16" t="str">
        <f>+VLOOKUP(G16,'PITESAI corrisp Corine3 - Maes'!$A$2:$B$26,2,FALSE)</f>
        <v>Woodland and forest</v>
      </c>
    </row>
    <row r="17" spans="1:8" x14ac:dyDescent="0.3">
      <c r="A17">
        <v>701</v>
      </c>
      <c r="B17" t="s">
        <v>533</v>
      </c>
      <c r="C17" t="s">
        <v>508</v>
      </c>
      <c r="D17" t="s">
        <v>534</v>
      </c>
      <c r="E17" t="s">
        <v>498</v>
      </c>
      <c r="F17" t="s">
        <v>499</v>
      </c>
      <c r="G17" t="s">
        <v>500</v>
      </c>
      <c r="H17" t="str">
        <f>+VLOOKUP(G17,'PITESAI corrisp Corine3 - Maes'!$A$2:$B$26,2,FALSE)</f>
        <v>Woodland and forest</v>
      </c>
    </row>
    <row r="18" spans="1:8" x14ac:dyDescent="0.3">
      <c r="A18">
        <v>803</v>
      </c>
      <c r="B18" t="s">
        <v>535</v>
      </c>
      <c r="C18" t="s">
        <v>536</v>
      </c>
      <c r="D18" t="s">
        <v>537</v>
      </c>
      <c r="E18" t="s">
        <v>504</v>
      </c>
      <c r="F18" t="s">
        <v>510</v>
      </c>
      <c r="G18" t="s">
        <v>511</v>
      </c>
      <c r="H18" t="str">
        <f>+VLOOKUP(G18,'PITESAI corrisp Corine3 - Maes'!$A$2:$B$26,2,FALSE)</f>
        <v>Cropland</v>
      </c>
    </row>
    <row r="19" spans="1:8" x14ac:dyDescent="0.3">
      <c r="A19">
        <v>760</v>
      </c>
      <c r="B19" t="s">
        <v>538</v>
      </c>
      <c r="C19" t="s">
        <v>502</v>
      </c>
      <c r="D19" t="s">
        <v>503</v>
      </c>
      <c r="E19" t="s">
        <v>504</v>
      </c>
      <c r="F19" t="s">
        <v>505</v>
      </c>
      <c r="G19" t="s">
        <v>506</v>
      </c>
      <c r="H19" t="str">
        <f>+VLOOKUP(G19,'PITESAI corrisp Corine3 - Maes'!$A$2:$B$26,2,FALSE)</f>
        <v>Woodland and forest</v>
      </c>
    </row>
    <row r="20" spans="1:8" x14ac:dyDescent="0.3">
      <c r="A20">
        <v>802</v>
      </c>
      <c r="B20" t="s">
        <v>539</v>
      </c>
      <c r="C20" t="s">
        <v>536</v>
      </c>
      <c r="D20" t="s">
        <v>537</v>
      </c>
      <c r="E20" t="s">
        <v>504</v>
      </c>
      <c r="F20" t="s">
        <v>510</v>
      </c>
      <c r="G20" t="s">
        <v>511</v>
      </c>
      <c r="H20" t="str">
        <f>+VLOOKUP(G20,'PITESAI corrisp Corine3 - Maes'!$A$2:$B$26,2,FALSE)</f>
        <v>Cropland</v>
      </c>
    </row>
    <row r="21" spans="1:8" x14ac:dyDescent="0.3">
      <c r="A21">
        <v>801</v>
      </c>
      <c r="B21" t="s">
        <v>540</v>
      </c>
      <c r="C21" t="s">
        <v>536</v>
      </c>
      <c r="D21" t="s">
        <v>537</v>
      </c>
      <c r="E21" t="s">
        <v>504</v>
      </c>
      <c r="F21" t="s">
        <v>510</v>
      </c>
      <c r="G21" t="s">
        <v>511</v>
      </c>
      <c r="H21" t="str">
        <f>+VLOOKUP(G21,'PITESAI corrisp Corine3 - Maes'!$A$2:$B$26,2,FALSE)</f>
        <v>Cropland</v>
      </c>
    </row>
    <row r="22" spans="1:8" x14ac:dyDescent="0.3">
      <c r="A22">
        <v>828</v>
      </c>
      <c r="B22" t="s">
        <v>541</v>
      </c>
      <c r="C22" t="s">
        <v>542</v>
      </c>
      <c r="D22" t="s">
        <v>542</v>
      </c>
      <c r="E22" t="s">
        <v>498</v>
      </c>
      <c r="F22" t="s">
        <v>510</v>
      </c>
      <c r="G22" t="s">
        <v>511</v>
      </c>
      <c r="H22" t="str">
        <f>+VLOOKUP(G22,'PITESAI corrisp Corine3 - Maes'!$A$2:$B$26,2,FALSE)</f>
        <v>Cropland</v>
      </c>
    </row>
    <row r="23" spans="1:8" x14ac:dyDescent="0.3">
      <c r="A23">
        <v>827</v>
      </c>
      <c r="B23" t="s">
        <v>543</v>
      </c>
      <c r="C23" t="s">
        <v>542</v>
      </c>
      <c r="D23" t="s">
        <v>542</v>
      </c>
      <c r="E23" t="s">
        <v>498</v>
      </c>
      <c r="F23" t="s">
        <v>510</v>
      </c>
      <c r="G23" t="s">
        <v>511</v>
      </c>
      <c r="H23" t="str">
        <f>+VLOOKUP(G23,'PITESAI corrisp Corine3 - Maes'!$A$2:$B$26,2,FALSE)</f>
        <v>Cropland</v>
      </c>
    </row>
    <row r="24" spans="1:8" x14ac:dyDescent="0.3">
      <c r="A24">
        <v>825</v>
      </c>
      <c r="B24" t="s">
        <v>544</v>
      </c>
      <c r="C24" t="s">
        <v>542</v>
      </c>
      <c r="D24" t="s">
        <v>542</v>
      </c>
      <c r="E24" t="s">
        <v>498</v>
      </c>
      <c r="F24" t="s">
        <v>510</v>
      </c>
      <c r="G24" t="s">
        <v>511</v>
      </c>
      <c r="H24" t="str">
        <f>+VLOOKUP(G24,'PITESAI corrisp Corine3 - Maes'!$A$2:$B$26,2,FALSE)</f>
        <v>Cropland</v>
      </c>
    </row>
    <row r="25" spans="1:8" x14ac:dyDescent="0.3">
      <c r="A25">
        <v>823</v>
      </c>
      <c r="B25" t="s">
        <v>545</v>
      </c>
      <c r="C25" t="s">
        <v>542</v>
      </c>
      <c r="D25" t="s">
        <v>542</v>
      </c>
      <c r="E25" t="s">
        <v>498</v>
      </c>
      <c r="F25" t="s">
        <v>510</v>
      </c>
      <c r="G25" t="s">
        <v>511</v>
      </c>
      <c r="H25" t="str">
        <f>+VLOOKUP(G25,'PITESAI corrisp Corine3 - Maes'!$A$2:$B$26,2,FALSE)</f>
        <v>Cropland</v>
      </c>
    </row>
    <row r="26" spans="1:8" x14ac:dyDescent="0.3">
      <c r="A26">
        <v>821</v>
      </c>
      <c r="B26" t="s">
        <v>546</v>
      </c>
      <c r="C26" t="s">
        <v>542</v>
      </c>
      <c r="D26" t="s">
        <v>542</v>
      </c>
      <c r="E26" t="s">
        <v>498</v>
      </c>
      <c r="F26" t="s">
        <v>510</v>
      </c>
      <c r="G26" t="s">
        <v>511</v>
      </c>
      <c r="H26" t="str">
        <f>+VLOOKUP(G26,'PITESAI corrisp Corine3 - Maes'!$A$2:$B$26,2,FALSE)</f>
        <v>Cropland</v>
      </c>
    </row>
    <row r="27" spans="1:8" x14ac:dyDescent="0.3">
      <c r="A27">
        <v>819</v>
      </c>
      <c r="B27" t="s">
        <v>547</v>
      </c>
      <c r="C27" t="s">
        <v>542</v>
      </c>
      <c r="D27" t="s">
        <v>542</v>
      </c>
      <c r="E27" t="s">
        <v>498</v>
      </c>
      <c r="F27" t="s">
        <v>510</v>
      </c>
      <c r="G27" t="s">
        <v>511</v>
      </c>
      <c r="H27" t="str">
        <f>+VLOOKUP(G27,'PITESAI corrisp Corine3 - Maes'!$A$2:$B$26,2,FALSE)</f>
        <v>Cropland</v>
      </c>
    </row>
    <row r="28" spans="1:8" x14ac:dyDescent="0.3">
      <c r="A28">
        <v>816</v>
      </c>
      <c r="B28" t="s">
        <v>548</v>
      </c>
      <c r="C28" t="s">
        <v>542</v>
      </c>
      <c r="D28" t="s">
        <v>542</v>
      </c>
      <c r="E28" t="s">
        <v>498</v>
      </c>
      <c r="F28" t="s">
        <v>510</v>
      </c>
      <c r="G28" t="s">
        <v>511</v>
      </c>
      <c r="H28" t="str">
        <f>+VLOOKUP(G28,'PITESAI corrisp Corine3 - Maes'!$A$2:$B$26,2,FALSE)</f>
        <v>Cropland</v>
      </c>
    </row>
    <row r="29" spans="1:8" x14ac:dyDescent="0.3">
      <c r="A29">
        <v>815</v>
      </c>
      <c r="B29" t="s">
        <v>549</v>
      </c>
      <c r="C29" t="s">
        <v>542</v>
      </c>
      <c r="D29" t="s">
        <v>542</v>
      </c>
      <c r="E29" t="s">
        <v>498</v>
      </c>
      <c r="F29" t="s">
        <v>510</v>
      </c>
      <c r="G29" t="s">
        <v>511</v>
      </c>
      <c r="H29" t="str">
        <f>+VLOOKUP(G29,'PITESAI corrisp Corine3 - Maes'!$A$2:$B$26,2,FALSE)</f>
        <v>Cropland</v>
      </c>
    </row>
    <row r="30" spans="1:8" x14ac:dyDescent="0.3">
      <c r="A30">
        <v>814</v>
      </c>
      <c r="B30" t="s">
        <v>550</v>
      </c>
      <c r="C30" t="s">
        <v>542</v>
      </c>
      <c r="D30" t="s">
        <v>542</v>
      </c>
      <c r="E30" t="s">
        <v>498</v>
      </c>
      <c r="F30" t="s">
        <v>510</v>
      </c>
      <c r="G30" t="s">
        <v>511</v>
      </c>
      <c r="H30" t="str">
        <f>+VLOOKUP(G30,'PITESAI corrisp Corine3 - Maes'!$A$2:$B$26,2,FALSE)</f>
        <v>Cropland</v>
      </c>
    </row>
    <row r="31" spans="1:8" x14ac:dyDescent="0.3">
      <c r="A31">
        <v>820</v>
      </c>
      <c r="B31" t="s">
        <v>551</v>
      </c>
      <c r="C31" t="s">
        <v>542</v>
      </c>
      <c r="D31" t="s">
        <v>542</v>
      </c>
      <c r="E31" t="s">
        <v>498</v>
      </c>
      <c r="F31" t="s">
        <v>510</v>
      </c>
      <c r="G31" t="s">
        <v>511</v>
      </c>
      <c r="H31" t="str">
        <f>+VLOOKUP(G31,'PITESAI corrisp Corine3 - Maes'!$A$2:$B$26,2,FALSE)</f>
        <v>Cropland</v>
      </c>
    </row>
    <row r="32" spans="1:8" x14ac:dyDescent="0.3">
      <c r="A32">
        <v>769</v>
      </c>
      <c r="B32" t="s">
        <v>552</v>
      </c>
      <c r="C32" t="s">
        <v>513</v>
      </c>
      <c r="D32" t="s">
        <v>514</v>
      </c>
      <c r="E32" t="s">
        <v>498</v>
      </c>
      <c r="F32" t="s">
        <v>553</v>
      </c>
      <c r="G32" t="s">
        <v>511</v>
      </c>
      <c r="H32" t="str">
        <f>+VLOOKUP(G32,'PITESAI corrisp Corine3 - Maes'!$A$2:$B$26,2,FALSE)</f>
        <v>Cropland</v>
      </c>
    </row>
    <row r="33" spans="1:8" x14ac:dyDescent="0.3">
      <c r="A33">
        <v>774</v>
      </c>
      <c r="B33" t="s">
        <v>554</v>
      </c>
      <c r="C33" t="s">
        <v>513</v>
      </c>
      <c r="D33" t="s">
        <v>514</v>
      </c>
      <c r="E33" t="s">
        <v>498</v>
      </c>
      <c r="F33" t="s">
        <v>505</v>
      </c>
      <c r="G33" t="s">
        <v>506</v>
      </c>
      <c r="H33" t="str">
        <f>+VLOOKUP(G33,'PITESAI corrisp Corine3 - Maes'!$A$2:$B$26,2,FALSE)</f>
        <v>Woodland and forest</v>
      </c>
    </row>
    <row r="34" spans="1:8" x14ac:dyDescent="0.3">
      <c r="A34">
        <v>773</v>
      </c>
      <c r="B34" t="s">
        <v>555</v>
      </c>
      <c r="C34" t="s">
        <v>513</v>
      </c>
      <c r="D34" t="s">
        <v>514</v>
      </c>
      <c r="E34" t="s">
        <v>498</v>
      </c>
      <c r="F34" t="s">
        <v>556</v>
      </c>
      <c r="G34" t="s">
        <v>557</v>
      </c>
      <c r="H34" t="str">
        <f>+VLOOKUP(G34,'PITESAI corrisp Corine3 - Maes'!$A$2:$B$26,2,FALSE)</f>
        <v>Grassland</v>
      </c>
    </row>
    <row r="35" spans="1:8" x14ac:dyDescent="0.3">
      <c r="A35">
        <v>772</v>
      </c>
      <c r="B35" t="s">
        <v>558</v>
      </c>
      <c r="C35" t="s">
        <v>513</v>
      </c>
      <c r="D35" t="s">
        <v>514</v>
      </c>
      <c r="E35" t="s">
        <v>498</v>
      </c>
      <c r="F35" t="s">
        <v>556</v>
      </c>
      <c r="G35" t="s">
        <v>557</v>
      </c>
      <c r="H35" t="str">
        <f>+VLOOKUP(G35,'PITESAI corrisp Corine3 - Maes'!$A$2:$B$26,2,FALSE)</f>
        <v>Grassland</v>
      </c>
    </row>
    <row r="36" spans="1:8" x14ac:dyDescent="0.3">
      <c r="A36">
        <v>770</v>
      </c>
      <c r="B36" t="s">
        <v>559</v>
      </c>
      <c r="C36" t="s">
        <v>513</v>
      </c>
      <c r="D36" t="s">
        <v>514</v>
      </c>
      <c r="E36" t="s">
        <v>498</v>
      </c>
      <c r="F36" t="s">
        <v>527</v>
      </c>
      <c r="G36" t="s">
        <v>528</v>
      </c>
      <c r="H36" t="str">
        <f>+VLOOKUP(G36,'PITESAI corrisp Corine3 - Maes'!$A$2:$B$26,2,FALSE)</f>
        <v>Cropland</v>
      </c>
    </row>
    <row r="37" spans="1:8" x14ac:dyDescent="0.3">
      <c r="A37">
        <v>768</v>
      </c>
      <c r="B37" t="s">
        <v>560</v>
      </c>
      <c r="C37" t="s">
        <v>513</v>
      </c>
      <c r="D37" t="s">
        <v>514</v>
      </c>
      <c r="E37" t="s">
        <v>498</v>
      </c>
      <c r="F37" t="s">
        <v>556</v>
      </c>
      <c r="G37" t="s">
        <v>557</v>
      </c>
      <c r="H37" t="str">
        <f>+VLOOKUP(G37,'PITESAI corrisp Corine3 - Maes'!$A$2:$B$26,2,FALSE)</f>
        <v>Grassland</v>
      </c>
    </row>
    <row r="38" spans="1:8" x14ac:dyDescent="0.3">
      <c r="A38">
        <v>767</v>
      </c>
      <c r="B38" t="s">
        <v>561</v>
      </c>
      <c r="C38" t="s">
        <v>513</v>
      </c>
      <c r="D38" t="s">
        <v>514</v>
      </c>
      <c r="E38" t="s">
        <v>498</v>
      </c>
      <c r="F38" t="s">
        <v>562</v>
      </c>
      <c r="G38" t="s">
        <v>563</v>
      </c>
      <c r="H38" t="str">
        <f>+VLOOKUP(G38,'PITESAI corrisp Corine3 - Maes'!$A$2:$B$26,2,FALSE)</f>
        <v>Woodland and forest</v>
      </c>
    </row>
    <row r="39" spans="1:8" x14ac:dyDescent="0.3">
      <c r="A39">
        <v>766</v>
      </c>
      <c r="B39" t="s">
        <v>564</v>
      </c>
      <c r="C39" t="s">
        <v>565</v>
      </c>
      <c r="D39" t="s">
        <v>566</v>
      </c>
      <c r="E39" t="s">
        <v>504</v>
      </c>
      <c r="F39" t="s">
        <v>567</v>
      </c>
      <c r="G39" t="s">
        <v>568</v>
      </c>
      <c r="H39" t="str">
        <f>+VLOOKUP(G39,'PITESAI corrisp Corine3 - Maes'!$A$2:$B$26,2,FALSE)</f>
        <v>Cropland</v>
      </c>
    </row>
    <row r="40" spans="1:8" x14ac:dyDescent="0.3">
      <c r="A40">
        <v>765</v>
      </c>
      <c r="B40" t="s">
        <v>569</v>
      </c>
      <c r="C40" t="s">
        <v>565</v>
      </c>
      <c r="D40" t="s">
        <v>566</v>
      </c>
      <c r="E40" t="s">
        <v>504</v>
      </c>
      <c r="F40" t="s">
        <v>567</v>
      </c>
      <c r="G40" t="s">
        <v>568</v>
      </c>
      <c r="H40" t="str">
        <f>+VLOOKUP(G40,'PITESAI corrisp Corine3 - Maes'!$A$2:$B$26,2,FALSE)</f>
        <v>Cropland</v>
      </c>
    </row>
    <row r="41" spans="1:8" x14ac:dyDescent="0.3">
      <c r="A41">
        <v>771</v>
      </c>
      <c r="B41" t="s">
        <v>570</v>
      </c>
      <c r="C41" t="s">
        <v>513</v>
      </c>
      <c r="D41" t="s">
        <v>514</v>
      </c>
      <c r="E41" t="s">
        <v>498</v>
      </c>
      <c r="F41" t="s">
        <v>515</v>
      </c>
      <c r="G41" t="s">
        <v>506</v>
      </c>
      <c r="H41" t="str">
        <f>+VLOOKUP(G41,'PITESAI corrisp Corine3 - Maes'!$A$2:$B$26,2,FALSE)</f>
        <v>Woodland and forest</v>
      </c>
    </row>
    <row r="42" spans="1:8" x14ac:dyDescent="0.3">
      <c r="A42">
        <v>659</v>
      </c>
      <c r="B42" t="s">
        <v>571</v>
      </c>
      <c r="C42" t="s">
        <v>572</v>
      </c>
      <c r="D42" t="s">
        <v>573</v>
      </c>
      <c r="E42" t="s">
        <v>498</v>
      </c>
      <c r="F42" t="s">
        <v>574</v>
      </c>
      <c r="G42" t="s">
        <v>575</v>
      </c>
      <c r="H42" t="str">
        <f>+VLOOKUP(G42,'PITESAI corrisp Corine3 - Maes'!$A$2:$B$26,2,FALSE)</f>
        <v>Cropland</v>
      </c>
    </row>
    <row r="43" spans="1:8" x14ac:dyDescent="0.3">
      <c r="A43">
        <v>658</v>
      </c>
      <c r="B43" t="s">
        <v>576</v>
      </c>
      <c r="C43" t="s">
        <v>572</v>
      </c>
      <c r="D43" t="s">
        <v>577</v>
      </c>
      <c r="E43" t="s">
        <v>498</v>
      </c>
      <c r="F43" t="s">
        <v>574</v>
      </c>
      <c r="G43" t="s">
        <v>575</v>
      </c>
      <c r="H43" t="str">
        <f>+VLOOKUP(G43,'PITESAI corrisp Corine3 - Maes'!$A$2:$B$26,2,FALSE)</f>
        <v>Cropland</v>
      </c>
    </row>
    <row r="44" spans="1:8" x14ac:dyDescent="0.3">
      <c r="A44">
        <v>831</v>
      </c>
      <c r="B44" t="s">
        <v>578</v>
      </c>
      <c r="C44" t="s">
        <v>542</v>
      </c>
      <c r="D44" t="s">
        <v>542</v>
      </c>
      <c r="E44" t="s">
        <v>498</v>
      </c>
      <c r="F44" t="s">
        <v>510</v>
      </c>
      <c r="G44" t="s">
        <v>511</v>
      </c>
      <c r="H44" t="str">
        <f>+VLOOKUP(G44,'PITESAI corrisp Corine3 - Maes'!$A$2:$B$26,2,FALSE)</f>
        <v>Cropland</v>
      </c>
    </row>
    <row r="45" spans="1:8" x14ac:dyDescent="0.3">
      <c r="A45">
        <v>829</v>
      </c>
      <c r="B45" t="s">
        <v>579</v>
      </c>
      <c r="C45" t="s">
        <v>542</v>
      </c>
      <c r="D45" t="s">
        <v>542</v>
      </c>
      <c r="E45" t="s">
        <v>498</v>
      </c>
      <c r="F45" t="s">
        <v>510</v>
      </c>
      <c r="G45" t="s">
        <v>511</v>
      </c>
      <c r="H45" t="str">
        <f>+VLOOKUP(G45,'PITESAI corrisp Corine3 - Maes'!$A$2:$B$26,2,FALSE)</f>
        <v>Cropland</v>
      </c>
    </row>
    <row r="46" spans="1:8" x14ac:dyDescent="0.3">
      <c r="A46">
        <v>1</v>
      </c>
      <c r="B46" t="s">
        <v>580</v>
      </c>
      <c r="C46" t="s">
        <v>581</v>
      </c>
      <c r="D46" t="s">
        <v>581</v>
      </c>
      <c r="E46" t="s">
        <v>498</v>
      </c>
      <c r="F46" t="s">
        <v>523</v>
      </c>
      <c r="G46" t="s">
        <v>524</v>
      </c>
      <c r="H46" t="str">
        <f>+VLOOKUP(G46,'PITESAI corrisp Corine3 - Maes'!$A$2:$B$26,2,FALSE)</f>
        <v>Cropland</v>
      </c>
    </row>
    <row r="47" spans="1:8" x14ac:dyDescent="0.3">
      <c r="A47">
        <v>1034</v>
      </c>
      <c r="B47" t="s">
        <v>582</v>
      </c>
      <c r="C47" t="s">
        <v>583</v>
      </c>
      <c r="D47" t="s">
        <v>583</v>
      </c>
      <c r="E47" t="s">
        <v>504</v>
      </c>
      <c r="F47" t="s">
        <v>510</v>
      </c>
      <c r="G47" t="s">
        <v>511</v>
      </c>
      <c r="H47" t="str">
        <f>+VLOOKUP(G47,'PITESAI corrisp Corine3 - Maes'!$A$2:$B$26,2,FALSE)</f>
        <v>Cropland</v>
      </c>
    </row>
    <row r="48" spans="1:8" x14ac:dyDescent="0.3">
      <c r="A48">
        <v>1033</v>
      </c>
      <c r="B48" t="s">
        <v>584</v>
      </c>
      <c r="C48" t="s">
        <v>585</v>
      </c>
      <c r="D48" t="s">
        <v>586</v>
      </c>
      <c r="E48" t="s">
        <v>504</v>
      </c>
      <c r="F48" t="s">
        <v>553</v>
      </c>
      <c r="G48" t="s">
        <v>511</v>
      </c>
      <c r="H48" t="str">
        <f>+VLOOKUP(G48,'PITESAI corrisp Corine3 - Maes'!$A$2:$B$26,2,FALSE)</f>
        <v>Cropland</v>
      </c>
    </row>
    <row r="49" spans="1:8" x14ac:dyDescent="0.3">
      <c r="A49">
        <v>1060</v>
      </c>
      <c r="B49" t="s">
        <v>587</v>
      </c>
      <c r="C49" t="s">
        <v>588</v>
      </c>
      <c r="D49" t="s">
        <v>588</v>
      </c>
      <c r="E49" t="s">
        <v>504</v>
      </c>
      <c r="F49" t="s">
        <v>527</v>
      </c>
      <c r="G49" t="s">
        <v>528</v>
      </c>
      <c r="H49" t="str">
        <f>+VLOOKUP(G49,'PITESAI corrisp Corine3 - Maes'!$A$2:$B$26,2,FALSE)</f>
        <v>Cropland</v>
      </c>
    </row>
    <row r="50" spans="1:8" x14ac:dyDescent="0.3">
      <c r="A50">
        <v>1059</v>
      </c>
      <c r="B50" t="s">
        <v>589</v>
      </c>
      <c r="C50" t="s">
        <v>588</v>
      </c>
      <c r="D50" t="s">
        <v>588</v>
      </c>
      <c r="E50" t="s">
        <v>504</v>
      </c>
      <c r="F50" t="s">
        <v>527</v>
      </c>
      <c r="G50" t="s">
        <v>528</v>
      </c>
      <c r="H50" t="str">
        <f>+VLOOKUP(G50,'PITESAI corrisp Corine3 - Maes'!$A$2:$B$26,2,FALSE)</f>
        <v>Cropland</v>
      </c>
    </row>
    <row r="51" spans="1:8" x14ac:dyDescent="0.3">
      <c r="A51">
        <v>1058</v>
      </c>
      <c r="B51" t="s">
        <v>590</v>
      </c>
      <c r="C51" t="s">
        <v>588</v>
      </c>
      <c r="D51" t="s">
        <v>588</v>
      </c>
      <c r="E51" t="s">
        <v>504</v>
      </c>
      <c r="F51" t="s">
        <v>527</v>
      </c>
      <c r="G51" t="s">
        <v>528</v>
      </c>
      <c r="H51" t="str">
        <f>+VLOOKUP(G51,'PITESAI corrisp Corine3 - Maes'!$A$2:$B$26,2,FALSE)</f>
        <v>Cropland</v>
      </c>
    </row>
    <row r="52" spans="1:8" x14ac:dyDescent="0.3">
      <c r="A52">
        <v>870</v>
      </c>
      <c r="B52" t="s">
        <v>591</v>
      </c>
      <c r="C52" t="s">
        <v>508</v>
      </c>
      <c r="D52" t="s">
        <v>592</v>
      </c>
      <c r="E52" t="s">
        <v>498</v>
      </c>
      <c r="F52" t="s">
        <v>527</v>
      </c>
      <c r="G52" t="s">
        <v>528</v>
      </c>
      <c r="H52" t="str">
        <f>+VLOOKUP(G52,'PITESAI corrisp Corine3 - Maes'!$A$2:$B$26,2,FALSE)</f>
        <v>Cropland</v>
      </c>
    </row>
    <row r="53" spans="1:8" x14ac:dyDescent="0.3">
      <c r="A53">
        <v>875</v>
      </c>
      <c r="B53" t="s">
        <v>593</v>
      </c>
      <c r="C53" t="s">
        <v>508</v>
      </c>
      <c r="D53" t="s">
        <v>592</v>
      </c>
      <c r="E53" t="s">
        <v>498</v>
      </c>
      <c r="F53" t="s">
        <v>594</v>
      </c>
      <c r="G53" t="s">
        <v>563</v>
      </c>
      <c r="H53" t="str">
        <f>+VLOOKUP(G53,'PITESAI corrisp Corine3 - Maes'!$A$2:$B$26,2,FALSE)</f>
        <v>Woodland and forest</v>
      </c>
    </row>
    <row r="54" spans="1:8" x14ac:dyDescent="0.3">
      <c r="A54">
        <v>874</v>
      </c>
      <c r="B54" t="s">
        <v>595</v>
      </c>
      <c r="C54" t="s">
        <v>508</v>
      </c>
      <c r="D54" t="s">
        <v>592</v>
      </c>
      <c r="E54" t="s">
        <v>498</v>
      </c>
      <c r="F54" t="s">
        <v>510</v>
      </c>
      <c r="G54" t="s">
        <v>511</v>
      </c>
      <c r="H54" t="str">
        <f>+VLOOKUP(G54,'PITESAI corrisp Corine3 - Maes'!$A$2:$B$26,2,FALSE)</f>
        <v>Cropland</v>
      </c>
    </row>
    <row r="55" spans="1:8" x14ac:dyDescent="0.3">
      <c r="A55">
        <v>873</v>
      </c>
      <c r="B55" t="s">
        <v>596</v>
      </c>
      <c r="C55" t="s">
        <v>508</v>
      </c>
      <c r="D55" t="s">
        <v>592</v>
      </c>
      <c r="E55" t="s">
        <v>498</v>
      </c>
      <c r="F55" t="s">
        <v>597</v>
      </c>
      <c r="G55" t="s">
        <v>598</v>
      </c>
      <c r="H55" t="str">
        <f>+VLOOKUP(G55,'PITESAI corrisp Corine3 - Maes'!$A$2:$B$26,2,FALSE)</f>
        <v>Sparsely vegetated land</v>
      </c>
    </row>
    <row r="56" spans="1:8" x14ac:dyDescent="0.3">
      <c r="A56">
        <v>871</v>
      </c>
      <c r="B56" t="s">
        <v>599</v>
      </c>
      <c r="C56" t="s">
        <v>508</v>
      </c>
      <c r="D56" t="s">
        <v>592</v>
      </c>
      <c r="E56" t="s">
        <v>498</v>
      </c>
      <c r="F56" t="s">
        <v>510</v>
      </c>
      <c r="G56" t="s">
        <v>511</v>
      </c>
      <c r="H56" t="str">
        <f>+VLOOKUP(G56,'PITESAI corrisp Corine3 - Maes'!$A$2:$B$26,2,FALSE)</f>
        <v>Cropland</v>
      </c>
    </row>
    <row r="57" spans="1:8" x14ac:dyDescent="0.3">
      <c r="A57">
        <v>880</v>
      </c>
      <c r="B57" t="s">
        <v>600</v>
      </c>
      <c r="C57" t="s">
        <v>601</v>
      </c>
      <c r="D57" t="s">
        <v>601</v>
      </c>
      <c r="E57" t="s">
        <v>504</v>
      </c>
      <c r="F57" t="s">
        <v>510</v>
      </c>
      <c r="G57" t="s">
        <v>511</v>
      </c>
      <c r="H57" t="str">
        <f>+VLOOKUP(G57,'PITESAI corrisp Corine3 - Maes'!$A$2:$B$26,2,FALSE)</f>
        <v>Cropland</v>
      </c>
    </row>
    <row r="58" spans="1:8" x14ac:dyDescent="0.3">
      <c r="A58">
        <v>869</v>
      </c>
      <c r="B58" t="s">
        <v>602</v>
      </c>
      <c r="C58" t="s">
        <v>508</v>
      </c>
      <c r="D58" t="s">
        <v>592</v>
      </c>
      <c r="E58" t="s">
        <v>498</v>
      </c>
      <c r="F58" t="s">
        <v>527</v>
      </c>
      <c r="G58" t="s">
        <v>528</v>
      </c>
      <c r="H58" t="str">
        <f>+VLOOKUP(G58,'PITESAI corrisp Corine3 - Maes'!$A$2:$B$26,2,FALSE)</f>
        <v>Cropland</v>
      </c>
    </row>
    <row r="59" spans="1:8" x14ac:dyDescent="0.3">
      <c r="A59">
        <v>868</v>
      </c>
      <c r="B59" t="s">
        <v>603</v>
      </c>
      <c r="C59" t="s">
        <v>508</v>
      </c>
      <c r="D59" t="s">
        <v>592</v>
      </c>
      <c r="E59" t="s">
        <v>498</v>
      </c>
      <c r="F59" t="s">
        <v>527</v>
      </c>
      <c r="G59" t="s">
        <v>528</v>
      </c>
      <c r="H59" t="str">
        <f>+VLOOKUP(G59,'PITESAI corrisp Corine3 - Maes'!$A$2:$B$26,2,FALSE)</f>
        <v>Cropland</v>
      </c>
    </row>
    <row r="60" spans="1:8" x14ac:dyDescent="0.3">
      <c r="A60">
        <v>867</v>
      </c>
      <c r="B60" t="s">
        <v>604</v>
      </c>
      <c r="C60" t="s">
        <v>605</v>
      </c>
      <c r="D60" t="s">
        <v>592</v>
      </c>
      <c r="E60" t="s">
        <v>498</v>
      </c>
      <c r="F60" t="s">
        <v>510</v>
      </c>
      <c r="G60" t="s">
        <v>511</v>
      </c>
      <c r="H60" t="str">
        <f>+VLOOKUP(G60,'PITESAI corrisp Corine3 - Maes'!$A$2:$B$26,2,FALSE)</f>
        <v>Cropland</v>
      </c>
    </row>
    <row r="61" spans="1:8" x14ac:dyDescent="0.3">
      <c r="A61">
        <v>866</v>
      </c>
      <c r="B61" t="s">
        <v>606</v>
      </c>
      <c r="C61" t="s">
        <v>605</v>
      </c>
      <c r="D61" t="s">
        <v>592</v>
      </c>
      <c r="E61" t="s">
        <v>498</v>
      </c>
      <c r="F61" t="s">
        <v>597</v>
      </c>
      <c r="G61" t="s">
        <v>598</v>
      </c>
      <c r="H61" t="str">
        <f>+VLOOKUP(G61,'PITESAI corrisp Corine3 - Maes'!$A$2:$B$26,2,FALSE)</f>
        <v>Sparsely vegetated land</v>
      </c>
    </row>
    <row r="62" spans="1:8" x14ac:dyDescent="0.3">
      <c r="A62">
        <v>865</v>
      </c>
      <c r="B62" t="s">
        <v>607</v>
      </c>
      <c r="C62" t="s">
        <v>605</v>
      </c>
      <c r="D62" t="s">
        <v>592</v>
      </c>
      <c r="E62" t="s">
        <v>498</v>
      </c>
      <c r="F62" t="s">
        <v>510</v>
      </c>
      <c r="G62" t="s">
        <v>511</v>
      </c>
      <c r="H62" t="str">
        <f>+VLOOKUP(G62,'PITESAI corrisp Corine3 - Maes'!$A$2:$B$26,2,FALSE)</f>
        <v>Cropland</v>
      </c>
    </row>
    <row r="63" spans="1:8" x14ac:dyDescent="0.3">
      <c r="A63">
        <v>864</v>
      </c>
      <c r="B63" t="s">
        <v>608</v>
      </c>
      <c r="C63" t="s">
        <v>605</v>
      </c>
      <c r="D63" t="s">
        <v>592</v>
      </c>
      <c r="E63" t="s">
        <v>498</v>
      </c>
      <c r="F63" t="s">
        <v>510</v>
      </c>
      <c r="G63" t="s">
        <v>511</v>
      </c>
      <c r="H63" t="str">
        <f>+VLOOKUP(G63,'PITESAI corrisp Corine3 - Maes'!$A$2:$B$26,2,FALSE)</f>
        <v>Cropland</v>
      </c>
    </row>
    <row r="64" spans="1:8" x14ac:dyDescent="0.3">
      <c r="A64">
        <v>872</v>
      </c>
      <c r="B64" t="s">
        <v>609</v>
      </c>
      <c r="C64" t="s">
        <v>508</v>
      </c>
      <c r="D64" t="s">
        <v>592</v>
      </c>
      <c r="E64" t="s">
        <v>498</v>
      </c>
      <c r="F64" t="s">
        <v>597</v>
      </c>
      <c r="G64" t="s">
        <v>598</v>
      </c>
      <c r="H64" t="str">
        <f>+VLOOKUP(G64,'PITESAI corrisp Corine3 - Maes'!$A$2:$B$26,2,FALSE)</f>
        <v>Sparsely vegetated land</v>
      </c>
    </row>
    <row r="65" spans="1:8" x14ac:dyDescent="0.3">
      <c r="A65">
        <v>894</v>
      </c>
      <c r="B65" t="s">
        <v>610</v>
      </c>
      <c r="C65" t="s">
        <v>611</v>
      </c>
      <c r="D65" t="s">
        <v>612</v>
      </c>
      <c r="E65" t="s">
        <v>504</v>
      </c>
      <c r="F65" t="s">
        <v>510</v>
      </c>
      <c r="G65" t="s">
        <v>511</v>
      </c>
      <c r="H65" t="str">
        <f>+VLOOKUP(G65,'PITESAI corrisp Corine3 - Maes'!$A$2:$B$26,2,FALSE)</f>
        <v>Cropland</v>
      </c>
    </row>
    <row r="66" spans="1:8" x14ac:dyDescent="0.3">
      <c r="A66">
        <v>893</v>
      </c>
      <c r="B66" t="s">
        <v>613</v>
      </c>
      <c r="C66" t="s">
        <v>614</v>
      </c>
      <c r="D66" t="s">
        <v>614</v>
      </c>
      <c r="E66" t="s">
        <v>504</v>
      </c>
      <c r="F66" t="s">
        <v>510</v>
      </c>
      <c r="G66" t="s">
        <v>511</v>
      </c>
      <c r="H66" t="str">
        <f>+VLOOKUP(G66,'PITESAI corrisp Corine3 - Maes'!$A$2:$B$26,2,FALSE)</f>
        <v>Cropland</v>
      </c>
    </row>
    <row r="67" spans="1:8" x14ac:dyDescent="0.3">
      <c r="A67">
        <v>878</v>
      </c>
      <c r="B67" t="s">
        <v>615</v>
      </c>
      <c r="C67" t="s">
        <v>572</v>
      </c>
      <c r="D67" t="s">
        <v>573</v>
      </c>
      <c r="E67" t="s">
        <v>498</v>
      </c>
      <c r="F67" t="s">
        <v>527</v>
      </c>
      <c r="G67" t="s">
        <v>528</v>
      </c>
      <c r="H67" t="str">
        <f>+VLOOKUP(G67,'PITESAI corrisp Corine3 - Maes'!$A$2:$B$26,2,FALSE)</f>
        <v>Cropland</v>
      </c>
    </row>
    <row r="68" spans="1:8" x14ac:dyDescent="0.3">
      <c r="A68">
        <v>879</v>
      </c>
      <c r="B68" t="s">
        <v>616</v>
      </c>
      <c r="C68" t="s">
        <v>601</v>
      </c>
      <c r="D68" t="s">
        <v>601</v>
      </c>
      <c r="E68" t="s">
        <v>504</v>
      </c>
      <c r="F68" t="s">
        <v>510</v>
      </c>
      <c r="G68" t="s">
        <v>511</v>
      </c>
      <c r="H68" t="str">
        <f>+VLOOKUP(G68,'PITESAI corrisp Corine3 - Maes'!$A$2:$B$26,2,FALSE)</f>
        <v>Cropland</v>
      </c>
    </row>
    <row r="69" spans="1:8" x14ac:dyDescent="0.3">
      <c r="A69">
        <v>882</v>
      </c>
      <c r="B69" t="s">
        <v>617</v>
      </c>
      <c r="C69" t="s">
        <v>601</v>
      </c>
      <c r="D69" t="s">
        <v>601</v>
      </c>
      <c r="E69" t="s">
        <v>504</v>
      </c>
      <c r="F69" t="s">
        <v>510</v>
      </c>
      <c r="G69" t="s">
        <v>511</v>
      </c>
      <c r="H69" t="str">
        <f>+VLOOKUP(G69,'PITESAI corrisp Corine3 - Maes'!$A$2:$B$26,2,FALSE)</f>
        <v>Cropland</v>
      </c>
    </row>
    <row r="70" spans="1:8" x14ac:dyDescent="0.3">
      <c r="A70">
        <v>881</v>
      </c>
      <c r="B70" t="s">
        <v>618</v>
      </c>
      <c r="C70" t="s">
        <v>601</v>
      </c>
      <c r="D70" t="s">
        <v>601</v>
      </c>
      <c r="E70" t="s">
        <v>504</v>
      </c>
      <c r="F70" t="s">
        <v>510</v>
      </c>
      <c r="G70" t="s">
        <v>511</v>
      </c>
      <c r="H70" t="str">
        <f>+VLOOKUP(G70,'PITESAI corrisp Corine3 - Maes'!$A$2:$B$26,2,FALSE)</f>
        <v>Cropland</v>
      </c>
    </row>
    <row r="71" spans="1:8" x14ac:dyDescent="0.3">
      <c r="A71">
        <v>861</v>
      </c>
      <c r="B71" t="s">
        <v>619</v>
      </c>
      <c r="C71" t="s">
        <v>605</v>
      </c>
      <c r="D71" t="s">
        <v>592</v>
      </c>
      <c r="E71" t="s">
        <v>498</v>
      </c>
      <c r="F71" t="s">
        <v>510</v>
      </c>
      <c r="G71" t="s">
        <v>511</v>
      </c>
      <c r="H71" t="str">
        <f>+VLOOKUP(G71,'PITESAI corrisp Corine3 - Maes'!$A$2:$B$26,2,FALSE)</f>
        <v>Cropland</v>
      </c>
    </row>
    <row r="72" spans="1:8" x14ac:dyDescent="0.3">
      <c r="A72">
        <v>863</v>
      </c>
      <c r="B72" t="s">
        <v>620</v>
      </c>
      <c r="C72" t="s">
        <v>508</v>
      </c>
      <c r="D72" t="s">
        <v>592</v>
      </c>
      <c r="E72" t="s">
        <v>498</v>
      </c>
      <c r="F72" t="s">
        <v>510</v>
      </c>
      <c r="G72" t="s">
        <v>511</v>
      </c>
      <c r="H72" t="str">
        <f>+VLOOKUP(G72,'PITESAI corrisp Corine3 - Maes'!$A$2:$B$26,2,FALSE)</f>
        <v>Cropland</v>
      </c>
    </row>
    <row r="73" spans="1:8" x14ac:dyDescent="0.3">
      <c r="A73">
        <v>836</v>
      </c>
      <c r="B73" t="s">
        <v>621</v>
      </c>
      <c r="C73" t="s">
        <v>542</v>
      </c>
      <c r="D73" t="s">
        <v>542</v>
      </c>
      <c r="E73" t="s">
        <v>498</v>
      </c>
      <c r="F73" t="s">
        <v>510</v>
      </c>
      <c r="G73" t="s">
        <v>511</v>
      </c>
      <c r="H73" t="str">
        <f>+VLOOKUP(G73,'PITESAI corrisp Corine3 - Maes'!$A$2:$B$26,2,FALSE)</f>
        <v>Cropland</v>
      </c>
    </row>
    <row r="74" spans="1:8" x14ac:dyDescent="0.3">
      <c r="A74">
        <v>835</v>
      </c>
      <c r="B74" t="s">
        <v>622</v>
      </c>
      <c r="C74" t="s">
        <v>542</v>
      </c>
      <c r="D74" t="s">
        <v>542</v>
      </c>
      <c r="E74" t="s">
        <v>498</v>
      </c>
      <c r="F74" t="s">
        <v>510</v>
      </c>
      <c r="G74" t="s">
        <v>511</v>
      </c>
      <c r="H74" t="str">
        <f>+VLOOKUP(G74,'PITESAI corrisp Corine3 - Maes'!$A$2:$B$26,2,FALSE)</f>
        <v>Cropland</v>
      </c>
    </row>
    <row r="75" spans="1:8" x14ac:dyDescent="0.3">
      <c r="A75">
        <v>834</v>
      </c>
      <c r="B75" t="s">
        <v>623</v>
      </c>
      <c r="C75" t="s">
        <v>542</v>
      </c>
      <c r="D75" t="s">
        <v>542</v>
      </c>
      <c r="E75" t="s">
        <v>498</v>
      </c>
      <c r="F75" t="s">
        <v>510</v>
      </c>
      <c r="G75" t="s">
        <v>511</v>
      </c>
      <c r="H75" t="str">
        <f>+VLOOKUP(G75,'PITESAI corrisp Corine3 - Maes'!$A$2:$B$26,2,FALSE)</f>
        <v>Cropland</v>
      </c>
    </row>
    <row r="76" spans="1:8" x14ac:dyDescent="0.3">
      <c r="A76">
        <v>833</v>
      </c>
      <c r="B76" t="s">
        <v>624</v>
      </c>
      <c r="C76" t="s">
        <v>542</v>
      </c>
      <c r="D76" t="s">
        <v>542</v>
      </c>
      <c r="E76" t="s">
        <v>498</v>
      </c>
      <c r="F76" t="s">
        <v>510</v>
      </c>
      <c r="G76" t="s">
        <v>511</v>
      </c>
      <c r="H76" t="str">
        <f>+VLOOKUP(G76,'PITESAI corrisp Corine3 - Maes'!$A$2:$B$26,2,FALSE)</f>
        <v>Cropland</v>
      </c>
    </row>
    <row r="77" spans="1:8" x14ac:dyDescent="0.3">
      <c r="A77">
        <v>832</v>
      </c>
      <c r="B77" t="s">
        <v>625</v>
      </c>
      <c r="C77" t="s">
        <v>542</v>
      </c>
      <c r="D77" t="s">
        <v>542</v>
      </c>
      <c r="E77" t="s">
        <v>498</v>
      </c>
      <c r="F77" t="s">
        <v>510</v>
      </c>
      <c r="G77" t="s">
        <v>511</v>
      </c>
      <c r="H77" t="str">
        <f>+VLOOKUP(G77,'PITESAI corrisp Corine3 - Maes'!$A$2:$B$26,2,FALSE)</f>
        <v>Cropland</v>
      </c>
    </row>
    <row r="78" spans="1:8" x14ac:dyDescent="0.3">
      <c r="A78">
        <v>860</v>
      </c>
      <c r="B78" t="s">
        <v>626</v>
      </c>
      <c r="C78" t="s">
        <v>605</v>
      </c>
      <c r="D78" t="s">
        <v>592</v>
      </c>
      <c r="E78" t="s">
        <v>498</v>
      </c>
      <c r="F78" t="s">
        <v>597</v>
      </c>
      <c r="G78" t="s">
        <v>598</v>
      </c>
      <c r="H78" t="str">
        <f>+VLOOKUP(G78,'PITESAI corrisp Corine3 - Maes'!$A$2:$B$26,2,FALSE)</f>
        <v>Sparsely vegetated land</v>
      </c>
    </row>
    <row r="79" spans="1:8" x14ac:dyDescent="0.3">
      <c r="A79">
        <v>858</v>
      </c>
      <c r="B79" t="s">
        <v>627</v>
      </c>
      <c r="C79" t="s">
        <v>508</v>
      </c>
      <c r="D79" t="s">
        <v>592</v>
      </c>
      <c r="E79" t="s">
        <v>498</v>
      </c>
      <c r="F79" t="s">
        <v>510</v>
      </c>
      <c r="G79" t="s">
        <v>511</v>
      </c>
      <c r="H79" t="str">
        <f>+VLOOKUP(G79,'PITESAI corrisp Corine3 - Maes'!$A$2:$B$26,2,FALSE)</f>
        <v>Cropland</v>
      </c>
    </row>
    <row r="80" spans="1:8" x14ac:dyDescent="0.3">
      <c r="A80">
        <v>857</v>
      </c>
      <c r="B80" t="s">
        <v>628</v>
      </c>
      <c r="C80" t="s">
        <v>508</v>
      </c>
      <c r="D80" t="s">
        <v>592</v>
      </c>
      <c r="E80" t="s">
        <v>498</v>
      </c>
      <c r="F80" t="s">
        <v>510</v>
      </c>
      <c r="G80" t="s">
        <v>511</v>
      </c>
      <c r="H80" t="str">
        <f>+VLOOKUP(G80,'PITESAI corrisp Corine3 - Maes'!$A$2:$B$26,2,FALSE)</f>
        <v>Cropland</v>
      </c>
    </row>
    <row r="81" spans="1:8" x14ac:dyDescent="0.3">
      <c r="A81">
        <v>856</v>
      </c>
      <c r="B81" t="s">
        <v>629</v>
      </c>
      <c r="C81" t="s">
        <v>605</v>
      </c>
      <c r="D81" t="s">
        <v>592</v>
      </c>
      <c r="E81" t="s">
        <v>498</v>
      </c>
      <c r="F81" t="s">
        <v>510</v>
      </c>
      <c r="G81" t="s">
        <v>511</v>
      </c>
      <c r="H81" t="str">
        <f>+VLOOKUP(G81,'PITESAI corrisp Corine3 - Maes'!$A$2:$B$26,2,FALSE)</f>
        <v>Cropland</v>
      </c>
    </row>
    <row r="82" spans="1:8" x14ac:dyDescent="0.3">
      <c r="A82">
        <v>854</v>
      </c>
      <c r="B82" t="s">
        <v>630</v>
      </c>
      <c r="C82" t="s">
        <v>542</v>
      </c>
      <c r="D82" t="s">
        <v>542</v>
      </c>
      <c r="E82" t="s">
        <v>498</v>
      </c>
      <c r="F82" t="s">
        <v>510</v>
      </c>
      <c r="G82" t="s">
        <v>511</v>
      </c>
      <c r="H82" t="str">
        <f>+VLOOKUP(G82,'PITESAI corrisp Corine3 - Maes'!$A$2:$B$26,2,FALSE)</f>
        <v>Cropland</v>
      </c>
    </row>
    <row r="83" spans="1:8" x14ac:dyDescent="0.3">
      <c r="A83">
        <v>862</v>
      </c>
      <c r="B83" t="s">
        <v>631</v>
      </c>
      <c r="C83" t="s">
        <v>508</v>
      </c>
      <c r="D83" t="s">
        <v>592</v>
      </c>
      <c r="E83" t="s">
        <v>498</v>
      </c>
      <c r="F83" t="s">
        <v>510</v>
      </c>
      <c r="G83" t="s">
        <v>511</v>
      </c>
      <c r="H83" t="str">
        <f>+VLOOKUP(G83,'PITESAI corrisp Corine3 - Maes'!$A$2:$B$26,2,FALSE)</f>
        <v>Cropland</v>
      </c>
    </row>
    <row r="84" spans="1:8" x14ac:dyDescent="0.3">
      <c r="A84">
        <v>851</v>
      </c>
      <c r="B84" t="s">
        <v>632</v>
      </c>
      <c r="C84" t="s">
        <v>633</v>
      </c>
      <c r="D84" t="s">
        <v>573</v>
      </c>
      <c r="E84" t="s">
        <v>498</v>
      </c>
      <c r="F84" t="s">
        <v>523</v>
      </c>
      <c r="G84" t="s">
        <v>524</v>
      </c>
      <c r="H84" t="str">
        <f>+VLOOKUP(G84,'PITESAI corrisp Corine3 - Maes'!$A$2:$B$26,2,FALSE)</f>
        <v>Cropland</v>
      </c>
    </row>
    <row r="85" spans="1:8" x14ac:dyDescent="0.3">
      <c r="A85">
        <v>855</v>
      </c>
      <c r="B85" t="s">
        <v>634</v>
      </c>
      <c r="C85" t="s">
        <v>508</v>
      </c>
      <c r="D85" t="s">
        <v>592</v>
      </c>
      <c r="E85" t="s">
        <v>498</v>
      </c>
      <c r="F85" t="s">
        <v>527</v>
      </c>
      <c r="G85" t="s">
        <v>528</v>
      </c>
      <c r="H85" t="str">
        <f>+VLOOKUP(G85,'PITESAI corrisp Corine3 - Maes'!$A$2:$B$26,2,FALSE)</f>
        <v>Cropland</v>
      </c>
    </row>
    <row r="86" spans="1:8" x14ac:dyDescent="0.3">
      <c r="A86">
        <v>830</v>
      </c>
      <c r="B86" t="s">
        <v>635</v>
      </c>
      <c r="C86" t="s">
        <v>542</v>
      </c>
      <c r="D86" t="s">
        <v>542</v>
      </c>
      <c r="E86" t="s">
        <v>498</v>
      </c>
      <c r="F86" t="s">
        <v>510</v>
      </c>
      <c r="G86" t="s">
        <v>511</v>
      </c>
      <c r="H86" t="str">
        <f>+VLOOKUP(G86,'PITESAI corrisp Corine3 - Maes'!$A$2:$B$26,2,FALSE)</f>
        <v>Cropland</v>
      </c>
    </row>
    <row r="87" spans="1:8" x14ac:dyDescent="0.3">
      <c r="A87">
        <v>170</v>
      </c>
      <c r="B87" t="s">
        <v>636</v>
      </c>
      <c r="C87" t="s">
        <v>633</v>
      </c>
      <c r="D87" t="s">
        <v>497</v>
      </c>
      <c r="E87" t="s">
        <v>498</v>
      </c>
      <c r="F87" t="s">
        <v>553</v>
      </c>
      <c r="G87" t="s">
        <v>511</v>
      </c>
      <c r="H87" t="str">
        <f>+VLOOKUP(G87,'PITESAI corrisp Corine3 - Maes'!$A$2:$B$26,2,FALSE)</f>
        <v>Cropland</v>
      </c>
    </row>
    <row r="88" spans="1:8" x14ac:dyDescent="0.3">
      <c r="A88">
        <v>169</v>
      </c>
      <c r="B88" t="s">
        <v>637</v>
      </c>
      <c r="C88" t="s">
        <v>633</v>
      </c>
      <c r="D88" t="s">
        <v>638</v>
      </c>
      <c r="E88" t="s">
        <v>504</v>
      </c>
      <c r="F88" t="s">
        <v>567</v>
      </c>
      <c r="G88" t="s">
        <v>568</v>
      </c>
      <c r="H88" t="str">
        <f>+VLOOKUP(G88,'PITESAI corrisp Corine3 - Maes'!$A$2:$B$26,2,FALSE)</f>
        <v>Cropland</v>
      </c>
    </row>
    <row r="89" spans="1:8" x14ac:dyDescent="0.3">
      <c r="A89">
        <v>168</v>
      </c>
      <c r="B89" t="s">
        <v>639</v>
      </c>
      <c r="C89" t="s">
        <v>633</v>
      </c>
      <c r="D89" t="s">
        <v>638</v>
      </c>
      <c r="E89" t="s">
        <v>504</v>
      </c>
      <c r="F89" t="s">
        <v>640</v>
      </c>
      <c r="G89" t="s">
        <v>641</v>
      </c>
      <c r="H89" t="str">
        <f>+VLOOKUP(G89,'PITESAI corrisp Corine3 - Maes'!$A$2:$B$26,2,FALSE)</f>
        <v>Urban</v>
      </c>
    </row>
    <row r="90" spans="1:8" x14ac:dyDescent="0.3">
      <c r="A90">
        <v>52</v>
      </c>
      <c r="B90" t="s">
        <v>642</v>
      </c>
      <c r="C90" t="s">
        <v>513</v>
      </c>
      <c r="D90" t="s">
        <v>514</v>
      </c>
      <c r="E90" t="s">
        <v>498</v>
      </c>
      <c r="F90" t="s">
        <v>567</v>
      </c>
      <c r="G90" t="s">
        <v>568</v>
      </c>
      <c r="H90" t="str">
        <f>+VLOOKUP(G90,'PITESAI corrisp Corine3 - Maes'!$A$2:$B$26,2,FALSE)</f>
        <v>Cropland</v>
      </c>
    </row>
    <row r="91" spans="1:8" x14ac:dyDescent="0.3">
      <c r="A91">
        <v>56</v>
      </c>
      <c r="B91" t="s">
        <v>643</v>
      </c>
      <c r="C91" t="s">
        <v>513</v>
      </c>
      <c r="D91" t="s">
        <v>514</v>
      </c>
      <c r="E91" t="s">
        <v>498</v>
      </c>
      <c r="F91" t="s">
        <v>505</v>
      </c>
      <c r="G91" t="s">
        <v>506</v>
      </c>
      <c r="H91" t="str">
        <f>+VLOOKUP(G91,'PITESAI corrisp Corine3 - Maes'!$A$2:$B$26,2,FALSE)</f>
        <v>Woodland and forest</v>
      </c>
    </row>
    <row r="92" spans="1:8" x14ac:dyDescent="0.3">
      <c r="A92">
        <v>55</v>
      </c>
      <c r="B92" t="s">
        <v>644</v>
      </c>
      <c r="C92" t="s">
        <v>513</v>
      </c>
      <c r="D92" t="s">
        <v>514</v>
      </c>
      <c r="E92" t="s">
        <v>498</v>
      </c>
      <c r="F92" t="s">
        <v>527</v>
      </c>
      <c r="G92" t="s">
        <v>528</v>
      </c>
      <c r="H92" t="str">
        <f>+VLOOKUP(G92,'PITESAI corrisp Corine3 - Maes'!$A$2:$B$26,2,FALSE)</f>
        <v>Cropland</v>
      </c>
    </row>
    <row r="93" spans="1:8" x14ac:dyDescent="0.3">
      <c r="A93">
        <v>54</v>
      </c>
      <c r="B93" t="s">
        <v>645</v>
      </c>
      <c r="C93" t="s">
        <v>513</v>
      </c>
      <c r="D93" t="s">
        <v>514</v>
      </c>
      <c r="E93" t="s">
        <v>498</v>
      </c>
      <c r="F93" t="s">
        <v>527</v>
      </c>
      <c r="G93" t="s">
        <v>528</v>
      </c>
      <c r="H93" t="str">
        <f>+VLOOKUP(G93,'PITESAI corrisp Corine3 - Maes'!$A$2:$B$26,2,FALSE)</f>
        <v>Cropland</v>
      </c>
    </row>
    <row r="94" spans="1:8" x14ac:dyDescent="0.3">
      <c r="A94">
        <v>5</v>
      </c>
      <c r="B94" t="s">
        <v>646</v>
      </c>
      <c r="C94" t="s">
        <v>581</v>
      </c>
      <c r="D94" t="s">
        <v>581</v>
      </c>
      <c r="E94" t="s">
        <v>498</v>
      </c>
      <c r="F94" t="s">
        <v>523</v>
      </c>
      <c r="G94" t="s">
        <v>524</v>
      </c>
      <c r="H94" t="str">
        <f>+VLOOKUP(G94,'PITESAI corrisp Corine3 - Maes'!$A$2:$B$26,2,FALSE)</f>
        <v>Cropland</v>
      </c>
    </row>
    <row r="95" spans="1:8" x14ac:dyDescent="0.3">
      <c r="A95">
        <v>4</v>
      </c>
      <c r="B95" t="s">
        <v>647</v>
      </c>
      <c r="C95" t="s">
        <v>581</v>
      </c>
      <c r="D95" t="s">
        <v>581</v>
      </c>
      <c r="E95" t="s">
        <v>498</v>
      </c>
      <c r="F95" t="s">
        <v>523</v>
      </c>
      <c r="G95" t="s">
        <v>524</v>
      </c>
      <c r="H95" t="str">
        <f>+VLOOKUP(G95,'PITESAI corrisp Corine3 - Maes'!$A$2:$B$26,2,FALSE)</f>
        <v>Cropland</v>
      </c>
    </row>
    <row r="96" spans="1:8" x14ac:dyDescent="0.3">
      <c r="A96">
        <v>3</v>
      </c>
      <c r="B96" t="s">
        <v>648</v>
      </c>
      <c r="C96" t="s">
        <v>581</v>
      </c>
      <c r="D96" t="s">
        <v>581</v>
      </c>
      <c r="E96" t="s">
        <v>498</v>
      </c>
      <c r="F96" t="s">
        <v>510</v>
      </c>
      <c r="G96" t="s">
        <v>511</v>
      </c>
      <c r="H96" t="str">
        <f>+VLOOKUP(G96,'PITESAI corrisp Corine3 - Maes'!$A$2:$B$26,2,FALSE)</f>
        <v>Cropland</v>
      </c>
    </row>
    <row r="97" spans="1:8" x14ac:dyDescent="0.3">
      <c r="A97">
        <v>2</v>
      </c>
      <c r="B97" t="s">
        <v>649</v>
      </c>
      <c r="C97" t="s">
        <v>581</v>
      </c>
      <c r="D97" t="s">
        <v>581</v>
      </c>
      <c r="E97" t="s">
        <v>498</v>
      </c>
      <c r="F97" t="s">
        <v>510</v>
      </c>
      <c r="G97" t="s">
        <v>511</v>
      </c>
      <c r="H97" t="str">
        <f>+VLOOKUP(G97,'PITESAI corrisp Corine3 - Maes'!$A$2:$B$26,2,FALSE)</f>
        <v>Cropland</v>
      </c>
    </row>
    <row r="98" spans="1:8" x14ac:dyDescent="0.3">
      <c r="A98">
        <v>405</v>
      </c>
      <c r="B98" t="s">
        <v>650</v>
      </c>
      <c r="C98" t="s">
        <v>542</v>
      </c>
      <c r="D98" t="s">
        <v>542</v>
      </c>
      <c r="E98" t="s">
        <v>498</v>
      </c>
      <c r="F98" t="s">
        <v>510</v>
      </c>
      <c r="G98" t="s">
        <v>511</v>
      </c>
      <c r="H98" t="str">
        <f>+VLOOKUP(G98,'PITESAI corrisp Corine3 - Maes'!$A$2:$B$26,2,FALSE)</f>
        <v>Cropland</v>
      </c>
    </row>
    <row r="99" spans="1:8" x14ac:dyDescent="0.3">
      <c r="A99">
        <v>415</v>
      </c>
      <c r="B99" t="s">
        <v>651</v>
      </c>
      <c r="C99" t="s">
        <v>542</v>
      </c>
      <c r="D99" t="s">
        <v>542</v>
      </c>
      <c r="E99" t="s">
        <v>498</v>
      </c>
      <c r="F99" t="s">
        <v>510</v>
      </c>
      <c r="G99" t="s">
        <v>511</v>
      </c>
      <c r="H99" t="str">
        <f>+VLOOKUP(G99,'PITESAI corrisp Corine3 - Maes'!$A$2:$B$26,2,FALSE)</f>
        <v>Cropland</v>
      </c>
    </row>
    <row r="100" spans="1:8" x14ac:dyDescent="0.3">
      <c r="A100">
        <v>429</v>
      </c>
      <c r="B100" t="s">
        <v>652</v>
      </c>
      <c r="C100" t="s">
        <v>653</v>
      </c>
      <c r="D100" t="s">
        <v>654</v>
      </c>
      <c r="E100" t="s">
        <v>504</v>
      </c>
      <c r="F100" t="s">
        <v>527</v>
      </c>
      <c r="G100" t="s">
        <v>528</v>
      </c>
      <c r="H100" t="str">
        <f>+VLOOKUP(G100,'PITESAI corrisp Corine3 - Maes'!$A$2:$B$26,2,FALSE)</f>
        <v>Cropland</v>
      </c>
    </row>
    <row r="101" spans="1:8" x14ac:dyDescent="0.3">
      <c r="A101">
        <v>433</v>
      </c>
      <c r="B101" t="s">
        <v>655</v>
      </c>
      <c r="C101" t="s">
        <v>513</v>
      </c>
      <c r="D101" t="s">
        <v>514</v>
      </c>
      <c r="E101" t="s">
        <v>498</v>
      </c>
      <c r="F101" t="s">
        <v>567</v>
      </c>
      <c r="G101" t="s">
        <v>568</v>
      </c>
      <c r="H101" t="str">
        <f>+VLOOKUP(G101,'PITESAI corrisp Corine3 - Maes'!$A$2:$B$26,2,FALSE)</f>
        <v>Cropland</v>
      </c>
    </row>
    <row r="102" spans="1:8" x14ac:dyDescent="0.3">
      <c r="A102">
        <v>432</v>
      </c>
      <c r="B102" t="s">
        <v>656</v>
      </c>
      <c r="C102" t="s">
        <v>513</v>
      </c>
      <c r="D102" t="s">
        <v>514</v>
      </c>
      <c r="E102" t="s">
        <v>498</v>
      </c>
      <c r="F102" t="s">
        <v>567</v>
      </c>
      <c r="G102" t="s">
        <v>568</v>
      </c>
      <c r="H102" t="str">
        <f>+VLOOKUP(G102,'PITESAI corrisp Corine3 - Maes'!$A$2:$B$26,2,FALSE)</f>
        <v>Cropland</v>
      </c>
    </row>
    <row r="103" spans="1:8" x14ac:dyDescent="0.3">
      <c r="A103">
        <v>430</v>
      </c>
      <c r="B103" t="s">
        <v>657</v>
      </c>
      <c r="C103" t="s">
        <v>653</v>
      </c>
      <c r="D103" t="s">
        <v>654</v>
      </c>
      <c r="E103" t="s">
        <v>504</v>
      </c>
      <c r="F103" t="s">
        <v>527</v>
      </c>
      <c r="G103" t="s">
        <v>528</v>
      </c>
      <c r="H103" t="str">
        <f>+VLOOKUP(G103,'PITESAI corrisp Corine3 - Maes'!$A$2:$B$26,2,FALSE)</f>
        <v>Cropland</v>
      </c>
    </row>
    <row r="104" spans="1:8" x14ac:dyDescent="0.3">
      <c r="A104">
        <v>428</v>
      </c>
      <c r="B104" t="s">
        <v>658</v>
      </c>
      <c r="C104" t="s">
        <v>653</v>
      </c>
      <c r="D104" t="s">
        <v>654</v>
      </c>
      <c r="E104" t="s">
        <v>504</v>
      </c>
      <c r="F104" t="s">
        <v>527</v>
      </c>
      <c r="G104" t="s">
        <v>528</v>
      </c>
      <c r="H104" t="str">
        <f>+VLOOKUP(G104,'PITESAI corrisp Corine3 - Maes'!$A$2:$B$26,2,FALSE)</f>
        <v>Cropland</v>
      </c>
    </row>
    <row r="105" spans="1:8" x14ac:dyDescent="0.3">
      <c r="A105">
        <v>427</v>
      </c>
      <c r="B105" t="s">
        <v>659</v>
      </c>
      <c r="C105" t="s">
        <v>653</v>
      </c>
      <c r="D105" t="s">
        <v>654</v>
      </c>
      <c r="E105" t="s">
        <v>504</v>
      </c>
      <c r="F105" t="s">
        <v>510</v>
      </c>
      <c r="G105" t="s">
        <v>511</v>
      </c>
      <c r="H105" t="str">
        <f>+VLOOKUP(G105,'PITESAI corrisp Corine3 - Maes'!$A$2:$B$26,2,FALSE)</f>
        <v>Cropland</v>
      </c>
    </row>
    <row r="106" spans="1:8" x14ac:dyDescent="0.3">
      <c r="A106">
        <v>426</v>
      </c>
      <c r="B106" t="s">
        <v>660</v>
      </c>
      <c r="C106" t="s">
        <v>653</v>
      </c>
      <c r="D106" t="s">
        <v>654</v>
      </c>
      <c r="E106" t="s">
        <v>504</v>
      </c>
      <c r="F106" t="s">
        <v>510</v>
      </c>
      <c r="G106" t="s">
        <v>511</v>
      </c>
      <c r="H106" t="str">
        <f>+VLOOKUP(G106,'PITESAI corrisp Corine3 - Maes'!$A$2:$B$26,2,FALSE)</f>
        <v>Cropland</v>
      </c>
    </row>
    <row r="107" spans="1:8" x14ac:dyDescent="0.3">
      <c r="A107">
        <v>424</v>
      </c>
      <c r="B107" t="s">
        <v>661</v>
      </c>
      <c r="C107" t="s">
        <v>653</v>
      </c>
      <c r="D107" t="s">
        <v>654</v>
      </c>
      <c r="E107" t="s">
        <v>504</v>
      </c>
      <c r="F107" t="s">
        <v>527</v>
      </c>
      <c r="G107" t="s">
        <v>528</v>
      </c>
      <c r="H107" t="str">
        <f>+VLOOKUP(G107,'PITESAI corrisp Corine3 - Maes'!$A$2:$B$26,2,FALSE)</f>
        <v>Cropland</v>
      </c>
    </row>
    <row r="108" spans="1:8" x14ac:dyDescent="0.3">
      <c r="A108">
        <v>431</v>
      </c>
      <c r="B108" t="s">
        <v>662</v>
      </c>
      <c r="C108" t="s">
        <v>653</v>
      </c>
      <c r="D108" t="s">
        <v>654</v>
      </c>
      <c r="E108" t="s">
        <v>504</v>
      </c>
      <c r="F108" t="s">
        <v>510</v>
      </c>
      <c r="G108" t="s">
        <v>511</v>
      </c>
      <c r="H108" t="str">
        <f>+VLOOKUP(G108,'PITESAI corrisp Corine3 - Maes'!$A$2:$B$26,2,FALSE)</f>
        <v>Cropland</v>
      </c>
    </row>
    <row r="109" spans="1:8" x14ac:dyDescent="0.3">
      <c r="A109">
        <v>541</v>
      </c>
      <c r="B109" t="s">
        <v>663</v>
      </c>
      <c r="C109" t="s">
        <v>521</v>
      </c>
      <c r="D109" t="s">
        <v>522</v>
      </c>
      <c r="E109" t="s">
        <v>498</v>
      </c>
      <c r="F109" t="s">
        <v>510</v>
      </c>
      <c r="G109" t="s">
        <v>511</v>
      </c>
      <c r="H109" t="str">
        <f>+VLOOKUP(G109,'PITESAI corrisp Corine3 - Maes'!$A$2:$B$26,2,FALSE)</f>
        <v>Cropland</v>
      </c>
    </row>
    <row r="110" spans="1:8" x14ac:dyDescent="0.3">
      <c r="A110">
        <v>480</v>
      </c>
      <c r="B110" t="s">
        <v>664</v>
      </c>
      <c r="C110" t="s">
        <v>633</v>
      </c>
      <c r="D110" t="s">
        <v>514</v>
      </c>
      <c r="E110" t="s">
        <v>498</v>
      </c>
      <c r="F110" t="s">
        <v>665</v>
      </c>
      <c r="G110" t="s">
        <v>557</v>
      </c>
      <c r="H110" t="str">
        <f>+VLOOKUP(G110,'PITESAI corrisp Corine3 - Maes'!$A$2:$B$26,2,FALSE)</f>
        <v>Grassland</v>
      </c>
    </row>
    <row r="111" spans="1:8" x14ac:dyDescent="0.3">
      <c r="A111">
        <v>477</v>
      </c>
      <c r="B111" t="s">
        <v>666</v>
      </c>
      <c r="C111" t="s">
        <v>572</v>
      </c>
      <c r="D111" t="s">
        <v>573</v>
      </c>
      <c r="E111" t="s">
        <v>498</v>
      </c>
      <c r="F111" t="s">
        <v>523</v>
      </c>
      <c r="G111" t="s">
        <v>524</v>
      </c>
      <c r="H111" t="str">
        <f>+VLOOKUP(G111,'PITESAI corrisp Corine3 - Maes'!$A$2:$B$26,2,FALSE)</f>
        <v>Cropland</v>
      </c>
    </row>
    <row r="112" spans="1:8" x14ac:dyDescent="0.3">
      <c r="A112">
        <v>404</v>
      </c>
      <c r="B112" t="s">
        <v>667</v>
      </c>
      <c r="C112" t="s">
        <v>542</v>
      </c>
      <c r="D112" t="s">
        <v>542</v>
      </c>
      <c r="E112" t="s">
        <v>498</v>
      </c>
      <c r="F112" t="s">
        <v>510</v>
      </c>
      <c r="G112" t="s">
        <v>511</v>
      </c>
      <c r="H112" t="str">
        <f>+VLOOKUP(G112,'PITESAI corrisp Corine3 - Maes'!$A$2:$B$26,2,FALSE)</f>
        <v>Cropland</v>
      </c>
    </row>
    <row r="113" spans="1:8" x14ac:dyDescent="0.3">
      <c r="A113">
        <v>503</v>
      </c>
      <c r="B113" t="s">
        <v>668</v>
      </c>
      <c r="C113" t="s">
        <v>508</v>
      </c>
      <c r="D113" t="s">
        <v>534</v>
      </c>
      <c r="E113" t="s">
        <v>498</v>
      </c>
      <c r="F113" t="s">
        <v>669</v>
      </c>
      <c r="G113" t="s">
        <v>670</v>
      </c>
      <c r="H113" t="str">
        <f>+VLOOKUP(G113,'PITESAI corrisp Corine3 - Maes'!$A$2:$B$26,2,FALSE)</f>
        <v>Grassland</v>
      </c>
    </row>
    <row r="114" spans="1:8" x14ac:dyDescent="0.3">
      <c r="A114">
        <v>502</v>
      </c>
      <c r="B114" t="s">
        <v>671</v>
      </c>
      <c r="C114" t="s">
        <v>508</v>
      </c>
      <c r="D114" t="s">
        <v>534</v>
      </c>
      <c r="E114" t="s">
        <v>498</v>
      </c>
      <c r="F114" t="s">
        <v>669</v>
      </c>
      <c r="G114" t="s">
        <v>670</v>
      </c>
      <c r="H114" t="str">
        <f>+VLOOKUP(G114,'PITESAI corrisp Corine3 - Maes'!$A$2:$B$26,2,FALSE)</f>
        <v>Grassland</v>
      </c>
    </row>
    <row r="115" spans="1:8" x14ac:dyDescent="0.3">
      <c r="A115">
        <v>306</v>
      </c>
      <c r="B115" t="s">
        <v>672</v>
      </c>
      <c r="C115" t="s">
        <v>502</v>
      </c>
      <c r="D115" t="s">
        <v>502</v>
      </c>
      <c r="E115" t="s">
        <v>504</v>
      </c>
      <c r="F115" t="s">
        <v>567</v>
      </c>
      <c r="G115" t="s">
        <v>568</v>
      </c>
      <c r="H115" t="str">
        <f>+VLOOKUP(G115,'PITESAI corrisp Corine3 - Maes'!$A$2:$B$26,2,FALSE)</f>
        <v>Cropland</v>
      </c>
    </row>
    <row r="116" spans="1:8" x14ac:dyDescent="0.3">
      <c r="A116">
        <v>310</v>
      </c>
      <c r="B116" t="s">
        <v>673</v>
      </c>
      <c r="C116" t="s">
        <v>502</v>
      </c>
      <c r="D116" t="s">
        <v>502</v>
      </c>
      <c r="E116" t="s">
        <v>504</v>
      </c>
      <c r="F116" t="s">
        <v>505</v>
      </c>
      <c r="G116" t="s">
        <v>506</v>
      </c>
      <c r="H116" t="str">
        <f>+VLOOKUP(G116,'PITESAI corrisp Corine3 - Maes'!$A$2:$B$26,2,FALSE)</f>
        <v>Woodland and forest</v>
      </c>
    </row>
    <row r="117" spans="1:8" x14ac:dyDescent="0.3">
      <c r="A117">
        <v>309</v>
      </c>
      <c r="B117" t="s">
        <v>674</v>
      </c>
      <c r="C117" t="s">
        <v>502</v>
      </c>
      <c r="D117" t="s">
        <v>502</v>
      </c>
      <c r="E117" t="s">
        <v>504</v>
      </c>
      <c r="F117" t="s">
        <v>567</v>
      </c>
      <c r="G117" t="s">
        <v>568</v>
      </c>
      <c r="H117" t="str">
        <f>+VLOOKUP(G117,'PITESAI corrisp Corine3 - Maes'!$A$2:$B$26,2,FALSE)</f>
        <v>Cropland</v>
      </c>
    </row>
    <row r="118" spans="1:8" x14ac:dyDescent="0.3">
      <c r="A118">
        <v>307</v>
      </c>
      <c r="B118" t="s">
        <v>675</v>
      </c>
      <c r="C118" t="s">
        <v>502</v>
      </c>
      <c r="D118" t="s">
        <v>502</v>
      </c>
      <c r="E118" t="s">
        <v>504</v>
      </c>
      <c r="F118" t="s">
        <v>567</v>
      </c>
      <c r="G118" t="s">
        <v>568</v>
      </c>
      <c r="H118" t="str">
        <f>+VLOOKUP(G118,'PITESAI corrisp Corine3 - Maes'!$A$2:$B$26,2,FALSE)</f>
        <v>Cropland</v>
      </c>
    </row>
    <row r="119" spans="1:8" x14ac:dyDescent="0.3">
      <c r="A119">
        <v>308</v>
      </c>
      <c r="B119" t="s">
        <v>676</v>
      </c>
      <c r="C119" t="s">
        <v>502</v>
      </c>
      <c r="D119" t="s">
        <v>502</v>
      </c>
      <c r="E119" t="s">
        <v>504</v>
      </c>
      <c r="F119" t="s">
        <v>567</v>
      </c>
      <c r="G119" t="s">
        <v>568</v>
      </c>
      <c r="H119" t="str">
        <f>+VLOOKUP(G119,'PITESAI corrisp Corine3 - Maes'!$A$2:$B$26,2,FALSE)</f>
        <v>Cropland</v>
      </c>
    </row>
    <row r="120" spans="1:8" x14ac:dyDescent="0.3">
      <c r="A120">
        <v>321</v>
      </c>
      <c r="B120" t="s">
        <v>677</v>
      </c>
      <c r="C120" t="s">
        <v>633</v>
      </c>
      <c r="D120" t="s">
        <v>497</v>
      </c>
      <c r="E120" t="s">
        <v>498</v>
      </c>
      <c r="F120" t="s">
        <v>527</v>
      </c>
      <c r="G120" t="s">
        <v>528</v>
      </c>
      <c r="H120" t="str">
        <f>+VLOOKUP(G120,'PITESAI corrisp Corine3 - Maes'!$A$2:$B$26,2,FALSE)</f>
        <v>Cropland</v>
      </c>
    </row>
    <row r="121" spans="1:8" x14ac:dyDescent="0.3">
      <c r="A121">
        <v>374</v>
      </c>
      <c r="B121" t="s">
        <v>678</v>
      </c>
      <c r="C121" t="s">
        <v>542</v>
      </c>
      <c r="D121" t="s">
        <v>542</v>
      </c>
      <c r="E121" t="s">
        <v>498</v>
      </c>
      <c r="F121" t="s">
        <v>679</v>
      </c>
      <c r="G121" t="s">
        <v>680</v>
      </c>
      <c r="H121" t="str">
        <f>+VLOOKUP(G121,'PITESAI corrisp Corine3 - Maes'!$A$2:$B$26,2,FALSE)</f>
        <v>Cropland</v>
      </c>
    </row>
    <row r="122" spans="1:8" x14ac:dyDescent="0.3">
      <c r="A122">
        <v>367</v>
      </c>
      <c r="B122" t="s">
        <v>681</v>
      </c>
      <c r="C122" t="s">
        <v>542</v>
      </c>
      <c r="D122" t="s">
        <v>542</v>
      </c>
      <c r="E122" t="s">
        <v>498</v>
      </c>
      <c r="F122" t="s">
        <v>510</v>
      </c>
      <c r="G122" t="s">
        <v>511</v>
      </c>
      <c r="H122" t="str">
        <f>+VLOOKUP(G122,'PITESAI corrisp Corine3 - Maes'!$A$2:$B$26,2,FALSE)</f>
        <v>Cropland</v>
      </c>
    </row>
    <row r="123" spans="1:8" x14ac:dyDescent="0.3">
      <c r="A123">
        <v>384</v>
      </c>
      <c r="B123" t="s">
        <v>682</v>
      </c>
      <c r="C123" t="s">
        <v>542</v>
      </c>
      <c r="D123" t="s">
        <v>542</v>
      </c>
      <c r="E123" t="s">
        <v>498</v>
      </c>
      <c r="F123" t="s">
        <v>510</v>
      </c>
      <c r="G123" t="s">
        <v>511</v>
      </c>
      <c r="H123" t="str">
        <f>+VLOOKUP(G123,'PITESAI corrisp Corine3 - Maes'!$A$2:$B$26,2,FALSE)</f>
        <v>Cropland</v>
      </c>
    </row>
    <row r="124" spans="1:8" x14ac:dyDescent="0.3">
      <c r="A124">
        <v>382</v>
      </c>
      <c r="B124" t="s">
        <v>683</v>
      </c>
      <c r="C124" t="s">
        <v>542</v>
      </c>
      <c r="D124" t="s">
        <v>542</v>
      </c>
      <c r="E124" t="s">
        <v>498</v>
      </c>
      <c r="F124" t="s">
        <v>679</v>
      </c>
      <c r="G124" t="s">
        <v>680</v>
      </c>
      <c r="H124" t="str">
        <f>+VLOOKUP(G124,'PITESAI corrisp Corine3 - Maes'!$A$2:$B$26,2,FALSE)</f>
        <v>Cropland</v>
      </c>
    </row>
    <row r="125" spans="1:8" x14ac:dyDescent="0.3">
      <c r="A125">
        <v>380</v>
      </c>
      <c r="B125" t="s">
        <v>684</v>
      </c>
      <c r="C125" t="s">
        <v>542</v>
      </c>
      <c r="D125" t="s">
        <v>542</v>
      </c>
      <c r="E125" t="s">
        <v>498</v>
      </c>
      <c r="F125" t="s">
        <v>679</v>
      </c>
      <c r="G125" t="s">
        <v>680</v>
      </c>
      <c r="H125" t="str">
        <f>+VLOOKUP(G125,'PITESAI corrisp Corine3 - Maes'!$A$2:$B$26,2,FALSE)</f>
        <v>Cropland</v>
      </c>
    </row>
    <row r="126" spans="1:8" x14ac:dyDescent="0.3">
      <c r="A126">
        <v>379</v>
      </c>
      <c r="B126" t="s">
        <v>685</v>
      </c>
      <c r="C126" t="s">
        <v>542</v>
      </c>
      <c r="D126" t="s">
        <v>542</v>
      </c>
      <c r="E126" t="s">
        <v>498</v>
      </c>
      <c r="F126" t="s">
        <v>510</v>
      </c>
      <c r="G126" t="s">
        <v>511</v>
      </c>
      <c r="H126" t="str">
        <f>+VLOOKUP(G126,'PITESAI corrisp Corine3 - Maes'!$A$2:$B$26,2,FALSE)</f>
        <v>Cropland</v>
      </c>
    </row>
    <row r="127" spans="1:8" x14ac:dyDescent="0.3">
      <c r="A127">
        <v>378</v>
      </c>
      <c r="B127" t="s">
        <v>686</v>
      </c>
      <c r="C127" t="s">
        <v>542</v>
      </c>
      <c r="D127" t="s">
        <v>542</v>
      </c>
      <c r="E127" t="s">
        <v>498</v>
      </c>
      <c r="F127" t="s">
        <v>679</v>
      </c>
      <c r="G127" t="s">
        <v>680</v>
      </c>
      <c r="H127" t="str">
        <f>+VLOOKUP(G127,'PITESAI corrisp Corine3 - Maes'!$A$2:$B$26,2,FALSE)</f>
        <v>Cropland</v>
      </c>
    </row>
    <row r="128" spans="1:8" x14ac:dyDescent="0.3">
      <c r="A128">
        <v>386</v>
      </c>
      <c r="B128" t="s">
        <v>687</v>
      </c>
      <c r="C128" t="s">
        <v>542</v>
      </c>
      <c r="D128" t="s">
        <v>542</v>
      </c>
      <c r="E128" t="s">
        <v>498</v>
      </c>
      <c r="F128" t="s">
        <v>679</v>
      </c>
      <c r="G128" t="s">
        <v>680</v>
      </c>
      <c r="H128" t="str">
        <f>+VLOOKUP(G128,'PITESAI corrisp Corine3 - Maes'!$A$2:$B$26,2,FALSE)</f>
        <v>Cropland</v>
      </c>
    </row>
    <row r="129" spans="1:8" x14ac:dyDescent="0.3">
      <c r="A129">
        <v>375</v>
      </c>
      <c r="B129" t="s">
        <v>688</v>
      </c>
      <c r="C129" t="s">
        <v>542</v>
      </c>
      <c r="D129" t="s">
        <v>542</v>
      </c>
      <c r="E129" t="s">
        <v>498</v>
      </c>
      <c r="F129" t="s">
        <v>510</v>
      </c>
      <c r="G129" t="s">
        <v>511</v>
      </c>
      <c r="H129" t="str">
        <f>+VLOOKUP(G129,'PITESAI corrisp Corine3 - Maes'!$A$2:$B$26,2,FALSE)</f>
        <v>Cropland</v>
      </c>
    </row>
    <row r="130" spans="1:8" x14ac:dyDescent="0.3">
      <c r="A130">
        <v>387</v>
      </c>
      <c r="B130" t="s">
        <v>689</v>
      </c>
      <c r="C130" t="s">
        <v>542</v>
      </c>
      <c r="D130" t="s">
        <v>542</v>
      </c>
      <c r="E130" t="s">
        <v>498</v>
      </c>
      <c r="F130" t="s">
        <v>510</v>
      </c>
      <c r="G130" t="s">
        <v>511</v>
      </c>
      <c r="H130" t="str">
        <f>+VLOOKUP(G130,'PITESAI corrisp Corine3 - Maes'!$A$2:$B$26,2,FALSE)</f>
        <v>Cropland</v>
      </c>
    </row>
    <row r="131" spans="1:8" x14ac:dyDescent="0.3">
      <c r="A131">
        <v>373</v>
      </c>
      <c r="B131" t="s">
        <v>690</v>
      </c>
      <c r="C131" t="s">
        <v>542</v>
      </c>
      <c r="D131" t="s">
        <v>542</v>
      </c>
      <c r="E131" t="s">
        <v>498</v>
      </c>
      <c r="F131" t="s">
        <v>510</v>
      </c>
      <c r="G131" t="s">
        <v>511</v>
      </c>
      <c r="H131" t="str">
        <f>+VLOOKUP(G131,'PITESAI corrisp Corine3 - Maes'!$A$2:$B$26,2,FALSE)</f>
        <v>Cropland</v>
      </c>
    </row>
    <row r="132" spans="1:8" x14ac:dyDescent="0.3">
      <c r="A132">
        <v>372</v>
      </c>
      <c r="B132" t="s">
        <v>691</v>
      </c>
      <c r="C132" t="s">
        <v>542</v>
      </c>
      <c r="D132" t="s">
        <v>542</v>
      </c>
      <c r="E132" t="s">
        <v>498</v>
      </c>
      <c r="F132" t="s">
        <v>510</v>
      </c>
      <c r="G132" t="s">
        <v>511</v>
      </c>
      <c r="H132" t="str">
        <f>+VLOOKUP(G132,'PITESAI corrisp Corine3 - Maes'!$A$2:$B$26,2,FALSE)</f>
        <v>Cropland</v>
      </c>
    </row>
    <row r="133" spans="1:8" x14ac:dyDescent="0.3">
      <c r="A133">
        <v>371</v>
      </c>
      <c r="B133" t="s">
        <v>692</v>
      </c>
      <c r="C133" t="s">
        <v>542</v>
      </c>
      <c r="D133" t="s">
        <v>542</v>
      </c>
      <c r="E133" t="s">
        <v>498</v>
      </c>
      <c r="F133" t="s">
        <v>510</v>
      </c>
      <c r="G133" t="s">
        <v>511</v>
      </c>
      <c r="H133" t="str">
        <f>+VLOOKUP(G133,'PITESAI corrisp Corine3 - Maes'!$A$2:$B$26,2,FALSE)</f>
        <v>Cropland</v>
      </c>
    </row>
    <row r="134" spans="1:8" x14ac:dyDescent="0.3">
      <c r="A134">
        <v>370</v>
      </c>
      <c r="B134" t="s">
        <v>693</v>
      </c>
      <c r="C134" t="s">
        <v>542</v>
      </c>
      <c r="D134" t="s">
        <v>542</v>
      </c>
      <c r="E134" t="s">
        <v>498</v>
      </c>
      <c r="F134" t="s">
        <v>510</v>
      </c>
      <c r="G134" t="s">
        <v>511</v>
      </c>
      <c r="H134" t="str">
        <f>+VLOOKUP(G134,'PITESAI corrisp Corine3 - Maes'!$A$2:$B$26,2,FALSE)</f>
        <v>Cropland</v>
      </c>
    </row>
    <row r="135" spans="1:8" x14ac:dyDescent="0.3">
      <c r="A135">
        <v>369</v>
      </c>
      <c r="B135" t="s">
        <v>694</v>
      </c>
      <c r="C135" t="s">
        <v>542</v>
      </c>
      <c r="D135" t="s">
        <v>542</v>
      </c>
      <c r="E135" t="s">
        <v>498</v>
      </c>
      <c r="F135" t="s">
        <v>510</v>
      </c>
      <c r="G135" t="s">
        <v>511</v>
      </c>
      <c r="H135" t="str">
        <f>+VLOOKUP(G135,'PITESAI corrisp Corine3 - Maes'!$A$2:$B$26,2,FALSE)</f>
        <v>Cropland</v>
      </c>
    </row>
    <row r="136" spans="1:8" x14ac:dyDescent="0.3">
      <c r="A136">
        <v>376</v>
      </c>
      <c r="B136" t="s">
        <v>695</v>
      </c>
      <c r="C136" t="s">
        <v>542</v>
      </c>
      <c r="D136" t="s">
        <v>542</v>
      </c>
      <c r="E136" t="s">
        <v>498</v>
      </c>
      <c r="F136" t="s">
        <v>510</v>
      </c>
      <c r="G136" t="s">
        <v>511</v>
      </c>
      <c r="H136" t="str">
        <f>+VLOOKUP(G136,'PITESAI corrisp Corine3 - Maes'!$A$2:$B$26,2,FALSE)</f>
        <v>Cropland</v>
      </c>
    </row>
    <row r="137" spans="1:8" x14ac:dyDescent="0.3">
      <c r="A137">
        <v>395</v>
      </c>
      <c r="B137" t="s">
        <v>696</v>
      </c>
      <c r="C137" t="s">
        <v>542</v>
      </c>
      <c r="D137" t="s">
        <v>542</v>
      </c>
      <c r="E137" t="s">
        <v>498</v>
      </c>
      <c r="F137" t="s">
        <v>510</v>
      </c>
      <c r="G137" t="s">
        <v>511</v>
      </c>
      <c r="H137" t="str">
        <f>+VLOOKUP(G137,'PITESAI corrisp Corine3 - Maes'!$A$2:$B$26,2,FALSE)</f>
        <v>Cropland</v>
      </c>
    </row>
    <row r="138" spans="1:8" x14ac:dyDescent="0.3">
      <c r="A138">
        <v>403</v>
      </c>
      <c r="B138" t="s">
        <v>697</v>
      </c>
      <c r="C138" t="s">
        <v>542</v>
      </c>
      <c r="D138" t="s">
        <v>542</v>
      </c>
      <c r="E138" t="s">
        <v>498</v>
      </c>
      <c r="F138" t="s">
        <v>510</v>
      </c>
      <c r="G138" t="s">
        <v>511</v>
      </c>
      <c r="H138" t="str">
        <f>+VLOOKUP(G138,'PITESAI corrisp Corine3 - Maes'!$A$2:$B$26,2,FALSE)</f>
        <v>Cropland</v>
      </c>
    </row>
    <row r="139" spans="1:8" x14ac:dyDescent="0.3">
      <c r="A139">
        <v>402</v>
      </c>
      <c r="B139" t="s">
        <v>698</v>
      </c>
      <c r="C139" t="s">
        <v>542</v>
      </c>
      <c r="D139" t="s">
        <v>542</v>
      </c>
      <c r="E139" t="s">
        <v>498</v>
      </c>
      <c r="F139" t="s">
        <v>679</v>
      </c>
      <c r="G139" t="s">
        <v>680</v>
      </c>
      <c r="H139" t="str">
        <f>+VLOOKUP(G139,'PITESAI corrisp Corine3 - Maes'!$A$2:$B$26,2,FALSE)</f>
        <v>Cropland</v>
      </c>
    </row>
    <row r="140" spans="1:8" x14ac:dyDescent="0.3">
      <c r="A140">
        <v>401</v>
      </c>
      <c r="B140" t="s">
        <v>699</v>
      </c>
      <c r="C140" t="s">
        <v>542</v>
      </c>
      <c r="D140" t="s">
        <v>542</v>
      </c>
      <c r="E140" t="s">
        <v>498</v>
      </c>
      <c r="F140" t="s">
        <v>679</v>
      </c>
      <c r="G140" t="s">
        <v>680</v>
      </c>
      <c r="H140" t="str">
        <f>+VLOOKUP(G140,'PITESAI corrisp Corine3 - Maes'!$A$2:$B$26,2,FALSE)</f>
        <v>Cropland</v>
      </c>
    </row>
    <row r="141" spans="1:8" x14ac:dyDescent="0.3">
      <c r="A141">
        <v>400</v>
      </c>
      <c r="B141" t="s">
        <v>700</v>
      </c>
      <c r="C141" t="s">
        <v>542</v>
      </c>
      <c r="D141" t="s">
        <v>542</v>
      </c>
      <c r="E141" t="s">
        <v>498</v>
      </c>
      <c r="F141" t="s">
        <v>679</v>
      </c>
      <c r="G141" t="s">
        <v>680</v>
      </c>
      <c r="H141" t="str">
        <f>+VLOOKUP(G141,'PITESAI corrisp Corine3 - Maes'!$A$2:$B$26,2,FALSE)</f>
        <v>Cropland</v>
      </c>
    </row>
    <row r="142" spans="1:8" x14ac:dyDescent="0.3">
      <c r="A142">
        <v>399</v>
      </c>
      <c r="B142" t="s">
        <v>701</v>
      </c>
      <c r="C142" t="s">
        <v>542</v>
      </c>
      <c r="D142" t="s">
        <v>542</v>
      </c>
      <c r="E142" t="s">
        <v>498</v>
      </c>
      <c r="F142" t="s">
        <v>679</v>
      </c>
      <c r="G142" t="s">
        <v>680</v>
      </c>
      <c r="H142" t="str">
        <f>+VLOOKUP(G142,'PITESAI corrisp Corine3 - Maes'!$A$2:$B$26,2,FALSE)</f>
        <v>Cropland</v>
      </c>
    </row>
    <row r="143" spans="1:8" x14ac:dyDescent="0.3">
      <c r="A143">
        <v>398</v>
      </c>
      <c r="B143" t="s">
        <v>702</v>
      </c>
      <c r="C143" t="s">
        <v>542</v>
      </c>
      <c r="D143" t="s">
        <v>542</v>
      </c>
      <c r="E143" t="s">
        <v>498</v>
      </c>
      <c r="F143" t="s">
        <v>510</v>
      </c>
      <c r="G143" t="s">
        <v>511</v>
      </c>
      <c r="H143" t="str">
        <f>+VLOOKUP(G143,'PITESAI corrisp Corine3 - Maes'!$A$2:$B$26,2,FALSE)</f>
        <v>Cropland</v>
      </c>
    </row>
    <row r="144" spans="1:8" x14ac:dyDescent="0.3">
      <c r="A144">
        <v>385</v>
      </c>
      <c r="B144" t="s">
        <v>703</v>
      </c>
      <c r="C144" t="s">
        <v>542</v>
      </c>
      <c r="D144" t="s">
        <v>542</v>
      </c>
      <c r="E144" t="s">
        <v>498</v>
      </c>
      <c r="F144" t="s">
        <v>679</v>
      </c>
      <c r="G144" t="s">
        <v>680</v>
      </c>
      <c r="H144" t="str">
        <f>+VLOOKUP(G144,'PITESAI corrisp Corine3 - Maes'!$A$2:$B$26,2,FALSE)</f>
        <v>Cropland</v>
      </c>
    </row>
    <row r="145" spans="1:8" x14ac:dyDescent="0.3">
      <c r="A145">
        <v>396</v>
      </c>
      <c r="B145" t="s">
        <v>704</v>
      </c>
      <c r="C145" t="s">
        <v>542</v>
      </c>
      <c r="D145" t="s">
        <v>542</v>
      </c>
      <c r="E145" t="s">
        <v>498</v>
      </c>
      <c r="F145" t="s">
        <v>510</v>
      </c>
      <c r="G145" t="s">
        <v>511</v>
      </c>
      <c r="H145" t="str">
        <f>+VLOOKUP(G145,'PITESAI corrisp Corine3 - Maes'!$A$2:$B$26,2,FALSE)</f>
        <v>Cropland</v>
      </c>
    </row>
    <row r="146" spans="1:8" x14ac:dyDescent="0.3">
      <c r="A146">
        <v>365</v>
      </c>
      <c r="B146" t="s">
        <v>705</v>
      </c>
      <c r="C146" t="s">
        <v>542</v>
      </c>
      <c r="D146" t="s">
        <v>542</v>
      </c>
      <c r="E146" t="s">
        <v>498</v>
      </c>
      <c r="F146" t="s">
        <v>510</v>
      </c>
      <c r="G146" t="s">
        <v>511</v>
      </c>
      <c r="H146" t="str">
        <f>+VLOOKUP(G146,'PITESAI corrisp Corine3 - Maes'!$A$2:$B$26,2,FALSE)</f>
        <v>Cropland</v>
      </c>
    </row>
    <row r="147" spans="1:8" x14ac:dyDescent="0.3">
      <c r="A147">
        <v>393</v>
      </c>
      <c r="B147" t="s">
        <v>706</v>
      </c>
      <c r="C147" t="s">
        <v>542</v>
      </c>
      <c r="D147" t="s">
        <v>542</v>
      </c>
      <c r="E147" t="s">
        <v>498</v>
      </c>
      <c r="F147" t="s">
        <v>510</v>
      </c>
      <c r="G147" t="s">
        <v>511</v>
      </c>
      <c r="H147" t="str">
        <f>+VLOOKUP(G147,'PITESAI corrisp Corine3 - Maes'!$A$2:$B$26,2,FALSE)</f>
        <v>Cropland</v>
      </c>
    </row>
    <row r="148" spans="1:8" x14ac:dyDescent="0.3">
      <c r="A148">
        <v>392</v>
      </c>
      <c r="B148" t="s">
        <v>707</v>
      </c>
      <c r="C148" t="s">
        <v>542</v>
      </c>
      <c r="D148" t="s">
        <v>542</v>
      </c>
      <c r="E148" t="s">
        <v>498</v>
      </c>
      <c r="F148" t="s">
        <v>510</v>
      </c>
      <c r="G148" t="s">
        <v>511</v>
      </c>
      <c r="H148" t="str">
        <f>+VLOOKUP(G148,'PITESAI corrisp Corine3 - Maes'!$A$2:$B$26,2,FALSE)</f>
        <v>Cropland</v>
      </c>
    </row>
    <row r="149" spans="1:8" x14ac:dyDescent="0.3">
      <c r="A149">
        <v>391</v>
      </c>
      <c r="B149" t="s">
        <v>708</v>
      </c>
      <c r="C149" t="s">
        <v>542</v>
      </c>
      <c r="D149" t="s">
        <v>542</v>
      </c>
      <c r="E149" t="s">
        <v>498</v>
      </c>
      <c r="F149" t="s">
        <v>510</v>
      </c>
      <c r="G149" t="s">
        <v>511</v>
      </c>
      <c r="H149" t="str">
        <f>+VLOOKUP(G149,'PITESAI corrisp Corine3 - Maes'!$A$2:$B$26,2,FALSE)</f>
        <v>Cropland</v>
      </c>
    </row>
    <row r="150" spans="1:8" x14ac:dyDescent="0.3">
      <c r="A150">
        <v>390</v>
      </c>
      <c r="B150" t="s">
        <v>709</v>
      </c>
      <c r="C150" t="s">
        <v>542</v>
      </c>
      <c r="D150" t="s">
        <v>542</v>
      </c>
      <c r="E150" t="s">
        <v>498</v>
      </c>
      <c r="F150" t="s">
        <v>510</v>
      </c>
      <c r="G150" t="s">
        <v>511</v>
      </c>
      <c r="H150" t="str">
        <f>+VLOOKUP(G150,'PITESAI corrisp Corine3 - Maes'!$A$2:$B$26,2,FALSE)</f>
        <v>Cropland</v>
      </c>
    </row>
    <row r="151" spans="1:8" x14ac:dyDescent="0.3">
      <c r="A151">
        <v>389</v>
      </c>
      <c r="B151" t="s">
        <v>710</v>
      </c>
      <c r="C151" t="s">
        <v>542</v>
      </c>
      <c r="D151" t="s">
        <v>542</v>
      </c>
      <c r="E151" t="s">
        <v>498</v>
      </c>
      <c r="F151" t="s">
        <v>510</v>
      </c>
      <c r="G151" t="s">
        <v>511</v>
      </c>
      <c r="H151" t="str">
        <f>+VLOOKUP(G151,'PITESAI corrisp Corine3 - Maes'!$A$2:$B$26,2,FALSE)</f>
        <v>Cropland</v>
      </c>
    </row>
    <row r="152" spans="1:8" x14ac:dyDescent="0.3">
      <c r="A152">
        <v>388</v>
      </c>
      <c r="B152" t="s">
        <v>711</v>
      </c>
      <c r="C152" t="s">
        <v>542</v>
      </c>
      <c r="D152" t="s">
        <v>542</v>
      </c>
      <c r="E152" t="s">
        <v>498</v>
      </c>
      <c r="F152" t="s">
        <v>510</v>
      </c>
      <c r="G152" t="s">
        <v>511</v>
      </c>
      <c r="H152" t="str">
        <f>+VLOOKUP(G152,'PITESAI corrisp Corine3 - Maes'!$A$2:$B$26,2,FALSE)</f>
        <v>Cropland</v>
      </c>
    </row>
    <row r="153" spans="1:8" x14ac:dyDescent="0.3">
      <c r="A153">
        <v>397</v>
      </c>
      <c r="B153" t="s">
        <v>712</v>
      </c>
      <c r="C153" t="s">
        <v>542</v>
      </c>
      <c r="D153" t="s">
        <v>542</v>
      </c>
      <c r="E153" t="s">
        <v>498</v>
      </c>
      <c r="F153" t="s">
        <v>510</v>
      </c>
      <c r="G153" t="s">
        <v>511</v>
      </c>
      <c r="H153" t="str">
        <f>+VLOOKUP(G153,'PITESAI corrisp Corine3 - Maes'!$A$2:$B$26,2,FALSE)</f>
        <v>Cropland</v>
      </c>
    </row>
    <row r="154" spans="1:8" x14ac:dyDescent="0.3">
      <c r="A154">
        <v>368</v>
      </c>
      <c r="B154" t="s">
        <v>713</v>
      </c>
      <c r="C154" t="s">
        <v>542</v>
      </c>
      <c r="D154" t="s">
        <v>542</v>
      </c>
      <c r="E154" t="s">
        <v>498</v>
      </c>
      <c r="F154" t="s">
        <v>510</v>
      </c>
      <c r="G154" t="s">
        <v>511</v>
      </c>
      <c r="H154" t="str">
        <f>+VLOOKUP(G154,'PITESAI corrisp Corine3 - Maes'!$A$2:$B$26,2,FALSE)</f>
        <v>Cropland</v>
      </c>
    </row>
    <row r="155" spans="1:8" x14ac:dyDescent="0.3">
      <c r="A155">
        <v>364</v>
      </c>
      <c r="B155" t="s">
        <v>714</v>
      </c>
      <c r="C155" t="s">
        <v>542</v>
      </c>
      <c r="D155" t="s">
        <v>542</v>
      </c>
      <c r="E155" t="s">
        <v>498</v>
      </c>
      <c r="F155" t="s">
        <v>510</v>
      </c>
      <c r="G155" t="s">
        <v>511</v>
      </c>
      <c r="H155" t="str">
        <f>+VLOOKUP(G155,'PITESAI corrisp Corine3 - Maes'!$A$2:$B$26,2,FALSE)</f>
        <v>Cropland</v>
      </c>
    </row>
    <row r="156" spans="1:8" x14ac:dyDescent="0.3">
      <c r="A156">
        <v>363</v>
      </c>
      <c r="B156" t="s">
        <v>715</v>
      </c>
      <c r="C156" t="s">
        <v>508</v>
      </c>
      <c r="D156" t="s">
        <v>716</v>
      </c>
      <c r="E156" t="s">
        <v>498</v>
      </c>
      <c r="F156" t="s">
        <v>717</v>
      </c>
      <c r="G156" t="s">
        <v>506</v>
      </c>
      <c r="H156" t="str">
        <f>+VLOOKUP(G156,'PITESAI corrisp Corine3 - Maes'!$A$2:$B$26,2,FALSE)</f>
        <v>Woodland and forest</v>
      </c>
    </row>
    <row r="157" spans="1:8" x14ac:dyDescent="0.3">
      <c r="A157">
        <v>351</v>
      </c>
      <c r="B157" t="s">
        <v>718</v>
      </c>
      <c r="C157" t="s">
        <v>633</v>
      </c>
      <c r="D157" t="s">
        <v>514</v>
      </c>
      <c r="E157" t="s">
        <v>498</v>
      </c>
      <c r="F157" t="s">
        <v>505</v>
      </c>
      <c r="G157" t="s">
        <v>506</v>
      </c>
      <c r="H157" t="str">
        <f>+VLOOKUP(G157,'PITESAI corrisp Corine3 - Maes'!$A$2:$B$26,2,FALSE)</f>
        <v>Woodland and forest</v>
      </c>
    </row>
    <row r="158" spans="1:8" x14ac:dyDescent="0.3">
      <c r="A158">
        <v>1414</v>
      </c>
      <c r="B158" t="s">
        <v>719</v>
      </c>
      <c r="C158" t="s">
        <v>720</v>
      </c>
      <c r="D158" t="s">
        <v>721</v>
      </c>
      <c r="E158" t="s">
        <v>504</v>
      </c>
      <c r="F158" t="s">
        <v>515</v>
      </c>
      <c r="G158" t="s">
        <v>506</v>
      </c>
      <c r="H158" t="str">
        <f>+VLOOKUP(G158,'PITESAI corrisp Corine3 - Maes'!$A$2:$B$26,2,FALSE)</f>
        <v>Woodland and forest</v>
      </c>
    </row>
    <row r="159" spans="1:8" x14ac:dyDescent="0.3">
      <c r="A159">
        <v>1406</v>
      </c>
      <c r="B159" t="s">
        <v>722</v>
      </c>
      <c r="C159" t="s">
        <v>720</v>
      </c>
      <c r="D159" t="s">
        <v>723</v>
      </c>
      <c r="E159" t="s">
        <v>504</v>
      </c>
      <c r="F159" t="s">
        <v>515</v>
      </c>
      <c r="G159" t="s">
        <v>506</v>
      </c>
      <c r="H159" t="str">
        <f>+VLOOKUP(G159,'PITESAI corrisp Corine3 - Maes'!$A$2:$B$26,2,FALSE)</f>
        <v>Woodland and forest</v>
      </c>
    </row>
    <row r="160" spans="1:8" x14ac:dyDescent="0.3">
      <c r="A160">
        <v>1407</v>
      </c>
      <c r="B160" t="s">
        <v>724</v>
      </c>
      <c r="C160" t="s">
        <v>720</v>
      </c>
      <c r="D160" t="s">
        <v>723</v>
      </c>
      <c r="E160" t="s">
        <v>504</v>
      </c>
      <c r="F160" t="s">
        <v>567</v>
      </c>
      <c r="G160" t="s">
        <v>568</v>
      </c>
      <c r="H160" t="str">
        <f>+VLOOKUP(G160,'PITESAI corrisp Corine3 - Maes'!$A$2:$B$26,2,FALSE)</f>
        <v>Cropland</v>
      </c>
    </row>
    <row r="161" spans="1:8" x14ac:dyDescent="0.3">
      <c r="A161">
        <v>1408</v>
      </c>
      <c r="B161" t="s">
        <v>725</v>
      </c>
      <c r="C161" t="s">
        <v>720</v>
      </c>
      <c r="D161" t="s">
        <v>723</v>
      </c>
      <c r="E161" t="s">
        <v>504</v>
      </c>
      <c r="F161" t="s">
        <v>515</v>
      </c>
      <c r="G161" t="s">
        <v>506</v>
      </c>
      <c r="H161" t="str">
        <f>+VLOOKUP(G161,'PITESAI corrisp Corine3 - Maes'!$A$2:$B$26,2,FALSE)</f>
        <v>Woodland and forest</v>
      </c>
    </row>
    <row r="162" spans="1:8" x14ac:dyDescent="0.3">
      <c r="A162">
        <v>1409</v>
      </c>
      <c r="B162" t="s">
        <v>726</v>
      </c>
      <c r="C162" t="s">
        <v>720</v>
      </c>
      <c r="D162" t="s">
        <v>723</v>
      </c>
      <c r="E162" t="s">
        <v>504</v>
      </c>
      <c r="F162" t="s">
        <v>515</v>
      </c>
      <c r="G162" t="s">
        <v>506</v>
      </c>
      <c r="H162" t="str">
        <f>+VLOOKUP(G162,'PITESAI corrisp Corine3 - Maes'!$A$2:$B$26,2,FALSE)</f>
        <v>Woodland and forest</v>
      </c>
    </row>
    <row r="163" spans="1:8" x14ac:dyDescent="0.3">
      <c r="A163">
        <v>1410</v>
      </c>
      <c r="B163" t="s">
        <v>727</v>
      </c>
      <c r="C163" t="s">
        <v>720</v>
      </c>
      <c r="D163" t="s">
        <v>728</v>
      </c>
      <c r="E163" t="s">
        <v>504</v>
      </c>
      <c r="F163" t="s">
        <v>515</v>
      </c>
      <c r="G163" t="s">
        <v>506</v>
      </c>
      <c r="H163" t="str">
        <f>+VLOOKUP(G163,'PITESAI corrisp Corine3 - Maes'!$A$2:$B$26,2,FALSE)</f>
        <v>Woodland and forest</v>
      </c>
    </row>
    <row r="164" spans="1:8" x14ac:dyDescent="0.3">
      <c r="A164">
        <v>1411</v>
      </c>
      <c r="B164" t="s">
        <v>729</v>
      </c>
      <c r="C164" t="s">
        <v>720</v>
      </c>
      <c r="D164" t="s">
        <v>728</v>
      </c>
      <c r="E164" t="s">
        <v>504</v>
      </c>
      <c r="F164" t="s">
        <v>515</v>
      </c>
      <c r="G164" t="s">
        <v>506</v>
      </c>
      <c r="H164" t="str">
        <f>+VLOOKUP(G164,'PITESAI corrisp Corine3 - Maes'!$A$2:$B$26,2,FALSE)</f>
        <v>Woodland and forest</v>
      </c>
    </row>
    <row r="165" spans="1:8" x14ac:dyDescent="0.3">
      <c r="A165">
        <v>1308</v>
      </c>
      <c r="B165" t="s">
        <v>730</v>
      </c>
      <c r="C165" t="s">
        <v>731</v>
      </c>
      <c r="D165" t="s">
        <v>732</v>
      </c>
      <c r="E165" t="s">
        <v>504</v>
      </c>
      <c r="F165" t="s">
        <v>515</v>
      </c>
      <c r="G165" t="s">
        <v>506</v>
      </c>
      <c r="H165" t="str">
        <f>+VLOOKUP(G165,'PITESAI corrisp Corine3 - Maes'!$A$2:$B$26,2,FALSE)</f>
        <v>Woodland and forest</v>
      </c>
    </row>
    <row r="166" spans="1:8" x14ac:dyDescent="0.3">
      <c r="A166">
        <v>1413</v>
      </c>
      <c r="B166" t="s">
        <v>733</v>
      </c>
      <c r="C166" t="s">
        <v>720</v>
      </c>
      <c r="D166" t="s">
        <v>721</v>
      </c>
      <c r="E166" t="s">
        <v>504</v>
      </c>
      <c r="F166" t="s">
        <v>734</v>
      </c>
      <c r="G166" t="s">
        <v>735</v>
      </c>
      <c r="H166" t="str">
        <f>+VLOOKUP(G166,'PITESAI corrisp Corine3 - Maes'!$A$2:$B$26,2,FALSE)</f>
        <v>Urban</v>
      </c>
    </row>
    <row r="167" spans="1:8" x14ac:dyDescent="0.3">
      <c r="A167">
        <v>1403</v>
      </c>
      <c r="B167" t="s">
        <v>736</v>
      </c>
      <c r="C167" t="s">
        <v>720</v>
      </c>
      <c r="D167" t="s">
        <v>723</v>
      </c>
      <c r="E167" t="s">
        <v>504</v>
      </c>
      <c r="F167" t="s">
        <v>515</v>
      </c>
      <c r="G167" t="s">
        <v>506</v>
      </c>
      <c r="H167" t="str">
        <f>+VLOOKUP(G167,'PITESAI corrisp Corine3 - Maes'!$A$2:$B$26,2,FALSE)</f>
        <v>Woodland and forest</v>
      </c>
    </row>
    <row r="168" spans="1:8" x14ac:dyDescent="0.3">
      <c r="A168">
        <v>1415</v>
      </c>
      <c r="B168" t="s">
        <v>737</v>
      </c>
      <c r="C168" t="s">
        <v>720</v>
      </c>
      <c r="D168" t="s">
        <v>721</v>
      </c>
      <c r="E168" t="s">
        <v>504</v>
      </c>
      <c r="F168" t="s">
        <v>567</v>
      </c>
      <c r="G168" t="s">
        <v>568</v>
      </c>
      <c r="H168" t="str">
        <f>+VLOOKUP(G168,'PITESAI corrisp Corine3 - Maes'!$A$2:$B$26,2,FALSE)</f>
        <v>Cropland</v>
      </c>
    </row>
    <row r="169" spans="1:8" x14ac:dyDescent="0.3">
      <c r="A169">
        <v>1416</v>
      </c>
      <c r="B169" t="s">
        <v>738</v>
      </c>
      <c r="C169" t="s">
        <v>720</v>
      </c>
      <c r="D169" t="s">
        <v>721</v>
      </c>
      <c r="E169" t="s">
        <v>504</v>
      </c>
      <c r="F169" t="s">
        <v>640</v>
      </c>
      <c r="G169" t="s">
        <v>641</v>
      </c>
      <c r="H169" t="str">
        <f>+VLOOKUP(G169,'PITESAI corrisp Corine3 - Maes'!$A$2:$B$26,2,FALSE)</f>
        <v>Urban</v>
      </c>
    </row>
    <row r="170" spans="1:8" x14ac:dyDescent="0.3">
      <c r="A170">
        <v>1417</v>
      </c>
      <c r="B170" t="s">
        <v>739</v>
      </c>
      <c r="C170" t="s">
        <v>720</v>
      </c>
      <c r="D170" t="s">
        <v>721</v>
      </c>
      <c r="E170" t="s">
        <v>504</v>
      </c>
      <c r="F170" t="s">
        <v>640</v>
      </c>
      <c r="G170" t="s">
        <v>641</v>
      </c>
      <c r="H170" t="str">
        <f>+VLOOKUP(G170,'PITESAI corrisp Corine3 - Maes'!$A$2:$B$26,2,FALSE)</f>
        <v>Urban</v>
      </c>
    </row>
    <row r="171" spans="1:8" x14ac:dyDescent="0.3">
      <c r="A171">
        <v>1418</v>
      </c>
      <c r="B171" t="s">
        <v>740</v>
      </c>
      <c r="C171" t="s">
        <v>720</v>
      </c>
      <c r="D171" t="s">
        <v>721</v>
      </c>
      <c r="E171" t="s">
        <v>504</v>
      </c>
      <c r="F171" t="s">
        <v>640</v>
      </c>
      <c r="G171" t="s">
        <v>641</v>
      </c>
      <c r="H171" t="str">
        <f>+VLOOKUP(G171,'PITESAI corrisp Corine3 - Maes'!$A$2:$B$26,2,FALSE)</f>
        <v>Urban</v>
      </c>
    </row>
    <row r="172" spans="1:8" x14ac:dyDescent="0.3">
      <c r="A172">
        <v>1419</v>
      </c>
      <c r="B172" t="s">
        <v>741</v>
      </c>
      <c r="C172" t="s">
        <v>720</v>
      </c>
      <c r="D172" t="s">
        <v>721</v>
      </c>
      <c r="E172" t="s">
        <v>504</v>
      </c>
      <c r="F172" t="s">
        <v>567</v>
      </c>
      <c r="G172" t="s">
        <v>568</v>
      </c>
      <c r="H172" t="str">
        <f>+VLOOKUP(G172,'PITESAI corrisp Corine3 - Maes'!$A$2:$B$26,2,FALSE)</f>
        <v>Cropland</v>
      </c>
    </row>
    <row r="173" spans="1:8" x14ac:dyDescent="0.3">
      <c r="A173">
        <v>1420</v>
      </c>
      <c r="B173" t="s">
        <v>742</v>
      </c>
      <c r="C173" t="s">
        <v>720</v>
      </c>
      <c r="D173" t="s">
        <v>721</v>
      </c>
      <c r="E173" t="s">
        <v>504</v>
      </c>
      <c r="F173" t="s">
        <v>515</v>
      </c>
      <c r="G173" t="s">
        <v>506</v>
      </c>
      <c r="H173" t="str">
        <f>+VLOOKUP(G173,'PITESAI corrisp Corine3 - Maes'!$A$2:$B$26,2,FALSE)</f>
        <v>Woodland and forest</v>
      </c>
    </row>
    <row r="174" spans="1:8" x14ac:dyDescent="0.3">
      <c r="A174">
        <v>1421</v>
      </c>
      <c r="B174" t="s">
        <v>743</v>
      </c>
      <c r="C174" t="s">
        <v>720</v>
      </c>
      <c r="D174" t="s">
        <v>721</v>
      </c>
      <c r="E174" t="s">
        <v>504</v>
      </c>
      <c r="F174" t="s">
        <v>734</v>
      </c>
      <c r="G174" t="s">
        <v>735</v>
      </c>
      <c r="H174" t="str">
        <f>+VLOOKUP(G174,'PITESAI corrisp Corine3 - Maes'!$A$2:$B$26,2,FALSE)</f>
        <v>Urban</v>
      </c>
    </row>
    <row r="175" spans="1:8" x14ac:dyDescent="0.3">
      <c r="A175">
        <v>1412</v>
      </c>
      <c r="B175" t="s">
        <v>744</v>
      </c>
      <c r="C175" t="s">
        <v>720</v>
      </c>
      <c r="D175" t="s">
        <v>728</v>
      </c>
      <c r="E175" t="s">
        <v>504</v>
      </c>
      <c r="F175" t="s">
        <v>567</v>
      </c>
      <c r="G175" t="s">
        <v>568</v>
      </c>
      <c r="H175" t="str">
        <f>+VLOOKUP(G175,'PITESAI corrisp Corine3 - Maes'!$A$2:$B$26,2,FALSE)</f>
        <v>Cropland</v>
      </c>
    </row>
    <row r="176" spans="1:8" x14ac:dyDescent="0.3">
      <c r="A176">
        <v>1396</v>
      </c>
      <c r="B176" t="s">
        <v>745</v>
      </c>
      <c r="C176" t="s">
        <v>720</v>
      </c>
      <c r="D176" t="s">
        <v>723</v>
      </c>
      <c r="E176" t="s">
        <v>504</v>
      </c>
      <c r="F176" t="s">
        <v>567</v>
      </c>
      <c r="G176" t="s">
        <v>568</v>
      </c>
      <c r="H176" t="str">
        <f>+VLOOKUP(G176,'PITESAI corrisp Corine3 - Maes'!$A$2:$B$26,2,FALSE)</f>
        <v>Cropland</v>
      </c>
    </row>
    <row r="177" spans="1:8" x14ac:dyDescent="0.3">
      <c r="A177">
        <v>1387</v>
      </c>
      <c r="B177" t="s">
        <v>746</v>
      </c>
      <c r="C177" t="s">
        <v>720</v>
      </c>
      <c r="D177" t="s">
        <v>723</v>
      </c>
      <c r="E177" t="s">
        <v>504</v>
      </c>
      <c r="F177" t="s">
        <v>567</v>
      </c>
      <c r="G177" t="s">
        <v>568</v>
      </c>
      <c r="H177" t="str">
        <f>+VLOOKUP(G177,'PITESAI corrisp Corine3 - Maes'!$A$2:$B$26,2,FALSE)</f>
        <v>Cropland</v>
      </c>
    </row>
    <row r="178" spans="1:8" x14ac:dyDescent="0.3">
      <c r="A178">
        <v>1388</v>
      </c>
      <c r="B178" t="s">
        <v>747</v>
      </c>
      <c r="C178" t="s">
        <v>720</v>
      </c>
      <c r="D178" t="s">
        <v>723</v>
      </c>
      <c r="E178" t="s">
        <v>504</v>
      </c>
      <c r="F178" t="s">
        <v>515</v>
      </c>
      <c r="G178" t="s">
        <v>506</v>
      </c>
      <c r="H178" t="str">
        <f>+VLOOKUP(G178,'PITESAI corrisp Corine3 - Maes'!$A$2:$B$26,2,FALSE)</f>
        <v>Woodland and forest</v>
      </c>
    </row>
    <row r="179" spans="1:8" x14ac:dyDescent="0.3">
      <c r="A179">
        <v>1389</v>
      </c>
      <c r="B179" t="s">
        <v>748</v>
      </c>
      <c r="C179" t="s">
        <v>720</v>
      </c>
      <c r="D179" t="s">
        <v>723</v>
      </c>
      <c r="E179" t="s">
        <v>504</v>
      </c>
      <c r="F179" t="s">
        <v>567</v>
      </c>
      <c r="G179" t="s">
        <v>568</v>
      </c>
      <c r="H179" t="str">
        <f>+VLOOKUP(G179,'PITESAI corrisp Corine3 - Maes'!$A$2:$B$26,2,FALSE)</f>
        <v>Cropland</v>
      </c>
    </row>
    <row r="180" spans="1:8" x14ac:dyDescent="0.3">
      <c r="A180">
        <v>1390</v>
      </c>
      <c r="B180" t="s">
        <v>749</v>
      </c>
      <c r="C180" t="s">
        <v>720</v>
      </c>
      <c r="D180" t="s">
        <v>723</v>
      </c>
      <c r="E180" t="s">
        <v>504</v>
      </c>
      <c r="F180" t="s">
        <v>515</v>
      </c>
      <c r="G180" t="s">
        <v>506</v>
      </c>
      <c r="H180" t="str">
        <f>+VLOOKUP(G180,'PITESAI corrisp Corine3 - Maes'!$A$2:$B$26,2,FALSE)</f>
        <v>Woodland and forest</v>
      </c>
    </row>
    <row r="181" spans="1:8" x14ac:dyDescent="0.3">
      <c r="A181">
        <v>1391</v>
      </c>
      <c r="B181" t="s">
        <v>750</v>
      </c>
      <c r="C181" t="s">
        <v>720</v>
      </c>
      <c r="D181" t="s">
        <v>723</v>
      </c>
      <c r="E181" t="s">
        <v>504</v>
      </c>
      <c r="F181" t="s">
        <v>567</v>
      </c>
      <c r="G181" t="s">
        <v>568</v>
      </c>
      <c r="H181" t="str">
        <f>+VLOOKUP(G181,'PITESAI corrisp Corine3 - Maes'!$A$2:$B$26,2,FALSE)</f>
        <v>Cropland</v>
      </c>
    </row>
    <row r="182" spans="1:8" x14ac:dyDescent="0.3">
      <c r="A182">
        <v>1392</v>
      </c>
      <c r="B182" t="s">
        <v>751</v>
      </c>
      <c r="C182" t="s">
        <v>720</v>
      </c>
      <c r="D182" t="s">
        <v>723</v>
      </c>
      <c r="E182" t="s">
        <v>504</v>
      </c>
      <c r="F182" t="s">
        <v>567</v>
      </c>
      <c r="G182" t="s">
        <v>568</v>
      </c>
      <c r="H182" t="str">
        <f>+VLOOKUP(G182,'PITESAI corrisp Corine3 - Maes'!$A$2:$B$26,2,FALSE)</f>
        <v>Cropland</v>
      </c>
    </row>
    <row r="183" spans="1:8" x14ac:dyDescent="0.3">
      <c r="A183">
        <v>1393</v>
      </c>
      <c r="B183" t="s">
        <v>752</v>
      </c>
      <c r="C183" t="s">
        <v>720</v>
      </c>
      <c r="D183" t="s">
        <v>723</v>
      </c>
      <c r="E183" t="s">
        <v>504</v>
      </c>
      <c r="F183" t="s">
        <v>567</v>
      </c>
      <c r="G183" t="s">
        <v>568</v>
      </c>
      <c r="H183" t="str">
        <f>+VLOOKUP(G183,'PITESAI corrisp Corine3 - Maes'!$A$2:$B$26,2,FALSE)</f>
        <v>Cropland</v>
      </c>
    </row>
    <row r="184" spans="1:8" x14ac:dyDescent="0.3">
      <c r="A184">
        <v>1405</v>
      </c>
      <c r="B184" t="s">
        <v>753</v>
      </c>
      <c r="C184" t="s">
        <v>720</v>
      </c>
      <c r="D184" t="s">
        <v>723</v>
      </c>
      <c r="E184" t="s">
        <v>504</v>
      </c>
      <c r="F184" t="s">
        <v>567</v>
      </c>
      <c r="G184" t="s">
        <v>568</v>
      </c>
      <c r="H184" t="str">
        <f>+VLOOKUP(G184,'PITESAI corrisp Corine3 - Maes'!$A$2:$B$26,2,FALSE)</f>
        <v>Cropland</v>
      </c>
    </row>
    <row r="185" spans="1:8" x14ac:dyDescent="0.3">
      <c r="A185">
        <v>1395</v>
      </c>
      <c r="B185" t="s">
        <v>754</v>
      </c>
      <c r="C185" t="s">
        <v>720</v>
      </c>
      <c r="D185" t="s">
        <v>723</v>
      </c>
      <c r="E185" t="s">
        <v>504</v>
      </c>
      <c r="F185" t="s">
        <v>515</v>
      </c>
      <c r="G185" t="s">
        <v>506</v>
      </c>
      <c r="H185" t="str">
        <f>+VLOOKUP(G185,'PITESAI corrisp Corine3 - Maes'!$A$2:$B$26,2,FALSE)</f>
        <v>Woodland and forest</v>
      </c>
    </row>
    <row r="186" spans="1:8" x14ac:dyDescent="0.3">
      <c r="A186">
        <v>1404</v>
      </c>
      <c r="B186" t="s">
        <v>755</v>
      </c>
      <c r="C186" t="s">
        <v>720</v>
      </c>
      <c r="D186" t="s">
        <v>723</v>
      </c>
      <c r="E186" t="s">
        <v>504</v>
      </c>
      <c r="F186" t="s">
        <v>567</v>
      </c>
      <c r="G186" t="s">
        <v>568</v>
      </c>
      <c r="H186" t="str">
        <f>+VLOOKUP(G186,'PITESAI corrisp Corine3 - Maes'!$A$2:$B$26,2,FALSE)</f>
        <v>Cropland</v>
      </c>
    </row>
    <row r="187" spans="1:8" x14ac:dyDescent="0.3">
      <c r="A187">
        <v>1397</v>
      </c>
      <c r="B187" t="s">
        <v>756</v>
      </c>
      <c r="C187" t="s">
        <v>720</v>
      </c>
      <c r="D187" t="s">
        <v>723</v>
      </c>
      <c r="E187" t="s">
        <v>504</v>
      </c>
      <c r="F187" t="s">
        <v>567</v>
      </c>
      <c r="G187" t="s">
        <v>568</v>
      </c>
      <c r="H187" t="str">
        <f>+VLOOKUP(G187,'PITESAI corrisp Corine3 - Maes'!$A$2:$B$26,2,FALSE)</f>
        <v>Cropland</v>
      </c>
    </row>
    <row r="188" spans="1:8" x14ac:dyDescent="0.3">
      <c r="A188">
        <v>1398</v>
      </c>
      <c r="B188" t="s">
        <v>757</v>
      </c>
      <c r="C188" t="s">
        <v>720</v>
      </c>
      <c r="D188" t="s">
        <v>723</v>
      </c>
      <c r="E188" t="s">
        <v>504</v>
      </c>
      <c r="F188" t="s">
        <v>567</v>
      </c>
      <c r="G188" t="s">
        <v>568</v>
      </c>
      <c r="H188" t="str">
        <f>+VLOOKUP(G188,'PITESAI corrisp Corine3 - Maes'!$A$2:$B$26,2,FALSE)</f>
        <v>Cropland</v>
      </c>
    </row>
    <row r="189" spans="1:8" x14ac:dyDescent="0.3">
      <c r="A189">
        <v>1399</v>
      </c>
      <c r="B189" t="s">
        <v>758</v>
      </c>
      <c r="C189" t="s">
        <v>720</v>
      </c>
      <c r="D189" t="s">
        <v>723</v>
      </c>
      <c r="E189" t="s">
        <v>504</v>
      </c>
      <c r="F189" t="s">
        <v>567</v>
      </c>
      <c r="G189" t="s">
        <v>568</v>
      </c>
      <c r="H189" t="str">
        <f>+VLOOKUP(G189,'PITESAI corrisp Corine3 - Maes'!$A$2:$B$26,2,FALSE)</f>
        <v>Cropland</v>
      </c>
    </row>
    <row r="190" spans="1:8" x14ac:dyDescent="0.3">
      <c r="A190">
        <v>1400</v>
      </c>
      <c r="B190" t="s">
        <v>759</v>
      </c>
      <c r="C190" t="s">
        <v>720</v>
      </c>
      <c r="D190" t="s">
        <v>723</v>
      </c>
      <c r="E190" t="s">
        <v>504</v>
      </c>
      <c r="F190" t="s">
        <v>567</v>
      </c>
      <c r="G190" t="s">
        <v>568</v>
      </c>
      <c r="H190" t="str">
        <f>+VLOOKUP(G190,'PITESAI corrisp Corine3 - Maes'!$A$2:$B$26,2,FALSE)</f>
        <v>Cropland</v>
      </c>
    </row>
    <row r="191" spans="1:8" x14ac:dyDescent="0.3">
      <c r="A191">
        <v>1401</v>
      </c>
      <c r="B191" t="s">
        <v>760</v>
      </c>
      <c r="C191" t="s">
        <v>720</v>
      </c>
      <c r="D191" t="s">
        <v>723</v>
      </c>
      <c r="E191" t="s">
        <v>504</v>
      </c>
      <c r="F191" t="s">
        <v>515</v>
      </c>
      <c r="G191" t="s">
        <v>506</v>
      </c>
      <c r="H191" t="str">
        <f>+VLOOKUP(G191,'PITESAI corrisp Corine3 - Maes'!$A$2:$B$26,2,FALSE)</f>
        <v>Woodland and forest</v>
      </c>
    </row>
    <row r="192" spans="1:8" x14ac:dyDescent="0.3">
      <c r="A192">
        <v>1402</v>
      </c>
      <c r="B192" t="s">
        <v>761</v>
      </c>
      <c r="C192" t="s">
        <v>720</v>
      </c>
      <c r="D192" t="s">
        <v>723</v>
      </c>
      <c r="E192" t="s">
        <v>504</v>
      </c>
      <c r="F192" t="s">
        <v>515</v>
      </c>
      <c r="G192" t="s">
        <v>506</v>
      </c>
      <c r="H192" t="str">
        <f>+VLOOKUP(G192,'PITESAI corrisp Corine3 - Maes'!$A$2:$B$26,2,FALSE)</f>
        <v>Woodland and forest</v>
      </c>
    </row>
    <row r="193" spans="1:8" x14ac:dyDescent="0.3">
      <c r="A193">
        <v>1424</v>
      </c>
      <c r="B193" t="s">
        <v>762</v>
      </c>
      <c r="C193" t="s">
        <v>720</v>
      </c>
      <c r="D193" t="s">
        <v>721</v>
      </c>
      <c r="E193" t="s">
        <v>504</v>
      </c>
      <c r="F193" t="s">
        <v>567</v>
      </c>
      <c r="G193" t="s">
        <v>568</v>
      </c>
      <c r="H193" t="str">
        <f>+VLOOKUP(G193,'PITESAI corrisp Corine3 - Maes'!$A$2:$B$26,2,FALSE)</f>
        <v>Cropland</v>
      </c>
    </row>
    <row r="194" spans="1:8" x14ac:dyDescent="0.3">
      <c r="A194">
        <v>1394</v>
      </c>
      <c r="B194" t="s">
        <v>763</v>
      </c>
      <c r="C194" t="s">
        <v>720</v>
      </c>
      <c r="D194" t="s">
        <v>723</v>
      </c>
      <c r="E194" t="s">
        <v>504</v>
      </c>
      <c r="F194" t="s">
        <v>515</v>
      </c>
      <c r="G194" t="s">
        <v>506</v>
      </c>
      <c r="H194" t="str">
        <f>+VLOOKUP(G194,'PITESAI corrisp Corine3 - Maes'!$A$2:$B$26,2,FALSE)</f>
        <v>Woodland and forest</v>
      </c>
    </row>
    <row r="195" spans="1:8" x14ac:dyDescent="0.3">
      <c r="A195">
        <v>1422</v>
      </c>
      <c r="B195" t="s">
        <v>764</v>
      </c>
      <c r="C195" t="s">
        <v>720</v>
      </c>
      <c r="D195" t="s">
        <v>721</v>
      </c>
      <c r="E195" t="s">
        <v>504</v>
      </c>
      <c r="F195" t="s">
        <v>553</v>
      </c>
      <c r="G195" t="s">
        <v>511</v>
      </c>
      <c r="H195" t="str">
        <f>+VLOOKUP(G195,'PITESAI corrisp Corine3 - Maes'!$A$2:$B$26,2,FALSE)</f>
        <v>Cropland</v>
      </c>
    </row>
    <row r="196" spans="1:8" x14ac:dyDescent="0.3">
      <c r="A196">
        <v>1448</v>
      </c>
      <c r="B196" t="s">
        <v>765</v>
      </c>
      <c r="C196" t="s">
        <v>766</v>
      </c>
      <c r="D196" t="s">
        <v>767</v>
      </c>
      <c r="E196" t="s">
        <v>504</v>
      </c>
      <c r="F196" t="s">
        <v>515</v>
      </c>
      <c r="G196" t="s">
        <v>506</v>
      </c>
      <c r="H196" t="str">
        <f>+VLOOKUP(G196,'PITESAI corrisp Corine3 - Maes'!$A$2:$B$26,2,FALSE)</f>
        <v>Woodland and forest</v>
      </c>
    </row>
    <row r="197" spans="1:8" x14ac:dyDescent="0.3">
      <c r="A197">
        <v>1449</v>
      </c>
      <c r="B197" t="s">
        <v>768</v>
      </c>
      <c r="C197" t="s">
        <v>766</v>
      </c>
      <c r="D197" t="s">
        <v>767</v>
      </c>
      <c r="E197" t="s">
        <v>504</v>
      </c>
      <c r="F197" t="s">
        <v>515</v>
      </c>
      <c r="G197" t="s">
        <v>506</v>
      </c>
      <c r="H197" t="str">
        <f>+VLOOKUP(G197,'PITESAI corrisp Corine3 - Maes'!$A$2:$B$26,2,FALSE)</f>
        <v>Woodland and forest</v>
      </c>
    </row>
    <row r="198" spans="1:8" x14ac:dyDescent="0.3">
      <c r="A198">
        <v>1450</v>
      </c>
      <c r="B198" t="s">
        <v>769</v>
      </c>
      <c r="C198" t="s">
        <v>766</v>
      </c>
      <c r="D198" t="s">
        <v>767</v>
      </c>
      <c r="E198" t="s">
        <v>504</v>
      </c>
      <c r="F198" t="s">
        <v>515</v>
      </c>
      <c r="G198" t="s">
        <v>506</v>
      </c>
      <c r="H198" t="str">
        <f>+VLOOKUP(G198,'PITESAI corrisp Corine3 - Maes'!$A$2:$B$26,2,FALSE)</f>
        <v>Woodland and forest</v>
      </c>
    </row>
    <row r="199" spans="1:8" x14ac:dyDescent="0.3">
      <c r="A199">
        <v>1451</v>
      </c>
      <c r="B199" t="s">
        <v>770</v>
      </c>
      <c r="C199" t="s">
        <v>766</v>
      </c>
      <c r="D199" t="s">
        <v>767</v>
      </c>
      <c r="E199" t="s">
        <v>504</v>
      </c>
      <c r="F199" t="s">
        <v>515</v>
      </c>
      <c r="G199" t="s">
        <v>506</v>
      </c>
      <c r="H199" t="str">
        <f>+VLOOKUP(G199,'PITESAI corrisp Corine3 - Maes'!$A$2:$B$26,2,FALSE)</f>
        <v>Woodland and forest</v>
      </c>
    </row>
    <row r="200" spans="1:8" x14ac:dyDescent="0.3">
      <c r="A200">
        <v>1452</v>
      </c>
      <c r="B200" t="s">
        <v>771</v>
      </c>
      <c r="C200" t="s">
        <v>766</v>
      </c>
      <c r="D200" t="s">
        <v>767</v>
      </c>
      <c r="E200" t="s">
        <v>504</v>
      </c>
      <c r="F200" t="s">
        <v>515</v>
      </c>
      <c r="G200" t="s">
        <v>506</v>
      </c>
      <c r="H200" t="str">
        <f>+VLOOKUP(G200,'PITESAI corrisp Corine3 - Maes'!$A$2:$B$26,2,FALSE)</f>
        <v>Woodland and forest</v>
      </c>
    </row>
    <row r="201" spans="1:8" x14ac:dyDescent="0.3">
      <c r="A201">
        <v>1446</v>
      </c>
      <c r="B201" t="s">
        <v>772</v>
      </c>
      <c r="C201" t="s">
        <v>766</v>
      </c>
      <c r="D201" t="s">
        <v>767</v>
      </c>
      <c r="E201" t="s">
        <v>504</v>
      </c>
      <c r="F201" t="s">
        <v>515</v>
      </c>
      <c r="G201" t="s">
        <v>506</v>
      </c>
      <c r="H201" t="str">
        <f>+VLOOKUP(G201,'PITESAI corrisp Corine3 - Maes'!$A$2:$B$26,2,FALSE)</f>
        <v>Woodland and forest</v>
      </c>
    </row>
    <row r="202" spans="1:8" x14ac:dyDescent="0.3">
      <c r="A202">
        <v>1445</v>
      </c>
      <c r="B202" t="s">
        <v>773</v>
      </c>
      <c r="C202" t="s">
        <v>766</v>
      </c>
      <c r="D202" t="s">
        <v>767</v>
      </c>
      <c r="E202" t="s">
        <v>504</v>
      </c>
      <c r="F202" t="s">
        <v>515</v>
      </c>
      <c r="G202" t="s">
        <v>506</v>
      </c>
      <c r="H202" t="str">
        <f>+VLOOKUP(G202,'PITESAI corrisp Corine3 - Maes'!$A$2:$B$26,2,FALSE)</f>
        <v>Woodland and forest</v>
      </c>
    </row>
    <row r="203" spans="1:8" x14ac:dyDescent="0.3">
      <c r="A203">
        <v>1436</v>
      </c>
      <c r="B203" t="s">
        <v>774</v>
      </c>
      <c r="C203" t="s">
        <v>521</v>
      </c>
      <c r="D203" t="s">
        <v>775</v>
      </c>
      <c r="E203" t="s">
        <v>498</v>
      </c>
      <c r="F203" t="s">
        <v>574</v>
      </c>
      <c r="G203" t="s">
        <v>575</v>
      </c>
      <c r="H203" t="str">
        <f>+VLOOKUP(G203,'PITESAI corrisp Corine3 - Maes'!$A$2:$B$26,2,FALSE)</f>
        <v>Cropland</v>
      </c>
    </row>
    <row r="204" spans="1:8" x14ac:dyDescent="0.3">
      <c r="A204">
        <v>1384</v>
      </c>
      <c r="B204" t="s">
        <v>776</v>
      </c>
      <c r="C204" t="s">
        <v>720</v>
      </c>
      <c r="D204" t="s">
        <v>723</v>
      </c>
      <c r="E204" t="s">
        <v>504</v>
      </c>
      <c r="F204" t="s">
        <v>515</v>
      </c>
      <c r="G204" t="s">
        <v>506</v>
      </c>
      <c r="H204" t="str">
        <f>+VLOOKUP(G204,'PITESAI corrisp Corine3 - Maes'!$A$2:$B$26,2,FALSE)</f>
        <v>Woodland and forest</v>
      </c>
    </row>
    <row r="205" spans="1:8" x14ac:dyDescent="0.3">
      <c r="A205">
        <v>1428</v>
      </c>
      <c r="B205" t="s">
        <v>777</v>
      </c>
      <c r="C205" t="s">
        <v>778</v>
      </c>
      <c r="D205" t="s">
        <v>779</v>
      </c>
      <c r="E205" t="s">
        <v>504</v>
      </c>
      <c r="F205" t="s">
        <v>527</v>
      </c>
      <c r="G205" t="s">
        <v>528</v>
      </c>
      <c r="H205" t="str">
        <f>+VLOOKUP(G205,'PITESAI corrisp Corine3 - Maes'!$A$2:$B$26,2,FALSE)</f>
        <v>Cropland</v>
      </c>
    </row>
    <row r="206" spans="1:8" x14ac:dyDescent="0.3">
      <c r="A206">
        <v>1447</v>
      </c>
      <c r="B206" t="s">
        <v>780</v>
      </c>
      <c r="C206" t="s">
        <v>766</v>
      </c>
      <c r="D206" t="s">
        <v>767</v>
      </c>
      <c r="E206" t="s">
        <v>504</v>
      </c>
      <c r="F206" t="s">
        <v>515</v>
      </c>
      <c r="G206" t="s">
        <v>506</v>
      </c>
      <c r="H206" t="str">
        <f>+VLOOKUP(G206,'PITESAI corrisp Corine3 - Maes'!$A$2:$B$26,2,FALSE)</f>
        <v>Woodland and forest</v>
      </c>
    </row>
    <row r="207" spans="1:8" x14ac:dyDescent="0.3">
      <c r="A207">
        <v>1423</v>
      </c>
      <c r="B207" t="s">
        <v>781</v>
      </c>
      <c r="C207" t="s">
        <v>720</v>
      </c>
      <c r="D207" t="s">
        <v>721</v>
      </c>
      <c r="E207" t="s">
        <v>504</v>
      </c>
      <c r="F207" t="s">
        <v>567</v>
      </c>
      <c r="G207" t="s">
        <v>568</v>
      </c>
      <c r="H207" t="str">
        <f>+VLOOKUP(G207,'PITESAI corrisp Corine3 - Maes'!$A$2:$B$26,2,FALSE)</f>
        <v>Cropland</v>
      </c>
    </row>
    <row r="208" spans="1:8" x14ac:dyDescent="0.3">
      <c r="A208">
        <v>1437</v>
      </c>
      <c r="B208" t="s">
        <v>782</v>
      </c>
      <c r="C208" t="s">
        <v>521</v>
      </c>
      <c r="D208" t="s">
        <v>783</v>
      </c>
      <c r="E208" t="s">
        <v>498</v>
      </c>
      <c r="F208" t="s">
        <v>574</v>
      </c>
      <c r="G208" t="s">
        <v>575</v>
      </c>
      <c r="H208" t="str">
        <f>+VLOOKUP(G208,'PITESAI corrisp Corine3 - Maes'!$A$2:$B$26,2,FALSE)</f>
        <v>Cropland</v>
      </c>
    </row>
    <row r="209" spans="1:8" x14ac:dyDescent="0.3">
      <c r="A209">
        <v>1438</v>
      </c>
      <c r="B209" t="s">
        <v>784</v>
      </c>
      <c r="C209" t="s">
        <v>521</v>
      </c>
      <c r="D209" t="s">
        <v>783</v>
      </c>
      <c r="E209" t="s">
        <v>498</v>
      </c>
      <c r="F209" t="s">
        <v>574</v>
      </c>
      <c r="G209" t="s">
        <v>575</v>
      </c>
      <c r="H209" t="str">
        <f>+VLOOKUP(G209,'PITESAI corrisp Corine3 - Maes'!$A$2:$B$26,2,FALSE)</f>
        <v>Cropland</v>
      </c>
    </row>
    <row r="210" spans="1:8" x14ac:dyDescent="0.3">
      <c r="A210">
        <v>1443</v>
      </c>
      <c r="B210" t="s">
        <v>785</v>
      </c>
      <c r="C210" t="s">
        <v>766</v>
      </c>
      <c r="D210" t="s">
        <v>767</v>
      </c>
      <c r="E210" t="s">
        <v>504</v>
      </c>
      <c r="F210" t="s">
        <v>515</v>
      </c>
      <c r="G210" t="s">
        <v>506</v>
      </c>
      <c r="H210" t="str">
        <f>+VLOOKUP(G210,'PITESAI corrisp Corine3 - Maes'!$A$2:$B$26,2,FALSE)</f>
        <v>Woodland and forest</v>
      </c>
    </row>
    <row r="211" spans="1:8" x14ac:dyDescent="0.3">
      <c r="A211">
        <v>1444</v>
      </c>
      <c r="B211" t="s">
        <v>786</v>
      </c>
      <c r="C211" t="s">
        <v>766</v>
      </c>
      <c r="D211" t="s">
        <v>767</v>
      </c>
      <c r="E211" t="s">
        <v>504</v>
      </c>
      <c r="F211" t="s">
        <v>515</v>
      </c>
      <c r="G211" t="s">
        <v>506</v>
      </c>
      <c r="H211" t="str">
        <f>+VLOOKUP(G211,'PITESAI corrisp Corine3 - Maes'!$A$2:$B$26,2,FALSE)</f>
        <v>Woodland and forest</v>
      </c>
    </row>
    <row r="212" spans="1:8" x14ac:dyDescent="0.3">
      <c r="A212">
        <v>1337</v>
      </c>
      <c r="B212" t="s">
        <v>787</v>
      </c>
      <c r="C212" t="s">
        <v>720</v>
      </c>
      <c r="D212" t="s">
        <v>788</v>
      </c>
      <c r="E212" t="s">
        <v>504</v>
      </c>
      <c r="F212" t="s">
        <v>515</v>
      </c>
      <c r="G212" t="s">
        <v>506</v>
      </c>
      <c r="H212" t="str">
        <f>+VLOOKUP(G212,'PITESAI corrisp Corine3 - Maes'!$A$2:$B$26,2,FALSE)</f>
        <v>Woodland and forest</v>
      </c>
    </row>
    <row r="213" spans="1:8" x14ac:dyDescent="0.3">
      <c r="A213">
        <v>1345</v>
      </c>
      <c r="B213" t="s">
        <v>789</v>
      </c>
      <c r="C213" t="s">
        <v>720</v>
      </c>
      <c r="D213" t="s">
        <v>788</v>
      </c>
      <c r="E213" t="s">
        <v>504</v>
      </c>
      <c r="F213" t="s">
        <v>515</v>
      </c>
      <c r="G213" t="s">
        <v>506</v>
      </c>
      <c r="H213" t="str">
        <f>+VLOOKUP(G213,'PITESAI corrisp Corine3 - Maes'!$A$2:$B$26,2,FALSE)</f>
        <v>Woodland and forest</v>
      </c>
    </row>
    <row r="214" spans="1:8" x14ac:dyDescent="0.3">
      <c r="A214">
        <v>1329</v>
      </c>
      <c r="B214" t="s">
        <v>790</v>
      </c>
      <c r="C214" t="s">
        <v>731</v>
      </c>
      <c r="D214" t="s">
        <v>732</v>
      </c>
      <c r="E214" t="s">
        <v>504</v>
      </c>
      <c r="F214" t="s">
        <v>515</v>
      </c>
      <c r="G214" t="s">
        <v>506</v>
      </c>
      <c r="H214" t="str">
        <f>+VLOOKUP(G214,'PITESAI corrisp Corine3 - Maes'!$A$2:$B$26,2,FALSE)</f>
        <v>Woodland and forest</v>
      </c>
    </row>
    <row r="215" spans="1:8" x14ac:dyDescent="0.3">
      <c r="A215">
        <v>1330</v>
      </c>
      <c r="B215" t="s">
        <v>791</v>
      </c>
      <c r="C215" t="s">
        <v>731</v>
      </c>
      <c r="D215" t="s">
        <v>732</v>
      </c>
      <c r="E215" t="s">
        <v>504</v>
      </c>
      <c r="F215" t="s">
        <v>515</v>
      </c>
      <c r="G215" t="s">
        <v>506</v>
      </c>
      <c r="H215" t="str">
        <f>+VLOOKUP(G215,'PITESAI corrisp Corine3 - Maes'!$A$2:$B$26,2,FALSE)</f>
        <v>Woodland and forest</v>
      </c>
    </row>
    <row r="216" spans="1:8" x14ac:dyDescent="0.3">
      <c r="A216">
        <v>1331</v>
      </c>
      <c r="B216" t="s">
        <v>792</v>
      </c>
      <c r="C216" t="s">
        <v>731</v>
      </c>
      <c r="D216" t="s">
        <v>732</v>
      </c>
      <c r="E216" t="s">
        <v>504</v>
      </c>
      <c r="F216" t="s">
        <v>515</v>
      </c>
      <c r="G216" t="s">
        <v>506</v>
      </c>
      <c r="H216" t="str">
        <f>+VLOOKUP(G216,'PITESAI corrisp Corine3 - Maes'!$A$2:$B$26,2,FALSE)</f>
        <v>Woodland and forest</v>
      </c>
    </row>
    <row r="217" spans="1:8" x14ac:dyDescent="0.3">
      <c r="A217">
        <v>1332</v>
      </c>
      <c r="B217" t="s">
        <v>793</v>
      </c>
      <c r="C217" t="s">
        <v>720</v>
      </c>
      <c r="D217" t="s">
        <v>788</v>
      </c>
      <c r="E217" t="s">
        <v>504</v>
      </c>
      <c r="F217" t="s">
        <v>515</v>
      </c>
      <c r="G217" t="s">
        <v>506</v>
      </c>
      <c r="H217" t="str">
        <f>+VLOOKUP(G217,'PITESAI corrisp Corine3 - Maes'!$A$2:$B$26,2,FALSE)</f>
        <v>Woodland and forest</v>
      </c>
    </row>
    <row r="218" spans="1:8" x14ac:dyDescent="0.3">
      <c r="A218">
        <v>1333</v>
      </c>
      <c r="B218" t="s">
        <v>794</v>
      </c>
      <c r="C218" t="s">
        <v>720</v>
      </c>
      <c r="D218" t="s">
        <v>788</v>
      </c>
      <c r="E218" t="s">
        <v>504</v>
      </c>
      <c r="F218" t="s">
        <v>515</v>
      </c>
      <c r="G218" t="s">
        <v>506</v>
      </c>
      <c r="H218" t="str">
        <f>+VLOOKUP(G218,'PITESAI corrisp Corine3 - Maes'!$A$2:$B$26,2,FALSE)</f>
        <v>Woodland and forest</v>
      </c>
    </row>
    <row r="219" spans="1:8" x14ac:dyDescent="0.3">
      <c r="A219">
        <v>1334</v>
      </c>
      <c r="B219" t="s">
        <v>795</v>
      </c>
      <c r="C219" t="s">
        <v>720</v>
      </c>
      <c r="D219" t="s">
        <v>788</v>
      </c>
      <c r="E219" t="s">
        <v>504</v>
      </c>
      <c r="F219" t="s">
        <v>515</v>
      </c>
      <c r="G219" t="s">
        <v>506</v>
      </c>
      <c r="H219" t="str">
        <f>+VLOOKUP(G219,'PITESAI corrisp Corine3 - Maes'!$A$2:$B$26,2,FALSE)</f>
        <v>Woodland and forest</v>
      </c>
    </row>
    <row r="220" spans="1:8" x14ac:dyDescent="0.3">
      <c r="A220">
        <v>1327</v>
      </c>
      <c r="B220" t="s">
        <v>796</v>
      </c>
      <c r="C220" t="s">
        <v>731</v>
      </c>
      <c r="D220" t="s">
        <v>731</v>
      </c>
      <c r="E220" t="s">
        <v>504</v>
      </c>
      <c r="F220" t="s">
        <v>567</v>
      </c>
      <c r="G220" t="s">
        <v>568</v>
      </c>
      <c r="H220" t="str">
        <f>+VLOOKUP(G220,'PITESAI corrisp Corine3 - Maes'!$A$2:$B$26,2,FALSE)</f>
        <v>Cropland</v>
      </c>
    </row>
    <row r="221" spans="1:8" x14ac:dyDescent="0.3">
      <c r="A221">
        <v>1336</v>
      </c>
      <c r="B221" t="s">
        <v>797</v>
      </c>
      <c r="C221" t="s">
        <v>720</v>
      </c>
      <c r="D221" t="s">
        <v>788</v>
      </c>
      <c r="E221" t="s">
        <v>504</v>
      </c>
      <c r="F221" t="s">
        <v>567</v>
      </c>
      <c r="G221" t="s">
        <v>568</v>
      </c>
      <c r="H221" t="str">
        <f>+VLOOKUP(G221,'PITESAI corrisp Corine3 - Maes'!$A$2:$B$26,2,FALSE)</f>
        <v>Cropland</v>
      </c>
    </row>
    <row r="222" spans="1:8" x14ac:dyDescent="0.3">
      <c r="A222">
        <v>1326</v>
      </c>
      <c r="B222" t="s">
        <v>798</v>
      </c>
      <c r="C222" t="s">
        <v>731</v>
      </c>
      <c r="D222" t="s">
        <v>731</v>
      </c>
      <c r="E222" t="s">
        <v>504</v>
      </c>
      <c r="F222" t="s">
        <v>567</v>
      </c>
      <c r="G222" t="s">
        <v>568</v>
      </c>
      <c r="H222" t="str">
        <f>+VLOOKUP(G222,'PITESAI corrisp Corine3 - Maes'!$A$2:$B$26,2,FALSE)</f>
        <v>Cropland</v>
      </c>
    </row>
    <row r="223" spans="1:8" x14ac:dyDescent="0.3">
      <c r="A223">
        <v>1338</v>
      </c>
      <c r="B223" t="s">
        <v>799</v>
      </c>
      <c r="C223" t="s">
        <v>720</v>
      </c>
      <c r="D223" t="s">
        <v>788</v>
      </c>
      <c r="E223" t="s">
        <v>504</v>
      </c>
      <c r="F223" t="s">
        <v>553</v>
      </c>
      <c r="G223" t="s">
        <v>511</v>
      </c>
      <c r="H223" t="str">
        <f>+VLOOKUP(G223,'PITESAI corrisp Corine3 - Maes'!$A$2:$B$26,2,FALSE)</f>
        <v>Cropland</v>
      </c>
    </row>
    <row r="224" spans="1:8" x14ac:dyDescent="0.3">
      <c r="A224">
        <v>1339</v>
      </c>
      <c r="B224" t="s">
        <v>800</v>
      </c>
      <c r="C224" t="s">
        <v>720</v>
      </c>
      <c r="D224" t="s">
        <v>788</v>
      </c>
      <c r="E224" t="s">
        <v>504</v>
      </c>
      <c r="F224" t="s">
        <v>553</v>
      </c>
      <c r="G224" t="s">
        <v>511</v>
      </c>
      <c r="H224" t="str">
        <f>+VLOOKUP(G224,'PITESAI corrisp Corine3 - Maes'!$A$2:$B$26,2,FALSE)</f>
        <v>Cropland</v>
      </c>
    </row>
    <row r="225" spans="1:8" x14ac:dyDescent="0.3">
      <c r="A225">
        <v>1340</v>
      </c>
      <c r="B225" t="s">
        <v>801</v>
      </c>
      <c r="C225" t="s">
        <v>720</v>
      </c>
      <c r="D225" t="s">
        <v>788</v>
      </c>
      <c r="E225" t="s">
        <v>504</v>
      </c>
      <c r="F225" t="s">
        <v>553</v>
      </c>
      <c r="G225" t="s">
        <v>511</v>
      </c>
      <c r="H225" t="str">
        <f>+VLOOKUP(G225,'PITESAI corrisp Corine3 - Maes'!$A$2:$B$26,2,FALSE)</f>
        <v>Cropland</v>
      </c>
    </row>
    <row r="226" spans="1:8" x14ac:dyDescent="0.3">
      <c r="A226">
        <v>1341</v>
      </c>
      <c r="B226" t="s">
        <v>802</v>
      </c>
      <c r="C226" t="s">
        <v>720</v>
      </c>
      <c r="D226" t="s">
        <v>788</v>
      </c>
      <c r="E226" t="s">
        <v>504</v>
      </c>
      <c r="F226" t="s">
        <v>553</v>
      </c>
      <c r="G226" t="s">
        <v>511</v>
      </c>
      <c r="H226" t="str">
        <f>+VLOOKUP(G226,'PITESAI corrisp Corine3 - Maes'!$A$2:$B$26,2,FALSE)</f>
        <v>Cropland</v>
      </c>
    </row>
    <row r="227" spans="1:8" x14ac:dyDescent="0.3">
      <c r="A227">
        <v>1342</v>
      </c>
      <c r="B227" t="s">
        <v>803</v>
      </c>
      <c r="C227" t="s">
        <v>720</v>
      </c>
      <c r="D227" t="s">
        <v>788</v>
      </c>
      <c r="E227" t="s">
        <v>504</v>
      </c>
      <c r="F227" t="s">
        <v>567</v>
      </c>
      <c r="G227" t="s">
        <v>568</v>
      </c>
      <c r="H227" t="str">
        <f>+VLOOKUP(G227,'PITESAI corrisp Corine3 - Maes'!$A$2:$B$26,2,FALSE)</f>
        <v>Cropland</v>
      </c>
    </row>
    <row r="228" spans="1:8" x14ac:dyDescent="0.3">
      <c r="A228">
        <v>1343</v>
      </c>
      <c r="B228" t="s">
        <v>804</v>
      </c>
      <c r="C228" t="s">
        <v>720</v>
      </c>
      <c r="D228" t="s">
        <v>788</v>
      </c>
      <c r="E228" t="s">
        <v>504</v>
      </c>
      <c r="F228" t="s">
        <v>567</v>
      </c>
      <c r="G228" t="s">
        <v>568</v>
      </c>
      <c r="H228" t="str">
        <f>+VLOOKUP(G228,'PITESAI corrisp Corine3 - Maes'!$A$2:$B$26,2,FALSE)</f>
        <v>Cropland</v>
      </c>
    </row>
    <row r="229" spans="1:8" x14ac:dyDescent="0.3">
      <c r="A229">
        <v>1386</v>
      </c>
      <c r="B229" t="s">
        <v>805</v>
      </c>
      <c r="C229" t="s">
        <v>720</v>
      </c>
      <c r="D229" t="s">
        <v>723</v>
      </c>
      <c r="E229" t="s">
        <v>504</v>
      </c>
      <c r="F229" t="s">
        <v>515</v>
      </c>
      <c r="G229" t="s">
        <v>506</v>
      </c>
      <c r="H229" t="str">
        <f>+VLOOKUP(G229,'PITESAI corrisp Corine3 - Maes'!$A$2:$B$26,2,FALSE)</f>
        <v>Woodland and forest</v>
      </c>
    </row>
    <row r="230" spans="1:8" x14ac:dyDescent="0.3">
      <c r="A230">
        <v>1335</v>
      </c>
      <c r="B230" t="s">
        <v>806</v>
      </c>
      <c r="C230" t="s">
        <v>720</v>
      </c>
      <c r="D230" t="s">
        <v>788</v>
      </c>
      <c r="E230" t="s">
        <v>504</v>
      </c>
      <c r="F230" t="s">
        <v>553</v>
      </c>
      <c r="G230" t="s">
        <v>511</v>
      </c>
      <c r="H230" t="str">
        <f>+VLOOKUP(G230,'PITESAI corrisp Corine3 - Maes'!$A$2:$B$26,2,FALSE)</f>
        <v>Cropland</v>
      </c>
    </row>
    <row r="231" spans="1:8" x14ac:dyDescent="0.3">
      <c r="A231">
        <v>1318</v>
      </c>
      <c r="B231" t="s">
        <v>807</v>
      </c>
      <c r="C231" t="s">
        <v>731</v>
      </c>
      <c r="D231" t="s">
        <v>732</v>
      </c>
      <c r="E231" t="s">
        <v>504</v>
      </c>
      <c r="F231" t="s">
        <v>567</v>
      </c>
      <c r="G231" t="s">
        <v>568</v>
      </c>
      <c r="H231" t="str">
        <f>+VLOOKUP(G231,'PITESAI corrisp Corine3 - Maes'!$A$2:$B$26,2,FALSE)</f>
        <v>Cropland</v>
      </c>
    </row>
    <row r="232" spans="1:8" x14ac:dyDescent="0.3">
      <c r="A232">
        <v>1309</v>
      </c>
      <c r="B232" t="s">
        <v>808</v>
      </c>
      <c r="C232" t="s">
        <v>731</v>
      </c>
      <c r="D232" t="s">
        <v>732</v>
      </c>
      <c r="E232" t="s">
        <v>504</v>
      </c>
      <c r="F232" t="s">
        <v>567</v>
      </c>
      <c r="G232" t="s">
        <v>568</v>
      </c>
      <c r="H232" t="str">
        <f>+VLOOKUP(G232,'PITESAI corrisp Corine3 - Maes'!$A$2:$B$26,2,FALSE)</f>
        <v>Cropland</v>
      </c>
    </row>
    <row r="233" spans="1:8" x14ac:dyDescent="0.3">
      <c r="A233">
        <v>1310</v>
      </c>
      <c r="B233" t="s">
        <v>809</v>
      </c>
      <c r="C233" t="s">
        <v>731</v>
      </c>
      <c r="D233" t="s">
        <v>732</v>
      </c>
      <c r="E233" t="s">
        <v>504</v>
      </c>
      <c r="F233" t="s">
        <v>567</v>
      </c>
      <c r="G233" t="s">
        <v>568</v>
      </c>
      <c r="H233" t="str">
        <f>+VLOOKUP(G233,'PITESAI corrisp Corine3 - Maes'!$A$2:$B$26,2,FALSE)</f>
        <v>Cropland</v>
      </c>
    </row>
    <row r="234" spans="1:8" x14ac:dyDescent="0.3">
      <c r="A234">
        <v>1311</v>
      </c>
      <c r="B234" t="s">
        <v>810</v>
      </c>
      <c r="C234" t="s">
        <v>731</v>
      </c>
      <c r="D234" t="s">
        <v>732</v>
      </c>
      <c r="E234" t="s">
        <v>504</v>
      </c>
      <c r="F234" t="s">
        <v>567</v>
      </c>
      <c r="G234" t="s">
        <v>568</v>
      </c>
      <c r="H234" t="str">
        <f>+VLOOKUP(G234,'PITESAI corrisp Corine3 - Maes'!$A$2:$B$26,2,FALSE)</f>
        <v>Cropland</v>
      </c>
    </row>
    <row r="235" spans="1:8" x14ac:dyDescent="0.3">
      <c r="A235">
        <v>1312</v>
      </c>
      <c r="B235" t="s">
        <v>811</v>
      </c>
      <c r="C235" t="s">
        <v>731</v>
      </c>
      <c r="D235" t="s">
        <v>731</v>
      </c>
      <c r="E235" t="s">
        <v>504</v>
      </c>
      <c r="F235" t="s">
        <v>567</v>
      </c>
      <c r="G235" t="s">
        <v>568</v>
      </c>
      <c r="H235" t="str">
        <f>+VLOOKUP(G235,'PITESAI corrisp Corine3 - Maes'!$A$2:$B$26,2,FALSE)</f>
        <v>Cropland</v>
      </c>
    </row>
    <row r="236" spans="1:8" x14ac:dyDescent="0.3">
      <c r="A236">
        <v>1313</v>
      </c>
      <c r="B236" t="s">
        <v>812</v>
      </c>
      <c r="C236" t="s">
        <v>731</v>
      </c>
      <c r="D236" t="s">
        <v>732</v>
      </c>
      <c r="E236" t="s">
        <v>504</v>
      </c>
      <c r="F236" t="s">
        <v>515</v>
      </c>
      <c r="G236" t="s">
        <v>506</v>
      </c>
      <c r="H236" t="str">
        <f>+VLOOKUP(G236,'PITESAI corrisp Corine3 - Maes'!$A$2:$B$26,2,FALSE)</f>
        <v>Woodland and forest</v>
      </c>
    </row>
    <row r="237" spans="1:8" x14ac:dyDescent="0.3">
      <c r="A237">
        <v>1314</v>
      </c>
      <c r="B237" t="s">
        <v>813</v>
      </c>
      <c r="C237" t="s">
        <v>731</v>
      </c>
      <c r="D237" t="s">
        <v>732</v>
      </c>
      <c r="E237" t="s">
        <v>504</v>
      </c>
      <c r="F237" t="s">
        <v>515</v>
      </c>
      <c r="G237" t="s">
        <v>506</v>
      </c>
      <c r="H237" t="str">
        <f>+VLOOKUP(G237,'PITESAI corrisp Corine3 - Maes'!$A$2:$B$26,2,FALSE)</f>
        <v>Woodland and forest</v>
      </c>
    </row>
    <row r="238" spans="1:8" x14ac:dyDescent="0.3">
      <c r="A238">
        <v>1315</v>
      </c>
      <c r="B238" t="s">
        <v>814</v>
      </c>
      <c r="C238" t="s">
        <v>731</v>
      </c>
      <c r="D238" t="s">
        <v>732</v>
      </c>
      <c r="E238" t="s">
        <v>504</v>
      </c>
      <c r="F238" t="s">
        <v>567</v>
      </c>
      <c r="G238" t="s">
        <v>568</v>
      </c>
      <c r="H238" t="str">
        <f>+VLOOKUP(G238,'PITESAI corrisp Corine3 - Maes'!$A$2:$B$26,2,FALSE)</f>
        <v>Cropland</v>
      </c>
    </row>
    <row r="239" spans="1:8" x14ac:dyDescent="0.3">
      <c r="A239">
        <v>1328</v>
      </c>
      <c r="B239" t="s">
        <v>815</v>
      </c>
      <c r="C239" t="s">
        <v>731</v>
      </c>
      <c r="D239" t="s">
        <v>732</v>
      </c>
      <c r="E239" t="s">
        <v>504</v>
      </c>
      <c r="F239" t="s">
        <v>515</v>
      </c>
      <c r="G239" t="s">
        <v>506</v>
      </c>
      <c r="H239" t="str">
        <f>+VLOOKUP(G239,'PITESAI corrisp Corine3 - Maes'!$A$2:$B$26,2,FALSE)</f>
        <v>Woodland and forest</v>
      </c>
    </row>
    <row r="240" spans="1:8" x14ac:dyDescent="0.3">
      <c r="A240">
        <v>1317</v>
      </c>
      <c r="B240" t="s">
        <v>816</v>
      </c>
      <c r="C240" t="s">
        <v>731</v>
      </c>
      <c r="D240" t="s">
        <v>731</v>
      </c>
      <c r="E240" t="s">
        <v>504</v>
      </c>
      <c r="F240" t="s">
        <v>567</v>
      </c>
      <c r="G240" t="s">
        <v>568</v>
      </c>
      <c r="H240" t="str">
        <f>+VLOOKUP(G240,'PITESAI corrisp Corine3 - Maes'!$A$2:$B$26,2,FALSE)</f>
        <v>Cropland</v>
      </c>
    </row>
    <row r="241" spans="1:8" x14ac:dyDescent="0.3">
      <c r="A241">
        <v>1346</v>
      </c>
      <c r="B241" t="s">
        <v>817</v>
      </c>
      <c r="C241" t="s">
        <v>720</v>
      </c>
      <c r="D241" t="s">
        <v>788</v>
      </c>
      <c r="E241" t="s">
        <v>504</v>
      </c>
      <c r="F241" t="s">
        <v>567</v>
      </c>
      <c r="G241" t="s">
        <v>568</v>
      </c>
      <c r="H241" t="str">
        <f>+VLOOKUP(G241,'PITESAI corrisp Corine3 - Maes'!$A$2:$B$26,2,FALSE)</f>
        <v>Cropland</v>
      </c>
    </row>
    <row r="242" spans="1:8" x14ac:dyDescent="0.3">
      <c r="A242">
        <v>1319</v>
      </c>
      <c r="B242" t="s">
        <v>818</v>
      </c>
      <c r="C242" t="s">
        <v>731</v>
      </c>
      <c r="D242" t="s">
        <v>732</v>
      </c>
      <c r="E242" t="s">
        <v>504</v>
      </c>
      <c r="F242" t="s">
        <v>567</v>
      </c>
      <c r="G242" t="s">
        <v>568</v>
      </c>
      <c r="H242" t="str">
        <f>+VLOOKUP(G242,'PITESAI corrisp Corine3 - Maes'!$A$2:$B$26,2,FALSE)</f>
        <v>Cropland</v>
      </c>
    </row>
    <row r="243" spans="1:8" x14ac:dyDescent="0.3">
      <c r="A243">
        <v>1320</v>
      </c>
      <c r="B243" t="s">
        <v>819</v>
      </c>
      <c r="C243" t="s">
        <v>731</v>
      </c>
      <c r="D243" t="s">
        <v>732</v>
      </c>
      <c r="E243" t="s">
        <v>504</v>
      </c>
      <c r="F243" t="s">
        <v>567</v>
      </c>
      <c r="G243" t="s">
        <v>568</v>
      </c>
      <c r="H243" t="str">
        <f>+VLOOKUP(G243,'PITESAI corrisp Corine3 - Maes'!$A$2:$B$26,2,FALSE)</f>
        <v>Cropland</v>
      </c>
    </row>
    <row r="244" spans="1:8" x14ac:dyDescent="0.3">
      <c r="A244">
        <v>1321</v>
      </c>
      <c r="B244" t="s">
        <v>820</v>
      </c>
      <c r="C244" t="s">
        <v>731</v>
      </c>
      <c r="D244" t="s">
        <v>732</v>
      </c>
      <c r="E244" t="s">
        <v>504</v>
      </c>
      <c r="F244" t="s">
        <v>515</v>
      </c>
      <c r="G244" t="s">
        <v>506</v>
      </c>
      <c r="H244" t="str">
        <f>+VLOOKUP(G244,'PITESAI corrisp Corine3 - Maes'!$A$2:$B$26,2,FALSE)</f>
        <v>Woodland and forest</v>
      </c>
    </row>
    <row r="245" spans="1:8" x14ac:dyDescent="0.3">
      <c r="A245">
        <v>1322</v>
      </c>
      <c r="B245" t="s">
        <v>821</v>
      </c>
      <c r="C245" t="s">
        <v>731</v>
      </c>
      <c r="D245" t="s">
        <v>732</v>
      </c>
      <c r="E245" t="s">
        <v>504</v>
      </c>
      <c r="F245" t="s">
        <v>515</v>
      </c>
      <c r="G245" t="s">
        <v>506</v>
      </c>
      <c r="H245" t="str">
        <f>+VLOOKUP(G245,'PITESAI corrisp Corine3 - Maes'!$A$2:$B$26,2,FALSE)</f>
        <v>Woodland and forest</v>
      </c>
    </row>
    <row r="246" spans="1:8" x14ac:dyDescent="0.3">
      <c r="A246">
        <v>1323</v>
      </c>
      <c r="B246" t="s">
        <v>822</v>
      </c>
      <c r="C246" t="s">
        <v>731</v>
      </c>
      <c r="D246" t="s">
        <v>732</v>
      </c>
      <c r="E246" t="s">
        <v>504</v>
      </c>
      <c r="F246" t="s">
        <v>515</v>
      </c>
      <c r="G246" t="s">
        <v>506</v>
      </c>
      <c r="H246" t="str">
        <f>+VLOOKUP(G246,'PITESAI corrisp Corine3 - Maes'!$A$2:$B$26,2,FALSE)</f>
        <v>Woodland and forest</v>
      </c>
    </row>
    <row r="247" spans="1:8" x14ac:dyDescent="0.3">
      <c r="A247">
        <v>1324</v>
      </c>
      <c r="B247" t="s">
        <v>823</v>
      </c>
      <c r="C247" t="s">
        <v>731</v>
      </c>
      <c r="D247" t="s">
        <v>732</v>
      </c>
      <c r="E247" t="s">
        <v>504</v>
      </c>
      <c r="F247" t="s">
        <v>567</v>
      </c>
      <c r="G247" t="s">
        <v>568</v>
      </c>
      <c r="H247" t="str">
        <f>+VLOOKUP(G247,'PITESAI corrisp Corine3 - Maes'!$A$2:$B$26,2,FALSE)</f>
        <v>Cropland</v>
      </c>
    </row>
    <row r="248" spans="1:8" x14ac:dyDescent="0.3">
      <c r="A248">
        <v>1325</v>
      </c>
      <c r="B248" t="s">
        <v>824</v>
      </c>
      <c r="C248" t="s">
        <v>731</v>
      </c>
      <c r="D248" t="s">
        <v>732</v>
      </c>
      <c r="E248" t="s">
        <v>504</v>
      </c>
      <c r="F248" t="s">
        <v>567</v>
      </c>
      <c r="G248" t="s">
        <v>568</v>
      </c>
      <c r="H248" t="str">
        <f>+VLOOKUP(G248,'PITESAI corrisp Corine3 - Maes'!$A$2:$B$26,2,FALSE)</f>
        <v>Cropland</v>
      </c>
    </row>
    <row r="249" spans="1:8" x14ac:dyDescent="0.3">
      <c r="A249">
        <v>1316</v>
      </c>
      <c r="B249" t="s">
        <v>825</v>
      </c>
      <c r="C249" t="s">
        <v>731</v>
      </c>
      <c r="D249" t="s">
        <v>732</v>
      </c>
      <c r="E249" t="s">
        <v>504</v>
      </c>
      <c r="F249" t="s">
        <v>567</v>
      </c>
      <c r="G249" t="s">
        <v>568</v>
      </c>
      <c r="H249" t="str">
        <f>+VLOOKUP(G249,'PITESAI corrisp Corine3 - Maes'!$A$2:$B$26,2,FALSE)</f>
        <v>Cropland</v>
      </c>
    </row>
    <row r="250" spans="1:8" x14ac:dyDescent="0.3">
      <c r="A250">
        <v>1377</v>
      </c>
      <c r="B250" t="s">
        <v>826</v>
      </c>
      <c r="C250" t="s">
        <v>720</v>
      </c>
      <c r="D250" t="s">
        <v>723</v>
      </c>
      <c r="E250" t="s">
        <v>504</v>
      </c>
      <c r="F250" t="s">
        <v>567</v>
      </c>
      <c r="G250" t="s">
        <v>568</v>
      </c>
      <c r="H250" t="str">
        <f>+VLOOKUP(G250,'PITESAI corrisp Corine3 - Maes'!$A$2:$B$26,2,FALSE)</f>
        <v>Cropland</v>
      </c>
    </row>
    <row r="251" spans="1:8" x14ac:dyDescent="0.3">
      <c r="A251">
        <v>1344</v>
      </c>
      <c r="B251" t="s">
        <v>827</v>
      </c>
      <c r="C251" t="s">
        <v>720</v>
      </c>
      <c r="D251" t="s">
        <v>788</v>
      </c>
      <c r="E251" t="s">
        <v>504</v>
      </c>
      <c r="F251" t="s">
        <v>567</v>
      </c>
      <c r="G251" t="s">
        <v>568</v>
      </c>
      <c r="H251" t="str">
        <f>+VLOOKUP(G251,'PITESAI corrisp Corine3 - Maes'!$A$2:$B$26,2,FALSE)</f>
        <v>Cropland</v>
      </c>
    </row>
    <row r="252" spans="1:8" x14ac:dyDescent="0.3">
      <c r="A252">
        <v>1367</v>
      </c>
      <c r="B252" t="s">
        <v>828</v>
      </c>
      <c r="C252" t="s">
        <v>720</v>
      </c>
      <c r="D252" t="s">
        <v>829</v>
      </c>
      <c r="E252" t="s">
        <v>504</v>
      </c>
      <c r="F252" t="s">
        <v>567</v>
      </c>
      <c r="G252" t="s">
        <v>568</v>
      </c>
      <c r="H252" t="str">
        <f>+VLOOKUP(G252,'PITESAI corrisp Corine3 - Maes'!$A$2:$B$26,2,FALSE)</f>
        <v>Cropland</v>
      </c>
    </row>
    <row r="253" spans="1:8" x14ac:dyDescent="0.3">
      <c r="A253">
        <v>1368</v>
      </c>
      <c r="B253" t="s">
        <v>830</v>
      </c>
      <c r="C253" t="s">
        <v>720</v>
      </c>
      <c r="D253" t="s">
        <v>829</v>
      </c>
      <c r="E253" t="s">
        <v>504</v>
      </c>
      <c r="F253" t="s">
        <v>567</v>
      </c>
      <c r="G253" t="s">
        <v>568</v>
      </c>
      <c r="H253" t="str">
        <f>+VLOOKUP(G253,'PITESAI corrisp Corine3 - Maes'!$A$2:$B$26,2,FALSE)</f>
        <v>Cropland</v>
      </c>
    </row>
    <row r="254" spans="1:8" x14ac:dyDescent="0.3">
      <c r="A254">
        <v>1369</v>
      </c>
      <c r="B254" t="s">
        <v>831</v>
      </c>
      <c r="C254" t="s">
        <v>720</v>
      </c>
      <c r="D254" t="s">
        <v>829</v>
      </c>
      <c r="E254" t="s">
        <v>504</v>
      </c>
      <c r="F254" t="s">
        <v>553</v>
      </c>
      <c r="G254" t="s">
        <v>511</v>
      </c>
      <c r="H254" t="str">
        <f>+VLOOKUP(G254,'PITESAI corrisp Corine3 - Maes'!$A$2:$B$26,2,FALSE)</f>
        <v>Cropland</v>
      </c>
    </row>
    <row r="255" spans="1:8" x14ac:dyDescent="0.3">
      <c r="A255">
        <v>1370</v>
      </c>
      <c r="B255" t="s">
        <v>832</v>
      </c>
      <c r="C255" t="s">
        <v>720</v>
      </c>
      <c r="D255" t="s">
        <v>829</v>
      </c>
      <c r="E255" t="s">
        <v>504</v>
      </c>
      <c r="F255" t="s">
        <v>567</v>
      </c>
      <c r="G255" t="s">
        <v>568</v>
      </c>
      <c r="H255" t="str">
        <f>+VLOOKUP(G255,'PITESAI corrisp Corine3 - Maes'!$A$2:$B$26,2,FALSE)</f>
        <v>Cropland</v>
      </c>
    </row>
    <row r="256" spans="1:8" x14ac:dyDescent="0.3">
      <c r="A256">
        <v>1371</v>
      </c>
      <c r="B256" t="s">
        <v>833</v>
      </c>
      <c r="C256" t="s">
        <v>720</v>
      </c>
      <c r="D256" t="s">
        <v>829</v>
      </c>
      <c r="E256" t="s">
        <v>504</v>
      </c>
      <c r="F256" t="s">
        <v>567</v>
      </c>
      <c r="G256" t="s">
        <v>568</v>
      </c>
      <c r="H256" t="str">
        <f>+VLOOKUP(G256,'PITESAI corrisp Corine3 - Maes'!$A$2:$B$26,2,FALSE)</f>
        <v>Cropland</v>
      </c>
    </row>
    <row r="257" spans="1:8" x14ac:dyDescent="0.3">
      <c r="A257">
        <v>1372</v>
      </c>
      <c r="B257" t="s">
        <v>834</v>
      </c>
      <c r="C257" t="s">
        <v>720</v>
      </c>
      <c r="D257" t="s">
        <v>829</v>
      </c>
      <c r="E257" t="s">
        <v>504</v>
      </c>
      <c r="F257" t="s">
        <v>553</v>
      </c>
      <c r="G257" t="s">
        <v>511</v>
      </c>
      <c r="H257" t="str">
        <f>+VLOOKUP(G257,'PITESAI corrisp Corine3 - Maes'!$A$2:$B$26,2,FALSE)</f>
        <v>Cropland</v>
      </c>
    </row>
    <row r="258" spans="1:8" x14ac:dyDescent="0.3">
      <c r="A258">
        <v>1365</v>
      </c>
      <c r="B258" t="s">
        <v>835</v>
      </c>
      <c r="C258" t="s">
        <v>720</v>
      </c>
      <c r="D258" t="s">
        <v>829</v>
      </c>
      <c r="E258" t="s">
        <v>504</v>
      </c>
      <c r="F258" t="s">
        <v>567</v>
      </c>
      <c r="G258" t="s">
        <v>568</v>
      </c>
      <c r="H258" t="str">
        <f>+VLOOKUP(G258,'PITESAI corrisp Corine3 - Maes'!$A$2:$B$26,2,FALSE)</f>
        <v>Cropland</v>
      </c>
    </row>
    <row r="259" spans="1:8" x14ac:dyDescent="0.3">
      <c r="A259">
        <v>1375</v>
      </c>
      <c r="B259" t="s">
        <v>836</v>
      </c>
      <c r="C259" t="s">
        <v>720</v>
      </c>
      <c r="D259" t="s">
        <v>829</v>
      </c>
      <c r="E259" t="s">
        <v>504</v>
      </c>
      <c r="F259" t="s">
        <v>567</v>
      </c>
      <c r="G259" t="s">
        <v>568</v>
      </c>
      <c r="H259" t="str">
        <f>+VLOOKUP(G259,'PITESAI corrisp Corine3 - Maes'!$A$2:$B$26,2,FALSE)</f>
        <v>Cropland</v>
      </c>
    </row>
    <row r="260" spans="1:8" x14ac:dyDescent="0.3">
      <c r="A260">
        <v>1364</v>
      </c>
      <c r="B260" t="s">
        <v>837</v>
      </c>
      <c r="C260" t="s">
        <v>720</v>
      </c>
      <c r="D260" t="s">
        <v>829</v>
      </c>
      <c r="E260" t="s">
        <v>504</v>
      </c>
      <c r="F260" t="s">
        <v>553</v>
      </c>
      <c r="G260" t="s">
        <v>511</v>
      </c>
      <c r="H260" t="str">
        <f>+VLOOKUP(G260,'PITESAI corrisp Corine3 - Maes'!$A$2:$B$26,2,FALSE)</f>
        <v>Cropland</v>
      </c>
    </row>
    <row r="261" spans="1:8" x14ac:dyDescent="0.3">
      <c r="A261">
        <v>1378</v>
      </c>
      <c r="B261" t="s">
        <v>838</v>
      </c>
      <c r="C261" t="s">
        <v>720</v>
      </c>
      <c r="D261" t="s">
        <v>723</v>
      </c>
      <c r="E261" t="s">
        <v>504</v>
      </c>
      <c r="F261" t="s">
        <v>567</v>
      </c>
      <c r="G261" t="s">
        <v>568</v>
      </c>
      <c r="H261" t="str">
        <f>+VLOOKUP(G261,'PITESAI corrisp Corine3 - Maes'!$A$2:$B$26,2,FALSE)</f>
        <v>Cropland</v>
      </c>
    </row>
    <row r="262" spans="1:8" x14ac:dyDescent="0.3">
      <c r="A262">
        <v>1379</v>
      </c>
      <c r="B262" t="s">
        <v>839</v>
      </c>
      <c r="C262" t="s">
        <v>720</v>
      </c>
      <c r="D262" t="s">
        <v>723</v>
      </c>
      <c r="E262" t="s">
        <v>504</v>
      </c>
      <c r="F262" t="s">
        <v>567</v>
      </c>
      <c r="G262" t="s">
        <v>568</v>
      </c>
      <c r="H262" t="str">
        <f>+VLOOKUP(G262,'PITESAI corrisp Corine3 - Maes'!$A$2:$B$26,2,FALSE)</f>
        <v>Cropland</v>
      </c>
    </row>
    <row r="263" spans="1:8" x14ac:dyDescent="0.3">
      <c r="A263">
        <v>1380</v>
      </c>
      <c r="B263" t="s">
        <v>840</v>
      </c>
      <c r="C263" t="s">
        <v>720</v>
      </c>
      <c r="D263" t="s">
        <v>723</v>
      </c>
      <c r="E263" t="s">
        <v>504</v>
      </c>
      <c r="F263" t="s">
        <v>567</v>
      </c>
      <c r="G263" t="s">
        <v>568</v>
      </c>
      <c r="H263" t="str">
        <f>+VLOOKUP(G263,'PITESAI corrisp Corine3 - Maes'!$A$2:$B$26,2,FALSE)</f>
        <v>Cropland</v>
      </c>
    </row>
    <row r="264" spans="1:8" x14ac:dyDescent="0.3">
      <c r="A264">
        <v>1381</v>
      </c>
      <c r="B264" t="s">
        <v>841</v>
      </c>
      <c r="C264" t="s">
        <v>720</v>
      </c>
      <c r="D264" t="s">
        <v>723</v>
      </c>
      <c r="E264" t="s">
        <v>504</v>
      </c>
      <c r="F264" t="s">
        <v>515</v>
      </c>
      <c r="G264" t="s">
        <v>506</v>
      </c>
      <c r="H264" t="str">
        <f>+VLOOKUP(G264,'PITESAI corrisp Corine3 - Maes'!$A$2:$B$26,2,FALSE)</f>
        <v>Woodland and forest</v>
      </c>
    </row>
    <row r="265" spans="1:8" x14ac:dyDescent="0.3">
      <c r="A265">
        <v>1382</v>
      </c>
      <c r="B265" t="s">
        <v>842</v>
      </c>
      <c r="C265" t="s">
        <v>720</v>
      </c>
      <c r="D265" t="s">
        <v>723</v>
      </c>
      <c r="E265" t="s">
        <v>504</v>
      </c>
      <c r="F265" t="s">
        <v>515</v>
      </c>
      <c r="G265" t="s">
        <v>506</v>
      </c>
      <c r="H265" t="str">
        <f>+VLOOKUP(G265,'PITESAI corrisp Corine3 - Maes'!$A$2:$B$26,2,FALSE)</f>
        <v>Woodland and forest</v>
      </c>
    </row>
    <row r="266" spans="1:8" x14ac:dyDescent="0.3">
      <c r="A266">
        <v>1383</v>
      </c>
      <c r="B266" t="s">
        <v>843</v>
      </c>
      <c r="C266" t="s">
        <v>720</v>
      </c>
      <c r="D266" t="s">
        <v>723</v>
      </c>
      <c r="E266" t="s">
        <v>504</v>
      </c>
      <c r="F266" t="s">
        <v>515</v>
      </c>
      <c r="G266" t="s">
        <v>506</v>
      </c>
      <c r="H266" t="str">
        <f>+VLOOKUP(G266,'PITESAI corrisp Corine3 - Maes'!$A$2:$B$26,2,FALSE)</f>
        <v>Woodland and forest</v>
      </c>
    </row>
    <row r="267" spans="1:8" x14ac:dyDescent="0.3">
      <c r="A267">
        <v>1373</v>
      </c>
      <c r="B267" t="s">
        <v>844</v>
      </c>
      <c r="C267" t="s">
        <v>720</v>
      </c>
      <c r="D267" t="s">
        <v>829</v>
      </c>
      <c r="E267" t="s">
        <v>504</v>
      </c>
      <c r="F267" t="s">
        <v>567</v>
      </c>
      <c r="G267" t="s">
        <v>568</v>
      </c>
      <c r="H267" t="str">
        <f>+VLOOKUP(G267,'PITESAI corrisp Corine3 - Maes'!$A$2:$B$26,2,FALSE)</f>
        <v>Cropland</v>
      </c>
    </row>
    <row r="268" spans="1:8" x14ac:dyDescent="0.3">
      <c r="A268">
        <v>1356</v>
      </c>
      <c r="B268" t="s">
        <v>845</v>
      </c>
      <c r="C268" t="s">
        <v>720</v>
      </c>
      <c r="D268" t="s">
        <v>829</v>
      </c>
      <c r="E268" t="s">
        <v>504</v>
      </c>
      <c r="F268" t="s">
        <v>499</v>
      </c>
      <c r="G268" t="s">
        <v>500</v>
      </c>
      <c r="H268" t="str">
        <f>+VLOOKUP(G268,'PITESAI corrisp Corine3 - Maes'!$A$2:$B$26,2,FALSE)</f>
        <v>Woodland and forest</v>
      </c>
    </row>
    <row r="269" spans="1:8" x14ac:dyDescent="0.3">
      <c r="A269">
        <v>1347</v>
      </c>
      <c r="B269" t="s">
        <v>846</v>
      </c>
      <c r="C269" t="s">
        <v>720</v>
      </c>
      <c r="D269" t="s">
        <v>788</v>
      </c>
      <c r="E269" t="s">
        <v>504</v>
      </c>
      <c r="F269" t="s">
        <v>515</v>
      </c>
      <c r="G269" t="s">
        <v>506</v>
      </c>
      <c r="H269" t="str">
        <f>+VLOOKUP(G269,'PITESAI corrisp Corine3 - Maes'!$A$2:$B$26,2,FALSE)</f>
        <v>Woodland and forest</v>
      </c>
    </row>
    <row r="270" spans="1:8" x14ac:dyDescent="0.3">
      <c r="A270">
        <v>1348</v>
      </c>
      <c r="B270" t="s">
        <v>847</v>
      </c>
      <c r="C270" t="s">
        <v>720</v>
      </c>
      <c r="D270" t="s">
        <v>788</v>
      </c>
      <c r="E270" t="s">
        <v>504</v>
      </c>
      <c r="F270" t="s">
        <v>515</v>
      </c>
      <c r="G270" t="s">
        <v>506</v>
      </c>
      <c r="H270" t="str">
        <f>+VLOOKUP(G270,'PITESAI corrisp Corine3 - Maes'!$A$2:$B$26,2,FALSE)</f>
        <v>Woodland and forest</v>
      </c>
    </row>
    <row r="271" spans="1:8" x14ac:dyDescent="0.3">
      <c r="A271">
        <v>1349</v>
      </c>
      <c r="B271" t="s">
        <v>848</v>
      </c>
      <c r="C271" t="s">
        <v>720</v>
      </c>
      <c r="D271" t="s">
        <v>788</v>
      </c>
      <c r="E271" t="s">
        <v>504</v>
      </c>
      <c r="F271" t="s">
        <v>567</v>
      </c>
      <c r="G271" t="s">
        <v>568</v>
      </c>
      <c r="H271" t="str">
        <f>+VLOOKUP(G271,'PITESAI corrisp Corine3 - Maes'!$A$2:$B$26,2,FALSE)</f>
        <v>Cropland</v>
      </c>
    </row>
    <row r="272" spans="1:8" x14ac:dyDescent="0.3">
      <c r="A272">
        <v>1350</v>
      </c>
      <c r="B272" t="s">
        <v>849</v>
      </c>
      <c r="C272" t="s">
        <v>720</v>
      </c>
      <c r="D272" t="s">
        <v>788</v>
      </c>
      <c r="E272" t="s">
        <v>504</v>
      </c>
      <c r="F272" t="s">
        <v>515</v>
      </c>
      <c r="G272" t="s">
        <v>506</v>
      </c>
      <c r="H272" t="str">
        <f>+VLOOKUP(G272,'PITESAI corrisp Corine3 - Maes'!$A$2:$B$26,2,FALSE)</f>
        <v>Woodland and forest</v>
      </c>
    </row>
    <row r="273" spans="1:8" x14ac:dyDescent="0.3">
      <c r="A273">
        <v>1351</v>
      </c>
      <c r="B273" t="s">
        <v>850</v>
      </c>
      <c r="C273" t="s">
        <v>720</v>
      </c>
      <c r="D273" t="s">
        <v>788</v>
      </c>
      <c r="E273" t="s">
        <v>504</v>
      </c>
      <c r="F273" t="s">
        <v>499</v>
      </c>
      <c r="G273" t="s">
        <v>500</v>
      </c>
      <c r="H273" t="str">
        <f>+VLOOKUP(G273,'PITESAI corrisp Corine3 - Maes'!$A$2:$B$26,2,FALSE)</f>
        <v>Woodland and forest</v>
      </c>
    </row>
    <row r="274" spans="1:8" x14ac:dyDescent="0.3">
      <c r="A274">
        <v>1352</v>
      </c>
      <c r="B274" t="s">
        <v>851</v>
      </c>
      <c r="C274" t="s">
        <v>720</v>
      </c>
      <c r="D274" t="s">
        <v>829</v>
      </c>
      <c r="E274" t="s">
        <v>504</v>
      </c>
      <c r="F274" t="s">
        <v>515</v>
      </c>
      <c r="G274" t="s">
        <v>506</v>
      </c>
      <c r="H274" t="str">
        <f>+VLOOKUP(G274,'PITESAI corrisp Corine3 - Maes'!$A$2:$B$26,2,FALSE)</f>
        <v>Woodland and forest</v>
      </c>
    </row>
    <row r="275" spans="1:8" x14ac:dyDescent="0.3">
      <c r="A275">
        <v>1353</v>
      </c>
      <c r="B275" t="s">
        <v>852</v>
      </c>
      <c r="C275" t="s">
        <v>720</v>
      </c>
      <c r="D275" t="s">
        <v>829</v>
      </c>
      <c r="E275" t="s">
        <v>504</v>
      </c>
      <c r="F275" t="s">
        <v>515</v>
      </c>
      <c r="G275" t="s">
        <v>506</v>
      </c>
      <c r="H275" t="str">
        <f>+VLOOKUP(G275,'PITESAI corrisp Corine3 - Maes'!$A$2:$B$26,2,FALSE)</f>
        <v>Woodland and forest</v>
      </c>
    </row>
    <row r="276" spans="1:8" x14ac:dyDescent="0.3">
      <c r="A276">
        <v>1366</v>
      </c>
      <c r="B276" t="s">
        <v>853</v>
      </c>
      <c r="C276" t="s">
        <v>720</v>
      </c>
      <c r="D276" t="s">
        <v>829</v>
      </c>
      <c r="E276" t="s">
        <v>504</v>
      </c>
      <c r="F276" t="s">
        <v>567</v>
      </c>
      <c r="G276" t="s">
        <v>568</v>
      </c>
      <c r="H276" t="str">
        <f>+VLOOKUP(G276,'PITESAI corrisp Corine3 - Maes'!$A$2:$B$26,2,FALSE)</f>
        <v>Cropland</v>
      </c>
    </row>
    <row r="277" spans="1:8" x14ac:dyDescent="0.3">
      <c r="A277">
        <v>1355</v>
      </c>
      <c r="B277" t="s">
        <v>854</v>
      </c>
      <c r="C277" t="s">
        <v>720</v>
      </c>
      <c r="D277" t="s">
        <v>829</v>
      </c>
      <c r="E277" t="s">
        <v>504</v>
      </c>
      <c r="F277" t="s">
        <v>515</v>
      </c>
      <c r="G277" t="s">
        <v>506</v>
      </c>
      <c r="H277" t="str">
        <f>+VLOOKUP(G277,'PITESAI corrisp Corine3 - Maes'!$A$2:$B$26,2,FALSE)</f>
        <v>Woodland and forest</v>
      </c>
    </row>
    <row r="278" spans="1:8" x14ac:dyDescent="0.3">
      <c r="A278">
        <v>1385</v>
      </c>
      <c r="B278" t="s">
        <v>855</v>
      </c>
      <c r="C278" t="s">
        <v>720</v>
      </c>
      <c r="D278" t="s">
        <v>723</v>
      </c>
      <c r="E278" t="s">
        <v>504</v>
      </c>
      <c r="F278" t="s">
        <v>515</v>
      </c>
      <c r="G278" t="s">
        <v>506</v>
      </c>
      <c r="H278" t="str">
        <f>+VLOOKUP(G278,'PITESAI corrisp Corine3 - Maes'!$A$2:$B$26,2,FALSE)</f>
        <v>Woodland and forest</v>
      </c>
    </row>
    <row r="279" spans="1:8" x14ac:dyDescent="0.3">
      <c r="A279">
        <v>1357</v>
      </c>
      <c r="B279" t="s">
        <v>856</v>
      </c>
      <c r="C279" t="s">
        <v>720</v>
      </c>
      <c r="D279" t="s">
        <v>829</v>
      </c>
      <c r="E279" t="s">
        <v>504</v>
      </c>
      <c r="F279" t="s">
        <v>567</v>
      </c>
      <c r="G279" t="s">
        <v>568</v>
      </c>
      <c r="H279" t="str">
        <f>+VLOOKUP(G279,'PITESAI corrisp Corine3 - Maes'!$A$2:$B$26,2,FALSE)</f>
        <v>Cropland</v>
      </c>
    </row>
    <row r="280" spans="1:8" x14ac:dyDescent="0.3">
      <c r="A280">
        <v>1358</v>
      </c>
      <c r="B280" t="s">
        <v>857</v>
      </c>
      <c r="C280" t="s">
        <v>720</v>
      </c>
      <c r="D280" t="s">
        <v>829</v>
      </c>
      <c r="E280" t="s">
        <v>504</v>
      </c>
      <c r="F280" t="s">
        <v>515</v>
      </c>
      <c r="G280" t="s">
        <v>506</v>
      </c>
      <c r="H280" t="str">
        <f>+VLOOKUP(G280,'PITESAI corrisp Corine3 - Maes'!$A$2:$B$26,2,FALSE)</f>
        <v>Woodland and forest</v>
      </c>
    </row>
    <row r="281" spans="1:8" x14ac:dyDescent="0.3">
      <c r="A281">
        <v>1359</v>
      </c>
      <c r="B281" t="s">
        <v>858</v>
      </c>
      <c r="C281" t="s">
        <v>720</v>
      </c>
      <c r="D281" t="s">
        <v>829</v>
      </c>
      <c r="E281" t="s">
        <v>504</v>
      </c>
      <c r="F281" t="s">
        <v>567</v>
      </c>
      <c r="G281" t="s">
        <v>568</v>
      </c>
      <c r="H281" t="str">
        <f>+VLOOKUP(G281,'PITESAI corrisp Corine3 - Maes'!$A$2:$B$26,2,FALSE)</f>
        <v>Cropland</v>
      </c>
    </row>
    <row r="282" spans="1:8" x14ac:dyDescent="0.3">
      <c r="A282">
        <v>1360</v>
      </c>
      <c r="B282" t="s">
        <v>859</v>
      </c>
      <c r="C282" t="s">
        <v>720</v>
      </c>
      <c r="D282" t="s">
        <v>829</v>
      </c>
      <c r="E282" t="s">
        <v>504</v>
      </c>
      <c r="F282" t="s">
        <v>567</v>
      </c>
      <c r="G282" t="s">
        <v>568</v>
      </c>
      <c r="H282" t="str">
        <f>+VLOOKUP(G282,'PITESAI corrisp Corine3 - Maes'!$A$2:$B$26,2,FALSE)</f>
        <v>Cropland</v>
      </c>
    </row>
    <row r="283" spans="1:8" x14ac:dyDescent="0.3">
      <c r="A283">
        <v>1361</v>
      </c>
      <c r="B283" t="s">
        <v>860</v>
      </c>
      <c r="C283" t="s">
        <v>720</v>
      </c>
      <c r="D283" t="s">
        <v>829</v>
      </c>
      <c r="E283" t="s">
        <v>504</v>
      </c>
      <c r="F283" t="s">
        <v>567</v>
      </c>
      <c r="G283" t="s">
        <v>568</v>
      </c>
      <c r="H283" t="str">
        <f>+VLOOKUP(G283,'PITESAI corrisp Corine3 - Maes'!$A$2:$B$26,2,FALSE)</f>
        <v>Cropland</v>
      </c>
    </row>
    <row r="284" spans="1:8" x14ac:dyDescent="0.3">
      <c r="A284">
        <v>1362</v>
      </c>
      <c r="B284" t="s">
        <v>861</v>
      </c>
      <c r="C284" t="s">
        <v>720</v>
      </c>
      <c r="D284" t="s">
        <v>829</v>
      </c>
      <c r="E284" t="s">
        <v>504</v>
      </c>
      <c r="F284" t="s">
        <v>515</v>
      </c>
      <c r="G284" t="s">
        <v>506</v>
      </c>
      <c r="H284" t="str">
        <f>+VLOOKUP(G284,'PITESAI corrisp Corine3 - Maes'!$A$2:$B$26,2,FALSE)</f>
        <v>Woodland and forest</v>
      </c>
    </row>
    <row r="285" spans="1:8" x14ac:dyDescent="0.3">
      <c r="A285">
        <v>1363</v>
      </c>
      <c r="B285" t="s">
        <v>862</v>
      </c>
      <c r="C285" t="s">
        <v>720</v>
      </c>
      <c r="D285" t="s">
        <v>829</v>
      </c>
      <c r="E285" t="s">
        <v>504</v>
      </c>
      <c r="F285" t="s">
        <v>515</v>
      </c>
      <c r="G285" t="s">
        <v>506</v>
      </c>
      <c r="H285" t="str">
        <f>+VLOOKUP(G285,'PITESAI corrisp Corine3 - Maes'!$A$2:$B$26,2,FALSE)</f>
        <v>Woodland and forest</v>
      </c>
    </row>
    <row r="286" spans="1:8" x14ac:dyDescent="0.3">
      <c r="A286">
        <v>1354</v>
      </c>
      <c r="B286" t="s">
        <v>863</v>
      </c>
      <c r="C286" t="s">
        <v>720</v>
      </c>
      <c r="D286" t="s">
        <v>829</v>
      </c>
      <c r="E286" t="s">
        <v>504</v>
      </c>
      <c r="F286" t="s">
        <v>553</v>
      </c>
      <c r="G286" t="s">
        <v>511</v>
      </c>
      <c r="H286" t="str">
        <f>+VLOOKUP(G286,'PITESAI corrisp Corine3 - Maes'!$A$2:$B$26,2,FALSE)</f>
        <v>Cropland</v>
      </c>
    </row>
    <row r="287" spans="1:8" x14ac:dyDescent="0.3">
      <c r="A287">
        <v>2381</v>
      </c>
      <c r="B287" t="s">
        <v>864</v>
      </c>
      <c r="C287" t="s">
        <v>611</v>
      </c>
      <c r="D287" t="s">
        <v>865</v>
      </c>
      <c r="E287" t="s">
        <v>504</v>
      </c>
      <c r="F287" t="s">
        <v>866</v>
      </c>
      <c r="G287" t="s">
        <v>867</v>
      </c>
      <c r="H287" t="str">
        <f>+VLOOKUP(G287,'PITESAI corrisp Corine3 - Maes'!$A$2:$B$26,2,FALSE)</f>
        <v>Woodland and forest</v>
      </c>
    </row>
    <row r="288" spans="1:8" x14ac:dyDescent="0.3">
      <c r="A288">
        <v>2380</v>
      </c>
      <c r="B288" t="s">
        <v>868</v>
      </c>
      <c r="C288" t="s">
        <v>611</v>
      </c>
      <c r="D288" t="s">
        <v>865</v>
      </c>
      <c r="E288" t="s">
        <v>504</v>
      </c>
      <c r="F288" t="s">
        <v>866</v>
      </c>
      <c r="G288" t="s">
        <v>867</v>
      </c>
      <c r="H288" t="str">
        <f>+VLOOKUP(G288,'PITESAI corrisp Corine3 - Maes'!$A$2:$B$26,2,FALSE)</f>
        <v>Woodland and forest</v>
      </c>
    </row>
    <row r="289" spans="1:8" x14ac:dyDescent="0.3">
      <c r="A289">
        <v>2379</v>
      </c>
      <c r="B289" t="s">
        <v>869</v>
      </c>
      <c r="C289" t="s">
        <v>611</v>
      </c>
      <c r="D289" t="s">
        <v>865</v>
      </c>
      <c r="E289" t="s">
        <v>504</v>
      </c>
      <c r="F289" t="s">
        <v>866</v>
      </c>
      <c r="G289" t="s">
        <v>867</v>
      </c>
      <c r="H289" t="str">
        <f>+VLOOKUP(G289,'PITESAI corrisp Corine3 - Maes'!$A$2:$B$26,2,FALSE)</f>
        <v>Woodland and forest</v>
      </c>
    </row>
    <row r="290" spans="1:8" x14ac:dyDescent="0.3">
      <c r="A290">
        <v>2378</v>
      </c>
      <c r="B290" t="s">
        <v>870</v>
      </c>
      <c r="C290" t="s">
        <v>611</v>
      </c>
      <c r="D290" t="s">
        <v>865</v>
      </c>
      <c r="E290" t="s">
        <v>504</v>
      </c>
      <c r="F290" t="s">
        <v>866</v>
      </c>
      <c r="G290" t="s">
        <v>867</v>
      </c>
      <c r="H290" t="str">
        <f>+VLOOKUP(G290,'PITESAI corrisp Corine3 - Maes'!$A$2:$B$26,2,FALSE)</f>
        <v>Woodland and forest</v>
      </c>
    </row>
    <row r="291" spans="1:8" x14ac:dyDescent="0.3">
      <c r="A291">
        <v>2377</v>
      </c>
      <c r="B291" t="s">
        <v>871</v>
      </c>
      <c r="C291" t="s">
        <v>611</v>
      </c>
      <c r="D291" t="s">
        <v>865</v>
      </c>
      <c r="E291" t="s">
        <v>504</v>
      </c>
      <c r="F291" t="s">
        <v>866</v>
      </c>
      <c r="G291" t="s">
        <v>867</v>
      </c>
      <c r="H291" t="str">
        <f>+VLOOKUP(G291,'PITESAI corrisp Corine3 - Maes'!$A$2:$B$26,2,FALSE)</f>
        <v>Woodland and forest</v>
      </c>
    </row>
    <row r="292" spans="1:8" x14ac:dyDescent="0.3">
      <c r="A292">
        <v>2376</v>
      </c>
      <c r="B292" t="s">
        <v>872</v>
      </c>
      <c r="C292" t="s">
        <v>611</v>
      </c>
      <c r="D292" t="s">
        <v>865</v>
      </c>
      <c r="E292" t="s">
        <v>504</v>
      </c>
      <c r="F292" t="s">
        <v>866</v>
      </c>
      <c r="G292" t="s">
        <v>867</v>
      </c>
      <c r="H292" t="str">
        <f>+VLOOKUP(G292,'PITESAI corrisp Corine3 - Maes'!$A$2:$B$26,2,FALSE)</f>
        <v>Woodland and forest</v>
      </c>
    </row>
    <row r="293" spans="1:8" x14ac:dyDescent="0.3">
      <c r="A293">
        <v>2384</v>
      </c>
      <c r="B293" t="s">
        <v>873</v>
      </c>
      <c r="C293" t="s">
        <v>611</v>
      </c>
      <c r="D293" t="s">
        <v>865</v>
      </c>
      <c r="E293" t="s">
        <v>504</v>
      </c>
      <c r="F293" t="s">
        <v>866</v>
      </c>
      <c r="G293" t="s">
        <v>867</v>
      </c>
      <c r="H293" t="str">
        <f>+VLOOKUP(G293,'PITESAI corrisp Corine3 - Maes'!$A$2:$B$26,2,FALSE)</f>
        <v>Woodland and forest</v>
      </c>
    </row>
    <row r="294" spans="1:8" x14ac:dyDescent="0.3">
      <c r="A294">
        <v>2385</v>
      </c>
      <c r="B294" t="s">
        <v>874</v>
      </c>
      <c r="C294" t="s">
        <v>611</v>
      </c>
      <c r="D294" t="s">
        <v>865</v>
      </c>
      <c r="E294" t="s">
        <v>504</v>
      </c>
      <c r="F294" t="s">
        <v>866</v>
      </c>
      <c r="G294" t="s">
        <v>867</v>
      </c>
      <c r="H294" t="str">
        <f>+VLOOKUP(G294,'PITESAI corrisp Corine3 - Maes'!$A$2:$B$26,2,FALSE)</f>
        <v>Woodland and forest</v>
      </c>
    </row>
    <row r="295" spans="1:8" x14ac:dyDescent="0.3">
      <c r="A295">
        <v>2342</v>
      </c>
      <c r="B295" t="s">
        <v>875</v>
      </c>
      <c r="C295" t="s">
        <v>536</v>
      </c>
      <c r="D295" t="s">
        <v>537</v>
      </c>
      <c r="E295" t="s">
        <v>504</v>
      </c>
      <c r="F295" t="s">
        <v>510</v>
      </c>
      <c r="G295" t="s">
        <v>511</v>
      </c>
      <c r="H295" t="str">
        <f>+VLOOKUP(G295,'PITESAI corrisp Corine3 - Maes'!$A$2:$B$26,2,FALSE)</f>
        <v>Cropland</v>
      </c>
    </row>
    <row r="296" spans="1:8" x14ac:dyDescent="0.3">
      <c r="A296">
        <v>2405</v>
      </c>
      <c r="B296" t="s">
        <v>876</v>
      </c>
      <c r="C296" t="s">
        <v>633</v>
      </c>
      <c r="D296" t="s">
        <v>542</v>
      </c>
      <c r="E296" t="s">
        <v>498</v>
      </c>
      <c r="F296" t="s">
        <v>510</v>
      </c>
      <c r="G296" t="s">
        <v>511</v>
      </c>
      <c r="H296" t="str">
        <f>+VLOOKUP(G296,'PITESAI corrisp Corine3 - Maes'!$A$2:$B$26,2,FALSE)</f>
        <v>Cropland</v>
      </c>
    </row>
    <row r="297" spans="1:8" x14ac:dyDescent="0.3">
      <c r="A297">
        <v>2375</v>
      </c>
      <c r="B297" t="s">
        <v>877</v>
      </c>
      <c r="C297" t="s">
        <v>611</v>
      </c>
      <c r="D297" t="s">
        <v>865</v>
      </c>
      <c r="E297" t="s">
        <v>504</v>
      </c>
      <c r="F297" t="s">
        <v>866</v>
      </c>
      <c r="G297" t="s">
        <v>867</v>
      </c>
      <c r="H297" t="str">
        <f>+VLOOKUP(G297,'PITESAI corrisp Corine3 - Maes'!$A$2:$B$26,2,FALSE)</f>
        <v>Woodland and forest</v>
      </c>
    </row>
    <row r="298" spans="1:8" x14ac:dyDescent="0.3">
      <c r="A298">
        <v>2396</v>
      </c>
      <c r="B298" t="s">
        <v>878</v>
      </c>
      <c r="C298" t="s">
        <v>611</v>
      </c>
      <c r="D298" t="s">
        <v>865</v>
      </c>
      <c r="E298" t="s">
        <v>504</v>
      </c>
      <c r="F298" t="s">
        <v>866</v>
      </c>
      <c r="G298" t="s">
        <v>867</v>
      </c>
      <c r="H298" t="str">
        <f>+VLOOKUP(G298,'PITESAI corrisp Corine3 - Maes'!$A$2:$B$26,2,FALSE)</f>
        <v>Woodland and forest</v>
      </c>
    </row>
    <row r="299" spans="1:8" x14ac:dyDescent="0.3">
      <c r="A299">
        <v>2403</v>
      </c>
      <c r="B299" t="s">
        <v>879</v>
      </c>
      <c r="C299" t="s">
        <v>633</v>
      </c>
      <c r="D299" t="s">
        <v>542</v>
      </c>
      <c r="E299" t="s">
        <v>498</v>
      </c>
      <c r="F299" t="s">
        <v>510</v>
      </c>
      <c r="G299" t="s">
        <v>511</v>
      </c>
      <c r="H299" t="str">
        <f>+VLOOKUP(G299,'PITESAI corrisp Corine3 - Maes'!$A$2:$B$26,2,FALSE)</f>
        <v>Cropland</v>
      </c>
    </row>
    <row r="300" spans="1:8" x14ac:dyDescent="0.3">
      <c r="A300">
        <v>2402</v>
      </c>
      <c r="B300" t="s">
        <v>880</v>
      </c>
      <c r="C300" t="s">
        <v>611</v>
      </c>
      <c r="D300" t="s">
        <v>865</v>
      </c>
      <c r="E300" t="s">
        <v>504</v>
      </c>
      <c r="F300" t="s">
        <v>866</v>
      </c>
      <c r="G300" t="s">
        <v>867</v>
      </c>
      <c r="H300" t="str">
        <f>+VLOOKUP(G300,'PITESAI corrisp Corine3 - Maes'!$A$2:$B$26,2,FALSE)</f>
        <v>Woodland and forest</v>
      </c>
    </row>
    <row r="301" spans="1:8" x14ac:dyDescent="0.3">
      <c r="A301">
        <v>2401</v>
      </c>
      <c r="B301" t="s">
        <v>881</v>
      </c>
      <c r="C301" t="s">
        <v>611</v>
      </c>
      <c r="D301" t="s">
        <v>865</v>
      </c>
      <c r="E301" t="s">
        <v>504</v>
      </c>
      <c r="F301" t="s">
        <v>866</v>
      </c>
      <c r="G301" t="s">
        <v>867</v>
      </c>
      <c r="H301" t="str">
        <f>+VLOOKUP(G301,'PITESAI corrisp Corine3 - Maes'!$A$2:$B$26,2,FALSE)</f>
        <v>Woodland and forest</v>
      </c>
    </row>
    <row r="302" spans="1:8" x14ac:dyDescent="0.3">
      <c r="A302">
        <v>2400</v>
      </c>
      <c r="B302" t="s">
        <v>882</v>
      </c>
      <c r="C302" t="s">
        <v>611</v>
      </c>
      <c r="D302" t="s">
        <v>865</v>
      </c>
      <c r="E302" t="s">
        <v>504</v>
      </c>
      <c r="F302" t="s">
        <v>866</v>
      </c>
      <c r="G302" t="s">
        <v>867</v>
      </c>
      <c r="H302" t="str">
        <f>+VLOOKUP(G302,'PITESAI corrisp Corine3 - Maes'!$A$2:$B$26,2,FALSE)</f>
        <v>Woodland and forest</v>
      </c>
    </row>
    <row r="303" spans="1:8" x14ac:dyDescent="0.3">
      <c r="A303">
        <v>2399</v>
      </c>
      <c r="B303" t="s">
        <v>883</v>
      </c>
      <c r="C303" t="s">
        <v>611</v>
      </c>
      <c r="D303" t="s">
        <v>865</v>
      </c>
      <c r="E303" t="s">
        <v>504</v>
      </c>
      <c r="F303" t="s">
        <v>866</v>
      </c>
      <c r="G303" t="s">
        <v>867</v>
      </c>
      <c r="H303" t="str">
        <f>+VLOOKUP(G303,'PITESAI corrisp Corine3 - Maes'!$A$2:$B$26,2,FALSE)</f>
        <v>Woodland and forest</v>
      </c>
    </row>
    <row r="304" spans="1:8" x14ac:dyDescent="0.3">
      <c r="A304">
        <v>2398</v>
      </c>
      <c r="B304" t="s">
        <v>884</v>
      </c>
      <c r="C304" t="s">
        <v>611</v>
      </c>
      <c r="D304" t="s">
        <v>865</v>
      </c>
      <c r="E304" t="s">
        <v>504</v>
      </c>
      <c r="F304" t="s">
        <v>866</v>
      </c>
      <c r="G304" t="s">
        <v>867</v>
      </c>
      <c r="H304" t="str">
        <f>+VLOOKUP(G304,'PITESAI corrisp Corine3 - Maes'!$A$2:$B$26,2,FALSE)</f>
        <v>Woodland and forest</v>
      </c>
    </row>
    <row r="305" spans="1:8" x14ac:dyDescent="0.3">
      <c r="A305">
        <v>2383</v>
      </c>
      <c r="B305" t="s">
        <v>885</v>
      </c>
      <c r="C305" t="s">
        <v>611</v>
      </c>
      <c r="D305" t="s">
        <v>865</v>
      </c>
      <c r="E305" t="s">
        <v>504</v>
      </c>
      <c r="F305" t="s">
        <v>866</v>
      </c>
      <c r="G305" t="s">
        <v>867</v>
      </c>
      <c r="H305" t="str">
        <f>+VLOOKUP(G305,'PITESAI corrisp Corine3 - Maes'!$A$2:$B$26,2,FALSE)</f>
        <v>Woodland and forest</v>
      </c>
    </row>
    <row r="306" spans="1:8" x14ac:dyDescent="0.3">
      <c r="A306">
        <v>2397</v>
      </c>
      <c r="B306" t="s">
        <v>886</v>
      </c>
      <c r="C306" t="s">
        <v>611</v>
      </c>
      <c r="D306" t="s">
        <v>865</v>
      </c>
      <c r="E306" t="s">
        <v>504</v>
      </c>
      <c r="F306" t="s">
        <v>866</v>
      </c>
      <c r="G306" t="s">
        <v>867</v>
      </c>
      <c r="H306" t="str">
        <f>+VLOOKUP(G306,'PITESAI corrisp Corine3 - Maes'!$A$2:$B$26,2,FALSE)</f>
        <v>Woodland and forest</v>
      </c>
    </row>
    <row r="307" spans="1:8" x14ac:dyDescent="0.3">
      <c r="A307">
        <v>2395</v>
      </c>
      <c r="B307" t="s">
        <v>887</v>
      </c>
      <c r="C307" t="s">
        <v>611</v>
      </c>
      <c r="D307" t="s">
        <v>865</v>
      </c>
      <c r="E307" t="s">
        <v>504</v>
      </c>
      <c r="F307" t="s">
        <v>866</v>
      </c>
      <c r="G307" t="s">
        <v>867</v>
      </c>
      <c r="H307" t="str">
        <f>+VLOOKUP(G307,'PITESAI corrisp Corine3 - Maes'!$A$2:$B$26,2,FALSE)</f>
        <v>Woodland and forest</v>
      </c>
    </row>
    <row r="308" spans="1:8" x14ac:dyDescent="0.3">
      <c r="A308">
        <v>2394</v>
      </c>
      <c r="B308" t="s">
        <v>888</v>
      </c>
      <c r="C308" t="s">
        <v>611</v>
      </c>
      <c r="D308" t="s">
        <v>865</v>
      </c>
      <c r="E308" t="s">
        <v>504</v>
      </c>
      <c r="F308" t="s">
        <v>866</v>
      </c>
      <c r="G308" t="s">
        <v>867</v>
      </c>
      <c r="H308" t="str">
        <f>+VLOOKUP(G308,'PITESAI corrisp Corine3 - Maes'!$A$2:$B$26,2,FALSE)</f>
        <v>Woodland and forest</v>
      </c>
    </row>
    <row r="309" spans="1:8" x14ac:dyDescent="0.3">
      <c r="A309">
        <v>2393</v>
      </c>
      <c r="B309" t="s">
        <v>889</v>
      </c>
      <c r="C309" t="s">
        <v>611</v>
      </c>
      <c r="D309" t="s">
        <v>865</v>
      </c>
      <c r="E309" t="s">
        <v>504</v>
      </c>
      <c r="F309" t="s">
        <v>866</v>
      </c>
      <c r="G309" t="s">
        <v>867</v>
      </c>
      <c r="H309" t="str">
        <f>+VLOOKUP(G309,'PITESAI corrisp Corine3 - Maes'!$A$2:$B$26,2,FALSE)</f>
        <v>Woodland and forest</v>
      </c>
    </row>
    <row r="310" spans="1:8" x14ac:dyDescent="0.3">
      <c r="A310">
        <v>2392</v>
      </c>
      <c r="B310" t="s">
        <v>890</v>
      </c>
      <c r="C310" t="s">
        <v>611</v>
      </c>
      <c r="D310" t="s">
        <v>865</v>
      </c>
      <c r="E310" t="s">
        <v>504</v>
      </c>
      <c r="F310" t="s">
        <v>866</v>
      </c>
      <c r="G310" t="s">
        <v>867</v>
      </c>
      <c r="H310" t="str">
        <f>+VLOOKUP(G310,'PITESAI corrisp Corine3 - Maes'!$A$2:$B$26,2,FALSE)</f>
        <v>Woodland and forest</v>
      </c>
    </row>
    <row r="311" spans="1:8" x14ac:dyDescent="0.3">
      <c r="A311">
        <v>2388</v>
      </c>
      <c r="B311" t="s">
        <v>891</v>
      </c>
      <c r="C311" t="s">
        <v>611</v>
      </c>
      <c r="D311" t="s">
        <v>865</v>
      </c>
      <c r="E311" t="s">
        <v>504</v>
      </c>
      <c r="F311" t="s">
        <v>866</v>
      </c>
      <c r="G311" t="s">
        <v>867</v>
      </c>
      <c r="H311" t="str">
        <f>+VLOOKUP(G311,'PITESAI corrisp Corine3 - Maes'!$A$2:$B$26,2,FALSE)</f>
        <v>Woodland and forest</v>
      </c>
    </row>
    <row r="312" spans="1:8" x14ac:dyDescent="0.3">
      <c r="A312">
        <v>2387</v>
      </c>
      <c r="B312" t="s">
        <v>892</v>
      </c>
      <c r="C312" t="s">
        <v>611</v>
      </c>
      <c r="D312" t="s">
        <v>865</v>
      </c>
      <c r="E312" t="s">
        <v>504</v>
      </c>
      <c r="F312" t="s">
        <v>866</v>
      </c>
      <c r="G312" t="s">
        <v>867</v>
      </c>
      <c r="H312" t="str">
        <f>+VLOOKUP(G312,'PITESAI corrisp Corine3 - Maes'!$A$2:$B$26,2,FALSE)</f>
        <v>Woodland and forest</v>
      </c>
    </row>
    <row r="313" spans="1:8" x14ac:dyDescent="0.3">
      <c r="A313">
        <v>2386</v>
      </c>
      <c r="B313" t="s">
        <v>893</v>
      </c>
      <c r="C313" t="s">
        <v>611</v>
      </c>
      <c r="D313" t="s">
        <v>865</v>
      </c>
      <c r="E313" t="s">
        <v>504</v>
      </c>
      <c r="F313" t="s">
        <v>866</v>
      </c>
      <c r="G313" t="s">
        <v>867</v>
      </c>
      <c r="H313" t="str">
        <f>+VLOOKUP(G313,'PITESAI corrisp Corine3 - Maes'!$A$2:$B$26,2,FALSE)</f>
        <v>Woodland and forest</v>
      </c>
    </row>
    <row r="314" spans="1:8" x14ac:dyDescent="0.3">
      <c r="A314">
        <v>2304</v>
      </c>
      <c r="B314" t="s">
        <v>894</v>
      </c>
      <c r="C314" t="s">
        <v>633</v>
      </c>
      <c r="D314" t="s">
        <v>895</v>
      </c>
      <c r="E314" t="s">
        <v>504</v>
      </c>
      <c r="F314" t="s">
        <v>527</v>
      </c>
      <c r="G314" t="s">
        <v>528</v>
      </c>
      <c r="H314" t="str">
        <f>+VLOOKUP(G314,'PITESAI corrisp Corine3 - Maes'!$A$2:$B$26,2,FALSE)</f>
        <v>Cropland</v>
      </c>
    </row>
    <row r="315" spans="1:8" x14ac:dyDescent="0.3">
      <c r="A315">
        <v>2312</v>
      </c>
      <c r="B315" t="s">
        <v>896</v>
      </c>
      <c r="C315" t="s">
        <v>588</v>
      </c>
      <c r="D315" t="s">
        <v>588</v>
      </c>
      <c r="E315" t="s">
        <v>504</v>
      </c>
      <c r="F315" t="s">
        <v>527</v>
      </c>
      <c r="G315" t="s">
        <v>528</v>
      </c>
      <c r="H315" t="str">
        <f>+VLOOKUP(G315,'PITESAI corrisp Corine3 - Maes'!$A$2:$B$26,2,FALSE)</f>
        <v>Cropland</v>
      </c>
    </row>
    <row r="316" spans="1:8" x14ac:dyDescent="0.3">
      <c r="A316">
        <v>2311</v>
      </c>
      <c r="B316" t="s">
        <v>897</v>
      </c>
      <c r="C316" t="s">
        <v>588</v>
      </c>
      <c r="D316" t="s">
        <v>588</v>
      </c>
      <c r="E316" t="s">
        <v>504</v>
      </c>
      <c r="F316" t="s">
        <v>527</v>
      </c>
      <c r="G316" t="s">
        <v>528</v>
      </c>
      <c r="H316" t="str">
        <f>+VLOOKUP(G316,'PITESAI corrisp Corine3 - Maes'!$A$2:$B$26,2,FALSE)</f>
        <v>Cropland</v>
      </c>
    </row>
    <row r="317" spans="1:8" x14ac:dyDescent="0.3">
      <c r="A317">
        <v>2310</v>
      </c>
      <c r="B317" t="s">
        <v>898</v>
      </c>
      <c r="C317" t="s">
        <v>588</v>
      </c>
      <c r="D317" t="s">
        <v>588</v>
      </c>
      <c r="E317" t="s">
        <v>504</v>
      </c>
      <c r="F317" t="s">
        <v>527</v>
      </c>
      <c r="G317" t="s">
        <v>528</v>
      </c>
      <c r="H317" t="str">
        <f>+VLOOKUP(G317,'PITESAI corrisp Corine3 - Maes'!$A$2:$B$26,2,FALSE)</f>
        <v>Cropland</v>
      </c>
    </row>
    <row r="318" spans="1:8" x14ac:dyDescent="0.3">
      <c r="A318">
        <v>2309</v>
      </c>
      <c r="B318" t="s">
        <v>899</v>
      </c>
      <c r="C318" t="s">
        <v>588</v>
      </c>
      <c r="D318" t="s">
        <v>588</v>
      </c>
      <c r="E318" t="s">
        <v>504</v>
      </c>
      <c r="F318" t="s">
        <v>510</v>
      </c>
      <c r="G318" t="s">
        <v>511</v>
      </c>
      <c r="H318" t="str">
        <f>+VLOOKUP(G318,'PITESAI corrisp Corine3 - Maes'!$A$2:$B$26,2,FALSE)</f>
        <v>Cropland</v>
      </c>
    </row>
    <row r="319" spans="1:8" x14ac:dyDescent="0.3">
      <c r="A319">
        <v>2308</v>
      </c>
      <c r="B319" t="s">
        <v>900</v>
      </c>
      <c r="C319" t="s">
        <v>588</v>
      </c>
      <c r="D319" t="s">
        <v>588</v>
      </c>
      <c r="E319" t="s">
        <v>504</v>
      </c>
      <c r="F319" t="s">
        <v>510</v>
      </c>
      <c r="G319" t="s">
        <v>511</v>
      </c>
      <c r="H319" t="str">
        <f>+VLOOKUP(G319,'PITESAI corrisp Corine3 - Maes'!$A$2:$B$26,2,FALSE)</f>
        <v>Cropland</v>
      </c>
    </row>
    <row r="320" spans="1:8" x14ac:dyDescent="0.3">
      <c r="A320">
        <v>2307</v>
      </c>
      <c r="B320" t="s">
        <v>901</v>
      </c>
      <c r="C320" t="s">
        <v>588</v>
      </c>
      <c r="D320" t="s">
        <v>588</v>
      </c>
      <c r="E320" t="s">
        <v>504</v>
      </c>
      <c r="F320" t="s">
        <v>527</v>
      </c>
      <c r="G320" t="s">
        <v>528</v>
      </c>
      <c r="H320" t="str">
        <f>+VLOOKUP(G320,'PITESAI corrisp Corine3 - Maes'!$A$2:$B$26,2,FALSE)</f>
        <v>Cropland</v>
      </c>
    </row>
    <row r="321" spans="1:8" x14ac:dyDescent="0.3">
      <c r="A321">
        <v>2315</v>
      </c>
      <c r="B321" t="s">
        <v>902</v>
      </c>
      <c r="C321" t="s">
        <v>513</v>
      </c>
      <c r="D321" t="s">
        <v>514</v>
      </c>
      <c r="E321" t="s">
        <v>498</v>
      </c>
      <c r="F321" t="s">
        <v>903</v>
      </c>
      <c r="G321" t="s">
        <v>563</v>
      </c>
      <c r="H321" t="str">
        <f>+VLOOKUP(G321,'PITESAI corrisp Corine3 - Maes'!$A$2:$B$26,2,FALSE)</f>
        <v>Woodland and forest</v>
      </c>
    </row>
    <row r="322" spans="1:8" x14ac:dyDescent="0.3">
      <c r="A322">
        <v>2305</v>
      </c>
      <c r="B322" t="s">
        <v>904</v>
      </c>
      <c r="C322" t="s">
        <v>588</v>
      </c>
      <c r="D322" t="s">
        <v>588</v>
      </c>
      <c r="E322" t="s">
        <v>504</v>
      </c>
      <c r="F322" t="s">
        <v>510</v>
      </c>
      <c r="G322" t="s">
        <v>511</v>
      </c>
      <c r="H322" t="str">
        <f>+VLOOKUP(G322,'PITESAI corrisp Corine3 - Maes'!$A$2:$B$26,2,FALSE)</f>
        <v>Cropland</v>
      </c>
    </row>
    <row r="323" spans="1:8" x14ac:dyDescent="0.3">
      <c r="A323">
        <v>2316</v>
      </c>
      <c r="B323" t="s">
        <v>905</v>
      </c>
      <c r="C323" t="s">
        <v>513</v>
      </c>
      <c r="D323" t="s">
        <v>514</v>
      </c>
      <c r="E323" t="s">
        <v>498</v>
      </c>
      <c r="F323" t="s">
        <v>903</v>
      </c>
      <c r="G323" t="s">
        <v>563</v>
      </c>
      <c r="H323" t="str">
        <f>+VLOOKUP(G323,'PITESAI corrisp Corine3 - Maes'!$A$2:$B$26,2,FALSE)</f>
        <v>Woodland and forest</v>
      </c>
    </row>
    <row r="324" spans="1:8" x14ac:dyDescent="0.3">
      <c r="A324">
        <v>2303</v>
      </c>
      <c r="B324" t="s">
        <v>906</v>
      </c>
      <c r="C324" t="s">
        <v>633</v>
      </c>
      <c r="D324" t="s">
        <v>907</v>
      </c>
      <c r="E324" t="s">
        <v>504</v>
      </c>
      <c r="F324" t="s">
        <v>527</v>
      </c>
      <c r="G324" t="s">
        <v>528</v>
      </c>
      <c r="H324" t="str">
        <f>+VLOOKUP(G324,'PITESAI corrisp Corine3 - Maes'!$A$2:$B$26,2,FALSE)</f>
        <v>Cropland</v>
      </c>
    </row>
    <row r="325" spans="1:8" x14ac:dyDescent="0.3">
      <c r="A325">
        <v>2299</v>
      </c>
      <c r="B325" t="s">
        <v>908</v>
      </c>
      <c r="C325" t="s">
        <v>633</v>
      </c>
      <c r="D325" t="s">
        <v>654</v>
      </c>
      <c r="E325" t="s">
        <v>504</v>
      </c>
      <c r="F325" t="s">
        <v>527</v>
      </c>
      <c r="G325" t="s">
        <v>528</v>
      </c>
      <c r="H325" t="str">
        <f>+VLOOKUP(G325,'PITESAI corrisp Corine3 - Maes'!$A$2:$B$26,2,FALSE)</f>
        <v>Cropland</v>
      </c>
    </row>
    <row r="326" spans="1:8" x14ac:dyDescent="0.3">
      <c r="A326">
        <v>2298</v>
      </c>
      <c r="B326" t="s">
        <v>909</v>
      </c>
      <c r="C326" t="s">
        <v>653</v>
      </c>
      <c r="D326" t="s">
        <v>654</v>
      </c>
      <c r="E326" t="s">
        <v>504</v>
      </c>
      <c r="F326" t="s">
        <v>527</v>
      </c>
      <c r="G326" t="s">
        <v>528</v>
      </c>
      <c r="H326" t="str">
        <f>+VLOOKUP(G326,'PITESAI corrisp Corine3 - Maes'!$A$2:$B$26,2,FALSE)</f>
        <v>Cropland</v>
      </c>
    </row>
    <row r="327" spans="1:8" x14ac:dyDescent="0.3">
      <c r="A327">
        <v>2264</v>
      </c>
      <c r="B327" t="s">
        <v>910</v>
      </c>
      <c r="C327" t="s">
        <v>911</v>
      </c>
      <c r="D327" t="s">
        <v>912</v>
      </c>
      <c r="E327" t="s">
        <v>504</v>
      </c>
      <c r="F327" t="s">
        <v>515</v>
      </c>
      <c r="G327" t="s">
        <v>506</v>
      </c>
      <c r="H327" t="str">
        <f>+VLOOKUP(G327,'PITESAI corrisp Corine3 - Maes'!$A$2:$B$26,2,FALSE)</f>
        <v>Woodland and forest</v>
      </c>
    </row>
    <row r="328" spans="1:8" x14ac:dyDescent="0.3">
      <c r="A328">
        <v>2263</v>
      </c>
      <c r="B328" t="s">
        <v>913</v>
      </c>
      <c r="C328" t="s">
        <v>911</v>
      </c>
      <c r="D328" t="s">
        <v>912</v>
      </c>
      <c r="E328" t="s">
        <v>504</v>
      </c>
      <c r="F328" t="s">
        <v>567</v>
      </c>
      <c r="G328" t="s">
        <v>568</v>
      </c>
      <c r="H328" t="str">
        <f>+VLOOKUP(G328,'PITESAI corrisp Corine3 - Maes'!$A$2:$B$26,2,FALSE)</f>
        <v>Cropland</v>
      </c>
    </row>
    <row r="329" spans="1:8" x14ac:dyDescent="0.3">
      <c r="A329">
        <v>2262</v>
      </c>
      <c r="B329" t="s">
        <v>914</v>
      </c>
      <c r="C329" t="s">
        <v>911</v>
      </c>
      <c r="D329" t="s">
        <v>912</v>
      </c>
      <c r="E329" t="s">
        <v>504</v>
      </c>
      <c r="F329" t="s">
        <v>515</v>
      </c>
      <c r="G329" t="s">
        <v>506</v>
      </c>
      <c r="H329" t="str">
        <f>+VLOOKUP(G329,'PITESAI corrisp Corine3 - Maes'!$A$2:$B$26,2,FALSE)</f>
        <v>Woodland and forest</v>
      </c>
    </row>
    <row r="330" spans="1:8" x14ac:dyDescent="0.3">
      <c r="A330">
        <v>2261</v>
      </c>
      <c r="B330" t="s">
        <v>915</v>
      </c>
      <c r="C330" t="s">
        <v>911</v>
      </c>
      <c r="D330" t="s">
        <v>912</v>
      </c>
      <c r="E330" t="s">
        <v>504</v>
      </c>
      <c r="F330" t="s">
        <v>515</v>
      </c>
      <c r="G330" t="s">
        <v>506</v>
      </c>
      <c r="H330" t="str">
        <f>+VLOOKUP(G330,'PITESAI corrisp Corine3 - Maes'!$A$2:$B$26,2,FALSE)</f>
        <v>Woodland and forest</v>
      </c>
    </row>
    <row r="331" spans="1:8" x14ac:dyDescent="0.3">
      <c r="A331">
        <v>2306</v>
      </c>
      <c r="B331" t="s">
        <v>916</v>
      </c>
      <c r="C331" t="s">
        <v>588</v>
      </c>
      <c r="D331" t="s">
        <v>588</v>
      </c>
      <c r="E331" t="s">
        <v>504</v>
      </c>
      <c r="F331" t="s">
        <v>510</v>
      </c>
      <c r="G331" t="s">
        <v>511</v>
      </c>
      <c r="H331" t="str">
        <f>+VLOOKUP(G331,'PITESAI corrisp Corine3 - Maes'!$A$2:$B$26,2,FALSE)</f>
        <v>Cropland</v>
      </c>
    </row>
    <row r="332" spans="1:8" x14ac:dyDescent="0.3">
      <c r="A332">
        <v>2314</v>
      </c>
      <c r="B332" t="s">
        <v>917</v>
      </c>
      <c r="C332" t="s">
        <v>633</v>
      </c>
      <c r="D332" t="s">
        <v>918</v>
      </c>
      <c r="E332" t="s">
        <v>504</v>
      </c>
      <c r="F332" t="s">
        <v>510</v>
      </c>
      <c r="G332" t="s">
        <v>511</v>
      </c>
      <c r="H332" t="str">
        <f>+VLOOKUP(G332,'PITESAI corrisp Corine3 - Maes'!$A$2:$B$26,2,FALSE)</f>
        <v>Cropland</v>
      </c>
    </row>
    <row r="333" spans="1:8" x14ac:dyDescent="0.3">
      <c r="A333">
        <v>2408</v>
      </c>
      <c r="B333" t="s">
        <v>919</v>
      </c>
      <c r="C333" t="s">
        <v>508</v>
      </c>
      <c r="D333" t="s">
        <v>592</v>
      </c>
      <c r="E333" t="s">
        <v>498</v>
      </c>
      <c r="F333" t="s">
        <v>510</v>
      </c>
      <c r="G333" t="s">
        <v>511</v>
      </c>
      <c r="H333" t="str">
        <f>+VLOOKUP(G333,'PITESAI corrisp Corine3 - Maes'!$A$2:$B$26,2,FALSE)</f>
        <v>Cropland</v>
      </c>
    </row>
    <row r="334" spans="1:8" x14ac:dyDescent="0.3">
      <c r="A334">
        <v>2320</v>
      </c>
      <c r="B334" t="s">
        <v>920</v>
      </c>
      <c r="C334" t="s">
        <v>513</v>
      </c>
      <c r="D334" t="s">
        <v>514</v>
      </c>
      <c r="E334" t="s">
        <v>498</v>
      </c>
      <c r="F334" t="s">
        <v>505</v>
      </c>
      <c r="G334" t="s">
        <v>506</v>
      </c>
      <c r="H334" t="str">
        <f>+VLOOKUP(G334,'PITESAI corrisp Corine3 - Maes'!$A$2:$B$26,2,FALSE)</f>
        <v>Woodland and forest</v>
      </c>
    </row>
    <row r="335" spans="1:8" x14ac:dyDescent="0.3">
      <c r="A335">
        <v>2319</v>
      </c>
      <c r="B335" t="s">
        <v>921</v>
      </c>
      <c r="C335" t="s">
        <v>513</v>
      </c>
      <c r="D335" t="s">
        <v>514</v>
      </c>
      <c r="E335" t="s">
        <v>498</v>
      </c>
      <c r="F335" t="s">
        <v>553</v>
      </c>
      <c r="G335" t="s">
        <v>511</v>
      </c>
      <c r="H335" t="str">
        <f>+VLOOKUP(G335,'PITESAI corrisp Corine3 - Maes'!$A$2:$B$26,2,FALSE)</f>
        <v>Cropland</v>
      </c>
    </row>
    <row r="336" spans="1:8" x14ac:dyDescent="0.3">
      <c r="A336">
        <v>2318</v>
      </c>
      <c r="B336" t="s">
        <v>922</v>
      </c>
      <c r="C336" t="s">
        <v>513</v>
      </c>
      <c r="D336" t="s">
        <v>514</v>
      </c>
      <c r="E336" t="s">
        <v>498</v>
      </c>
      <c r="F336" t="s">
        <v>505</v>
      </c>
      <c r="G336" t="s">
        <v>506</v>
      </c>
      <c r="H336" t="str">
        <f>+VLOOKUP(G336,'PITESAI corrisp Corine3 - Maes'!$A$2:$B$26,2,FALSE)</f>
        <v>Woodland and forest</v>
      </c>
    </row>
    <row r="337" spans="1:8" x14ac:dyDescent="0.3">
      <c r="A337">
        <v>2317</v>
      </c>
      <c r="B337" t="s">
        <v>923</v>
      </c>
      <c r="C337" t="s">
        <v>513</v>
      </c>
      <c r="D337" t="s">
        <v>514</v>
      </c>
      <c r="E337" t="s">
        <v>498</v>
      </c>
      <c r="F337" t="s">
        <v>505</v>
      </c>
      <c r="G337" t="s">
        <v>506</v>
      </c>
      <c r="H337" t="str">
        <f>+VLOOKUP(G337,'PITESAI corrisp Corine3 - Maes'!$A$2:$B$26,2,FALSE)</f>
        <v>Woodland and forest</v>
      </c>
    </row>
    <row r="338" spans="1:8" x14ac:dyDescent="0.3">
      <c r="A338">
        <v>2404</v>
      </c>
      <c r="B338" t="s">
        <v>924</v>
      </c>
      <c r="C338" t="s">
        <v>542</v>
      </c>
      <c r="D338" t="s">
        <v>542</v>
      </c>
      <c r="E338" t="s">
        <v>498</v>
      </c>
      <c r="F338" t="s">
        <v>510</v>
      </c>
      <c r="G338" t="s">
        <v>511</v>
      </c>
      <c r="H338" t="str">
        <f>+VLOOKUP(G338,'PITESAI corrisp Corine3 - Maes'!$A$2:$B$26,2,FALSE)</f>
        <v>Cropland</v>
      </c>
    </row>
    <row r="339" spans="1:8" x14ac:dyDescent="0.3">
      <c r="A339">
        <v>1374</v>
      </c>
      <c r="B339" t="s">
        <v>925</v>
      </c>
      <c r="C339" t="s">
        <v>720</v>
      </c>
      <c r="D339" t="s">
        <v>829</v>
      </c>
      <c r="E339" t="s">
        <v>504</v>
      </c>
      <c r="F339" t="s">
        <v>567</v>
      </c>
      <c r="G339" t="s">
        <v>568</v>
      </c>
      <c r="H339" t="str">
        <f>+VLOOKUP(G339,'PITESAI corrisp Corine3 - Maes'!$A$2:$B$26,2,FALSE)</f>
        <v>Cropland</v>
      </c>
    </row>
    <row r="340" spans="1:8" x14ac:dyDescent="0.3">
      <c r="A340">
        <v>2416</v>
      </c>
      <c r="B340" t="s">
        <v>926</v>
      </c>
      <c r="C340" t="s">
        <v>633</v>
      </c>
      <c r="D340" t="s">
        <v>534</v>
      </c>
      <c r="E340" t="s">
        <v>498</v>
      </c>
      <c r="F340" t="s">
        <v>515</v>
      </c>
      <c r="G340" t="s">
        <v>506</v>
      </c>
      <c r="H340" t="str">
        <f>+VLOOKUP(G340,'PITESAI corrisp Corine3 - Maes'!$A$2:$B$26,2,FALSE)</f>
        <v>Woodland and forest</v>
      </c>
    </row>
    <row r="341" spans="1:8" x14ac:dyDescent="0.3">
      <c r="A341">
        <v>2425</v>
      </c>
      <c r="B341" t="s">
        <v>927</v>
      </c>
      <c r="C341" t="s">
        <v>633</v>
      </c>
      <c r="D341" t="s">
        <v>514</v>
      </c>
      <c r="E341" t="s">
        <v>498</v>
      </c>
      <c r="F341" t="s">
        <v>510</v>
      </c>
      <c r="G341" t="s">
        <v>511</v>
      </c>
      <c r="H341" t="str">
        <f>+VLOOKUP(G341,'PITESAI corrisp Corine3 - Maes'!$A$2:$B$26,2,FALSE)</f>
        <v>Cropland</v>
      </c>
    </row>
    <row r="342" spans="1:8" x14ac:dyDescent="0.3">
      <c r="A342">
        <v>2424</v>
      </c>
      <c r="B342" t="s">
        <v>928</v>
      </c>
      <c r="C342" t="s">
        <v>513</v>
      </c>
      <c r="D342" t="s">
        <v>514</v>
      </c>
      <c r="E342" t="s">
        <v>498</v>
      </c>
      <c r="F342" t="s">
        <v>505</v>
      </c>
      <c r="G342" t="s">
        <v>506</v>
      </c>
      <c r="H342" t="str">
        <f>+VLOOKUP(G342,'PITESAI corrisp Corine3 - Maes'!$A$2:$B$26,2,FALSE)</f>
        <v>Woodland and forest</v>
      </c>
    </row>
    <row r="343" spans="1:8" x14ac:dyDescent="0.3">
      <c r="A343">
        <v>2423</v>
      </c>
      <c r="B343" t="s">
        <v>929</v>
      </c>
      <c r="C343" t="s">
        <v>513</v>
      </c>
      <c r="D343" t="s">
        <v>514</v>
      </c>
      <c r="E343" t="s">
        <v>498</v>
      </c>
      <c r="F343" t="s">
        <v>515</v>
      </c>
      <c r="G343" t="s">
        <v>506</v>
      </c>
      <c r="H343" t="str">
        <f>+VLOOKUP(G343,'PITESAI corrisp Corine3 - Maes'!$A$2:$B$26,2,FALSE)</f>
        <v>Woodland and forest</v>
      </c>
    </row>
    <row r="344" spans="1:8" x14ac:dyDescent="0.3">
      <c r="A344">
        <v>2415</v>
      </c>
      <c r="B344" t="s">
        <v>930</v>
      </c>
      <c r="C344" t="s">
        <v>508</v>
      </c>
      <c r="D344" t="s">
        <v>592</v>
      </c>
      <c r="E344" t="s">
        <v>498</v>
      </c>
      <c r="F344" t="s">
        <v>510</v>
      </c>
      <c r="G344" t="s">
        <v>511</v>
      </c>
      <c r="H344" t="str">
        <f>+VLOOKUP(G344,'PITESAI corrisp Corine3 - Maes'!$A$2:$B$26,2,FALSE)</f>
        <v>Cropland</v>
      </c>
    </row>
    <row r="345" spans="1:8" x14ac:dyDescent="0.3">
      <c r="A345">
        <v>2414</v>
      </c>
      <c r="B345" t="s">
        <v>931</v>
      </c>
      <c r="C345" t="s">
        <v>508</v>
      </c>
      <c r="D345" t="s">
        <v>592</v>
      </c>
      <c r="E345" t="s">
        <v>498</v>
      </c>
      <c r="F345" t="s">
        <v>510</v>
      </c>
      <c r="G345" t="s">
        <v>511</v>
      </c>
      <c r="H345" t="str">
        <f>+VLOOKUP(G345,'PITESAI corrisp Corine3 - Maes'!$A$2:$B$26,2,FALSE)</f>
        <v>Cropland</v>
      </c>
    </row>
    <row r="346" spans="1:8" x14ac:dyDescent="0.3">
      <c r="A346">
        <v>2413</v>
      </c>
      <c r="B346" t="s">
        <v>932</v>
      </c>
      <c r="C346" t="s">
        <v>508</v>
      </c>
      <c r="D346" t="s">
        <v>592</v>
      </c>
      <c r="E346" t="s">
        <v>498</v>
      </c>
      <c r="F346" t="s">
        <v>510</v>
      </c>
      <c r="G346" t="s">
        <v>511</v>
      </c>
      <c r="H346" t="str">
        <f>+VLOOKUP(G346,'PITESAI corrisp Corine3 - Maes'!$A$2:$B$26,2,FALSE)</f>
        <v>Cropland</v>
      </c>
    </row>
    <row r="347" spans="1:8" x14ac:dyDescent="0.3">
      <c r="A347">
        <v>2412</v>
      </c>
      <c r="B347" t="s">
        <v>933</v>
      </c>
      <c r="C347" t="s">
        <v>508</v>
      </c>
      <c r="D347" t="s">
        <v>592</v>
      </c>
      <c r="E347" t="s">
        <v>498</v>
      </c>
      <c r="F347" t="s">
        <v>510</v>
      </c>
      <c r="G347" t="s">
        <v>511</v>
      </c>
      <c r="H347" t="str">
        <f>+VLOOKUP(G347,'PITESAI corrisp Corine3 - Maes'!$A$2:$B$26,2,FALSE)</f>
        <v>Cropland</v>
      </c>
    </row>
    <row r="348" spans="1:8" x14ac:dyDescent="0.3">
      <c r="A348">
        <v>2411</v>
      </c>
      <c r="B348" t="s">
        <v>934</v>
      </c>
      <c r="C348" t="s">
        <v>508</v>
      </c>
      <c r="D348" t="s">
        <v>592</v>
      </c>
      <c r="E348" t="s">
        <v>498</v>
      </c>
      <c r="F348" t="s">
        <v>510</v>
      </c>
      <c r="G348" t="s">
        <v>511</v>
      </c>
      <c r="H348" t="str">
        <f>+VLOOKUP(G348,'PITESAI corrisp Corine3 - Maes'!$A$2:$B$26,2,FALSE)</f>
        <v>Cropland</v>
      </c>
    </row>
    <row r="349" spans="1:8" x14ac:dyDescent="0.3">
      <c r="A349">
        <v>2410</v>
      </c>
      <c r="B349" t="s">
        <v>935</v>
      </c>
      <c r="C349" t="s">
        <v>508</v>
      </c>
      <c r="D349" t="s">
        <v>592</v>
      </c>
      <c r="E349" t="s">
        <v>498</v>
      </c>
      <c r="F349" t="s">
        <v>597</v>
      </c>
      <c r="G349" t="s">
        <v>598</v>
      </c>
      <c r="H349" t="str">
        <f>+VLOOKUP(G349,'PITESAI corrisp Corine3 - Maes'!$A$2:$B$26,2,FALSE)</f>
        <v>Sparsely vegetated land</v>
      </c>
    </row>
    <row r="350" spans="1:8" x14ac:dyDescent="0.3">
      <c r="A350">
        <v>2409</v>
      </c>
      <c r="B350" t="s">
        <v>936</v>
      </c>
      <c r="C350" t="s">
        <v>508</v>
      </c>
      <c r="D350" t="s">
        <v>592</v>
      </c>
      <c r="E350" t="s">
        <v>498</v>
      </c>
      <c r="F350" t="s">
        <v>510</v>
      </c>
      <c r="G350" t="s">
        <v>511</v>
      </c>
      <c r="H350" t="str">
        <f>+VLOOKUP(G350,'PITESAI corrisp Corine3 - Maes'!$A$2:$B$26,2,FALSE)</f>
        <v>Cropland</v>
      </c>
    </row>
    <row r="351" spans="1:8" x14ac:dyDescent="0.3">
      <c r="A351">
        <v>1512</v>
      </c>
      <c r="B351" t="s">
        <v>937</v>
      </c>
      <c r="C351" t="s">
        <v>778</v>
      </c>
      <c r="D351" t="s">
        <v>938</v>
      </c>
      <c r="E351" t="s">
        <v>498</v>
      </c>
      <c r="F351" t="s">
        <v>510</v>
      </c>
      <c r="G351" t="s">
        <v>511</v>
      </c>
      <c r="H351" t="str">
        <f>+VLOOKUP(G351,'PITESAI corrisp Corine3 - Maes'!$A$2:$B$26,2,FALSE)</f>
        <v>Cropland</v>
      </c>
    </row>
    <row r="352" spans="1:8" x14ac:dyDescent="0.3">
      <c r="A352">
        <v>2484</v>
      </c>
      <c r="B352" t="s">
        <v>939</v>
      </c>
      <c r="C352" t="s">
        <v>940</v>
      </c>
      <c r="D352" t="s">
        <v>940</v>
      </c>
      <c r="E352" t="s">
        <v>504</v>
      </c>
      <c r="F352" t="s">
        <v>567</v>
      </c>
      <c r="G352" t="s">
        <v>568</v>
      </c>
      <c r="H352" t="str">
        <f>+VLOOKUP(G352,'PITESAI corrisp Corine3 - Maes'!$A$2:$B$26,2,FALSE)</f>
        <v>Cropland</v>
      </c>
    </row>
    <row r="353" spans="1:8" x14ac:dyDescent="0.3">
      <c r="A353">
        <v>2461</v>
      </c>
      <c r="B353" t="s">
        <v>941</v>
      </c>
      <c r="C353" t="s">
        <v>611</v>
      </c>
      <c r="D353" t="s">
        <v>865</v>
      </c>
      <c r="E353" t="s">
        <v>504</v>
      </c>
      <c r="F353" t="s">
        <v>866</v>
      </c>
      <c r="G353" t="s">
        <v>867</v>
      </c>
      <c r="H353" t="str">
        <f>+VLOOKUP(G353,'PITESAI corrisp Corine3 - Maes'!$A$2:$B$26,2,FALSE)</f>
        <v>Woodland and forest</v>
      </c>
    </row>
    <row r="354" spans="1:8" x14ac:dyDescent="0.3">
      <c r="A354">
        <v>1170</v>
      </c>
      <c r="B354" t="s">
        <v>942</v>
      </c>
      <c r="C354" t="s">
        <v>943</v>
      </c>
      <c r="D354" t="s">
        <v>943</v>
      </c>
      <c r="E354" t="s">
        <v>504</v>
      </c>
      <c r="F354" t="s">
        <v>944</v>
      </c>
      <c r="G354" t="s">
        <v>945</v>
      </c>
      <c r="H354" t="str">
        <f>+VLOOKUP(G354,'PITESAI corrisp Corine3 - Maes'!$A$2:$B$26,2,FALSE)</f>
        <v>Urban</v>
      </c>
    </row>
    <row r="355" spans="1:8" x14ac:dyDescent="0.3">
      <c r="A355">
        <v>1376</v>
      </c>
      <c r="B355" t="s">
        <v>946</v>
      </c>
      <c r="C355" t="s">
        <v>720</v>
      </c>
      <c r="D355" t="s">
        <v>723</v>
      </c>
      <c r="E355" t="s">
        <v>504</v>
      </c>
      <c r="F355" t="s">
        <v>567</v>
      </c>
      <c r="G355" t="s">
        <v>568</v>
      </c>
      <c r="H355" t="str">
        <f>+VLOOKUP(G355,'PITESAI corrisp Corine3 - Maes'!$A$2:$B$26,2,FALSE)</f>
        <v>Cropland</v>
      </c>
    </row>
    <row r="356" spans="1:8" x14ac:dyDescent="0.3">
      <c r="A356">
        <v>1307</v>
      </c>
      <c r="B356" t="s">
        <v>947</v>
      </c>
      <c r="C356" t="s">
        <v>731</v>
      </c>
      <c r="D356" t="s">
        <v>732</v>
      </c>
      <c r="E356" t="s">
        <v>504</v>
      </c>
      <c r="F356" t="s">
        <v>515</v>
      </c>
      <c r="G356" t="s">
        <v>506</v>
      </c>
      <c r="H356" t="str">
        <f>+VLOOKUP(G356,'PITESAI corrisp Corine3 - Maes'!$A$2:$B$26,2,FALSE)</f>
        <v>Woodland and forest</v>
      </c>
    </row>
    <row r="357" spans="1:8" x14ac:dyDescent="0.3">
      <c r="A357">
        <v>2496</v>
      </c>
      <c r="B357" t="s">
        <v>948</v>
      </c>
      <c r="C357" t="s">
        <v>513</v>
      </c>
      <c r="D357" t="s">
        <v>514</v>
      </c>
      <c r="E357" t="s">
        <v>498</v>
      </c>
      <c r="F357" t="s">
        <v>556</v>
      </c>
      <c r="G357" t="s">
        <v>557</v>
      </c>
      <c r="H357" t="str">
        <f>+VLOOKUP(G357,'PITESAI corrisp Corine3 - Maes'!$A$2:$B$26,2,FALSE)</f>
        <v>Grassland</v>
      </c>
    </row>
    <row r="358" spans="1:8" x14ac:dyDescent="0.3">
      <c r="A358">
        <v>2460</v>
      </c>
      <c r="B358" t="s">
        <v>949</v>
      </c>
      <c r="C358" t="s">
        <v>611</v>
      </c>
      <c r="D358" t="s">
        <v>865</v>
      </c>
      <c r="E358" t="s">
        <v>504</v>
      </c>
      <c r="F358" t="s">
        <v>866</v>
      </c>
      <c r="G358" t="s">
        <v>867</v>
      </c>
      <c r="H358" t="str">
        <f>+VLOOKUP(G358,'PITESAI corrisp Corine3 - Maes'!$A$2:$B$26,2,FALSE)</f>
        <v>Woodland and forest</v>
      </c>
    </row>
    <row r="359" spans="1:8" x14ac:dyDescent="0.3">
      <c r="A359">
        <v>1160</v>
      </c>
      <c r="B359" t="s">
        <v>950</v>
      </c>
      <c r="C359" t="s">
        <v>918</v>
      </c>
      <c r="D359" t="s">
        <v>918</v>
      </c>
      <c r="E359" t="s">
        <v>504</v>
      </c>
      <c r="F359" t="s">
        <v>510</v>
      </c>
      <c r="G359" t="s">
        <v>511</v>
      </c>
      <c r="H359" t="str">
        <f>+VLOOKUP(G359,'PITESAI corrisp Corine3 - Maes'!$A$2:$B$26,2,FALSE)</f>
        <v>Cropland</v>
      </c>
    </row>
    <row r="360" spans="1:8" x14ac:dyDescent="0.3">
      <c r="A360">
        <v>2465</v>
      </c>
      <c r="B360" t="s">
        <v>951</v>
      </c>
      <c r="C360" t="s">
        <v>633</v>
      </c>
      <c r="D360" t="s">
        <v>865</v>
      </c>
      <c r="E360" t="s">
        <v>504</v>
      </c>
      <c r="F360" t="s">
        <v>952</v>
      </c>
      <c r="G360" t="s">
        <v>953</v>
      </c>
      <c r="H360" t="str">
        <f>+VLOOKUP(G360,'PITESAI corrisp Corine3 - Maes'!$A$2:$B$26,2,FALSE)</f>
        <v>Marine inlets and transitional waters and coastal waters</v>
      </c>
    </row>
    <row r="361" spans="1:8" x14ac:dyDescent="0.3">
      <c r="A361">
        <v>1162</v>
      </c>
      <c r="B361" t="s">
        <v>954</v>
      </c>
      <c r="C361" t="s">
        <v>918</v>
      </c>
      <c r="D361" t="s">
        <v>918</v>
      </c>
      <c r="E361" t="s">
        <v>504</v>
      </c>
      <c r="F361" t="s">
        <v>527</v>
      </c>
      <c r="G361" t="s">
        <v>528</v>
      </c>
      <c r="H361" t="str">
        <f>+VLOOKUP(G361,'PITESAI corrisp Corine3 - Maes'!$A$2:$B$26,2,FALSE)</f>
        <v>Cropland</v>
      </c>
    </row>
    <row r="362" spans="1:8" x14ac:dyDescent="0.3">
      <c r="A362">
        <v>1161</v>
      </c>
      <c r="B362" t="s">
        <v>955</v>
      </c>
      <c r="C362" t="s">
        <v>918</v>
      </c>
      <c r="D362" t="s">
        <v>918</v>
      </c>
      <c r="E362" t="s">
        <v>504</v>
      </c>
      <c r="F362" t="s">
        <v>510</v>
      </c>
      <c r="G362" t="s">
        <v>511</v>
      </c>
      <c r="H362" t="str">
        <f>+VLOOKUP(G362,'PITESAI corrisp Corine3 - Maes'!$A$2:$B$26,2,FALSE)</f>
        <v>Cropland</v>
      </c>
    </row>
    <row r="363" spans="1:8" x14ac:dyDescent="0.3">
      <c r="A363">
        <v>1147</v>
      </c>
      <c r="B363" t="s">
        <v>956</v>
      </c>
      <c r="C363" t="s">
        <v>957</v>
      </c>
      <c r="D363" t="s">
        <v>638</v>
      </c>
      <c r="E363" t="s">
        <v>504</v>
      </c>
      <c r="F363" t="s">
        <v>640</v>
      </c>
      <c r="G363" t="s">
        <v>641</v>
      </c>
      <c r="H363" t="str">
        <f>+VLOOKUP(G363,'PITESAI corrisp Corine3 - Maes'!$A$2:$B$26,2,FALSE)</f>
        <v>Urban</v>
      </c>
    </row>
    <row r="364" spans="1:8" x14ac:dyDescent="0.3">
      <c r="A364">
        <v>2459</v>
      </c>
      <c r="B364" t="s">
        <v>958</v>
      </c>
      <c r="C364" t="s">
        <v>633</v>
      </c>
      <c r="D364" t="s">
        <v>865</v>
      </c>
      <c r="E364" t="s">
        <v>504</v>
      </c>
      <c r="F364" t="s">
        <v>952</v>
      </c>
      <c r="G364" t="s">
        <v>953</v>
      </c>
      <c r="H364" t="str">
        <f>+VLOOKUP(G364,'PITESAI corrisp Corine3 - Maes'!$A$2:$B$26,2,FALSE)</f>
        <v>Marine inlets and transitional waters and coastal waters</v>
      </c>
    </row>
    <row r="365" spans="1:8" x14ac:dyDescent="0.3">
      <c r="A365">
        <v>2448</v>
      </c>
      <c r="B365" t="s">
        <v>959</v>
      </c>
      <c r="C365" t="s">
        <v>633</v>
      </c>
      <c r="D365" t="s">
        <v>960</v>
      </c>
      <c r="E365" t="s">
        <v>504</v>
      </c>
      <c r="F365" t="s">
        <v>527</v>
      </c>
      <c r="G365" t="s">
        <v>528</v>
      </c>
      <c r="H365" t="str">
        <f>+VLOOKUP(G365,'PITESAI corrisp Corine3 - Maes'!$A$2:$B$26,2,FALSE)</f>
        <v>Cropland</v>
      </c>
    </row>
    <row r="366" spans="1:8" x14ac:dyDescent="0.3">
      <c r="A366">
        <v>1148</v>
      </c>
      <c r="B366" t="s">
        <v>961</v>
      </c>
      <c r="C366" t="s">
        <v>633</v>
      </c>
      <c r="D366" t="s">
        <v>503</v>
      </c>
      <c r="E366" t="s">
        <v>504</v>
      </c>
      <c r="F366" t="s">
        <v>505</v>
      </c>
      <c r="G366" t="s">
        <v>506</v>
      </c>
      <c r="H366" t="str">
        <f>+VLOOKUP(G366,'PITESAI corrisp Corine3 - Maes'!$A$2:$B$26,2,FALSE)</f>
        <v>Woodland and forest</v>
      </c>
    </row>
    <row r="367" spans="1:8" x14ac:dyDescent="0.3">
      <c r="A367">
        <v>1149</v>
      </c>
      <c r="B367" t="s">
        <v>962</v>
      </c>
      <c r="C367" t="s">
        <v>633</v>
      </c>
      <c r="D367" t="s">
        <v>940</v>
      </c>
      <c r="E367" t="s">
        <v>504</v>
      </c>
      <c r="F367" t="s">
        <v>567</v>
      </c>
      <c r="G367" t="s">
        <v>568</v>
      </c>
      <c r="H367" t="str">
        <f>+VLOOKUP(G367,'PITESAI corrisp Corine3 - Maes'!$A$2:$B$26,2,FALSE)</f>
        <v>Cropland</v>
      </c>
    </row>
    <row r="368" spans="1:8" x14ac:dyDescent="0.3">
      <c r="A368">
        <v>1150</v>
      </c>
      <c r="B368" t="s">
        <v>963</v>
      </c>
      <c r="C368" t="s">
        <v>964</v>
      </c>
      <c r="D368" t="s">
        <v>965</v>
      </c>
      <c r="E368" t="s">
        <v>504</v>
      </c>
      <c r="F368" t="s">
        <v>567</v>
      </c>
      <c r="G368" t="s">
        <v>568</v>
      </c>
      <c r="H368" t="str">
        <f>+VLOOKUP(G368,'PITESAI corrisp Corine3 - Maes'!$A$2:$B$26,2,FALSE)</f>
        <v>Cropland</v>
      </c>
    </row>
    <row r="369" spans="1:8" x14ac:dyDescent="0.3">
      <c r="A369">
        <v>1151</v>
      </c>
      <c r="B369" t="s">
        <v>966</v>
      </c>
      <c r="C369" t="s">
        <v>967</v>
      </c>
      <c r="D369" t="s">
        <v>965</v>
      </c>
      <c r="E369" t="s">
        <v>504</v>
      </c>
      <c r="F369" t="s">
        <v>640</v>
      </c>
      <c r="G369" t="s">
        <v>641</v>
      </c>
      <c r="H369" t="str">
        <f>+VLOOKUP(G369,'PITESAI corrisp Corine3 - Maes'!$A$2:$B$26,2,FALSE)</f>
        <v>Urban</v>
      </c>
    </row>
    <row r="370" spans="1:8" x14ac:dyDescent="0.3">
      <c r="A370">
        <v>1152</v>
      </c>
      <c r="B370" t="s">
        <v>968</v>
      </c>
      <c r="C370" t="s">
        <v>964</v>
      </c>
      <c r="D370" t="s">
        <v>638</v>
      </c>
      <c r="E370" t="s">
        <v>504</v>
      </c>
      <c r="F370" t="s">
        <v>510</v>
      </c>
      <c r="G370" t="s">
        <v>511</v>
      </c>
      <c r="H370" t="str">
        <f>+VLOOKUP(G370,'PITESAI corrisp Corine3 - Maes'!$A$2:$B$26,2,FALSE)</f>
        <v>Cropland</v>
      </c>
    </row>
    <row r="371" spans="1:8" x14ac:dyDescent="0.3">
      <c r="A371">
        <v>1120</v>
      </c>
      <c r="B371" t="s">
        <v>969</v>
      </c>
      <c r="C371" t="s">
        <v>633</v>
      </c>
      <c r="D371" t="s">
        <v>503</v>
      </c>
      <c r="E371" t="s">
        <v>504</v>
      </c>
      <c r="F371" t="s">
        <v>567</v>
      </c>
      <c r="G371" t="s">
        <v>568</v>
      </c>
      <c r="H371" t="str">
        <f>+VLOOKUP(G371,'PITESAI corrisp Corine3 - Maes'!$A$2:$B$26,2,FALSE)</f>
        <v>Cropland</v>
      </c>
    </row>
    <row r="372" spans="1:8" x14ac:dyDescent="0.3">
      <c r="A372">
        <v>1123</v>
      </c>
      <c r="B372" t="s">
        <v>970</v>
      </c>
      <c r="C372" t="s">
        <v>508</v>
      </c>
      <c r="D372" t="s">
        <v>592</v>
      </c>
      <c r="E372" t="s">
        <v>498</v>
      </c>
      <c r="F372" t="s">
        <v>597</v>
      </c>
      <c r="G372" t="s">
        <v>598</v>
      </c>
      <c r="H372" t="str">
        <f>+VLOOKUP(G372,'PITESAI corrisp Corine3 - Maes'!$A$2:$B$26,2,FALSE)</f>
        <v>Sparsely vegetated land</v>
      </c>
    </row>
    <row r="373" spans="1:8" x14ac:dyDescent="0.3">
      <c r="A373">
        <v>1117</v>
      </c>
      <c r="B373" t="s">
        <v>971</v>
      </c>
      <c r="C373" t="s">
        <v>633</v>
      </c>
      <c r="D373" t="s">
        <v>503</v>
      </c>
      <c r="E373" t="s">
        <v>504</v>
      </c>
      <c r="F373" t="s">
        <v>903</v>
      </c>
      <c r="G373" t="s">
        <v>563</v>
      </c>
      <c r="H373" t="str">
        <f>+VLOOKUP(G373,'PITESAI corrisp Corine3 - Maes'!$A$2:$B$26,2,FALSE)</f>
        <v>Woodland and forest</v>
      </c>
    </row>
    <row r="374" spans="1:8" x14ac:dyDescent="0.3">
      <c r="A374">
        <v>1132</v>
      </c>
      <c r="B374" t="s">
        <v>972</v>
      </c>
      <c r="C374" t="s">
        <v>633</v>
      </c>
      <c r="D374" t="s">
        <v>503</v>
      </c>
      <c r="E374" t="s">
        <v>504</v>
      </c>
      <c r="F374" t="s">
        <v>567</v>
      </c>
      <c r="G374" t="s">
        <v>568</v>
      </c>
      <c r="H374" t="str">
        <f>+VLOOKUP(G374,'PITESAI corrisp Corine3 - Maes'!$A$2:$B$26,2,FALSE)</f>
        <v>Cropland</v>
      </c>
    </row>
    <row r="375" spans="1:8" x14ac:dyDescent="0.3">
      <c r="A375">
        <v>1133</v>
      </c>
      <c r="B375" t="s">
        <v>973</v>
      </c>
      <c r="C375" t="s">
        <v>974</v>
      </c>
      <c r="D375" t="s">
        <v>638</v>
      </c>
      <c r="E375" t="s">
        <v>504</v>
      </c>
      <c r="F375" t="s">
        <v>640</v>
      </c>
      <c r="G375" t="s">
        <v>641</v>
      </c>
      <c r="H375" t="str">
        <f>+VLOOKUP(G375,'PITESAI corrisp Corine3 - Maes'!$A$2:$B$26,2,FALSE)</f>
        <v>Urban</v>
      </c>
    </row>
    <row r="376" spans="1:8" x14ac:dyDescent="0.3">
      <c r="A376">
        <v>1113</v>
      </c>
      <c r="B376" t="s">
        <v>975</v>
      </c>
      <c r="C376" t="s">
        <v>614</v>
      </c>
      <c r="D376" t="s">
        <v>614</v>
      </c>
      <c r="E376" t="s">
        <v>504</v>
      </c>
      <c r="F376" t="s">
        <v>510</v>
      </c>
      <c r="G376" t="s">
        <v>511</v>
      </c>
      <c r="H376" t="str">
        <f>+VLOOKUP(G376,'PITESAI corrisp Corine3 - Maes'!$A$2:$B$26,2,FALSE)</f>
        <v>Cropland</v>
      </c>
    </row>
    <row r="377" spans="1:8" x14ac:dyDescent="0.3">
      <c r="A377">
        <v>1114</v>
      </c>
      <c r="B377" t="s">
        <v>976</v>
      </c>
      <c r="C377" t="s">
        <v>633</v>
      </c>
      <c r="D377" t="s">
        <v>503</v>
      </c>
      <c r="E377" t="s">
        <v>504</v>
      </c>
      <c r="F377" t="s">
        <v>903</v>
      </c>
      <c r="G377" t="s">
        <v>563</v>
      </c>
      <c r="H377" t="str">
        <f>+VLOOKUP(G377,'PITESAI corrisp Corine3 - Maes'!$A$2:$B$26,2,FALSE)</f>
        <v>Woodland and forest</v>
      </c>
    </row>
    <row r="378" spans="1:8" x14ac:dyDescent="0.3">
      <c r="A378">
        <v>1116</v>
      </c>
      <c r="B378" t="s">
        <v>977</v>
      </c>
      <c r="C378" t="s">
        <v>653</v>
      </c>
      <c r="D378" t="s">
        <v>654</v>
      </c>
      <c r="E378" t="s">
        <v>504</v>
      </c>
      <c r="F378" t="s">
        <v>527</v>
      </c>
      <c r="G378" t="s">
        <v>528</v>
      </c>
      <c r="H378" t="str">
        <f>+VLOOKUP(G378,'PITESAI corrisp Corine3 - Maes'!$A$2:$B$26,2,FALSE)</f>
        <v>Cropland</v>
      </c>
    </row>
    <row r="379" spans="1:8" x14ac:dyDescent="0.3">
      <c r="A379">
        <v>1136</v>
      </c>
      <c r="B379" t="s">
        <v>978</v>
      </c>
      <c r="C379" t="s">
        <v>967</v>
      </c>
      <c r="D379" t="s">
        <v>965</v>
      </c>
      <c r="E379" t="s">
        <v>504</v>
      </c>
      <c r="F379" t="s">
        <v>640</v>
      </c>
      <c r="G379" t="s">
        <v>641</v>
      </c>
      <c r="H379" t="str">
        <f>+VLOOKUP(G379,'PITESAI corrisp Corine3 - Maes'!$A$2:$B$26,2,FALSE)</f>
        <v>Urban</v>
      </c>
    </row>
    <row r="380" spans="1:8" x14ac:dyDescent="0.3">
      <c r="A380">
        <v>1134</v>
      </c>
      <c r="B380" t="s">
        <v>979</v>
      </c>
      <c r="C380" t="s">
        <v>974</v>
      </c>
      <c r="D380" t="s">
        <v>965</v>
      </c>
      <c r="E380" t="s">
        <v>504</v>
      </c>
      <c r="F380" t="s">
        <v>640</v>
      </c>
      <c r="G380" t="s">
        <v>641</v>
      </c>
      <c r="H380" t="str">
        <f>+VLOOKUP(G380,'PITESAI corrisp Corine3 - Maes'!$A$2:$B$26,2,FALSE)</f>
        <v>Urban</v>
      </c>
    </row>
    <row r="381" spans="1:8" x14ac:dyDescent="0.3">
      <c r="A381">
        <v>2545</v>
      </c>
      <c r="B381" t="s">
        <v>980</v>
      </c>
      <c r="C381" t="s">
        <v>633</v>
      </c>
      <c r="D381" t="s">
        <v>514</v>
      </c>
      <c r="E381" t="s">
        <v>498</v>
      </c>
      <c r="F381" t="s">
        <v>553</v>
      </c>
      <c r="G381" t="s">
        <v>511</v>
      </c>
      <c r="H381" t="str">
        <f>+VLOOKUP(G381,'PITESAI corrisp Corine3 - Maes'!$A$2:$B$26,2,FALSE)</f>
        <v>Cropland</v>
      </c>
    </row>
    <row r="382" spans="1:8" x14ac:dyDescent="0.3">
      <c r="A382">
        <v>2529</v>
      </c>
      <c r="B382" t="s">
        <v>981</v>
      </c>
      <c r="C382" t="s">
        <v>633</v>
      </c>
      <c r="D382" t="s">
        <v>514</v>
      </c>
      <c r="E382" t="s">
        <v>498</v>
      </c>
      <c r="F382" t="s">
        <v>982</v>
      </c>
      <c r="G382" t="s">
        <v>983</v>
      </c>
      <c r="H382" t="str">
        <f>+VLOOKUP(G382,'PITESAI corrisp Corine3 - Maes'!$A$2:$B$26,2,FALSE)</f>
        <v>Heathland and shrub</v>
      </c>
    </row>
    <row r="383" spans="1:8" x14ac:dyDescent="0.3">
      <c r="A383">
        <v>2527</v>
      </c>
      <c r="B383" t="s">
        <v>984</v>
      </c>
      <c r="C383" t="s">
        <v>633</v>
      </c>
      <c r="D383" t="s">
        <v>985</v>
      </c>
      <c r="E383" t="s">
        <v>498</v>
      </c>
      <c r="F383" t="s">
        <v>510</v>
      </c>
      <c r="G383" t="s">
        <v>511</v>
      </c>
      <c r="H383" t="str">
        <f>+VLOOKUP(G383,'PITESAI corrisp Corine3 - Maes'!$A$2:$B$26,2,FALSE)</f>
        <v>Cropland</v>
      </c>
    </row>
    <row r="384" spans="1:8" x14ac:dyDescent="0.3">
      <c r="A384">
        <v>1144</v>
      </c>
      <c r="B384" t="s">
        <v>986</v>
      </c>
      <c r="C384" t="s">
        <v>967</v>
      </c>
      <c r="D384" t="s">
        <v>965</v>
      </c>
      <c r="E384" t="s">
        <v>504</v>
      </c>
      <c r="F384" t="s">
        <v>567</v>
      </c>
      <c r="G384" t="s">
        <v>568</v>
      </c>
      <c r="H384" t="str">
        <f>+VLOOKUP(G384,'PITESAI corrisp Corine3 - Maes'!$A$2:$B$26,2,FALSE)</f>
        <v>Cropland</v>
      </c>
    </row>
    <row r="385" spans="1:8" x14ac:dyDescent="0.3">
      <c r="A385">
        <v>1137</v>
      </c>
      <c r="B385" t="s">
        <v>987</v>
      </c>
      <c r="C385" t="s">
        <v>964</v>
      </c>
      <c r="D385" t="s">
        <v>638</v>
      </c>
      <c r="E385" t="s">
        <v>504</v>
      </c>
      <c r="F385" t="s">
        <v>567</v>
      </c>
      <c r="G385" t="s">
        <v>568</v>
      </c>
      <c r="H385" t="str">
        <f>+VLOOKUP(G385,'PITESAI corrisp Corine3 - Maes'!$A$2:$B$26,2,FALSE)</f>
        <v>Cropland</v>
      </c>
    </row>
    <row r="386" spans="1:8" x14ac:dyDescent="0.3">
      <c r="A386">
        <v>1138</v>
      </c>
      <c r="B386" t="s">
        <v>988</v>
      </c>
      <c r="C386" t="s">
        <v>967</v>
      </c>
      <c r="D386" t="s">
        <v>965</v>
      </c>
      <c r="E386" t="s">
        <v>504</v>
      </c>
      <c r="F386" t="s">
        <v>640</v>
      </c>
      <c r="G386" t="s">
        <v>641</v>
      </c>
      <c r="H386" t="str">
        <f>+VLOOKUP(G386,'PITESAI corrisp Corine3 - Maes'!$A$2:$B$26,2,FALSE)</f>
        <v>Urban</v>
      </c>
    </row>
    <row r="387" spans="1:8" x14ac:dyDescent="0.3">
      <c r="A387">
        <v>1139</v>
      </c>
      <c r="B387" t="s">
        <v>989</v>
      </c>
      <c r="C387" t="s">
        <v>957</v>
      </c>
      <c r="D387" t="s">
        <v>965</v>
      </c>
      <c r="E387" t="s">
        <v>504</v>
      </c>
      <c r="F387" t="s">
        <v>640</v>
      </c>
      <c r="G387" t="s">
        <v>641</v>
      </c>
      <c r="H387" t="str">
        <f>+VLOOKUP(G387,'PITESAI corrisp Corine3 - Maes'!$A$2:$B$26,2,FALSE)</f>
        <v>Urban</v>
      </c>
    </row>
    <row r="388" spans="1:8" x14ac:dyDescent="0.3">
      <c r="A388">
        <v>1140</v>
      </c>
      <c r="B388" t="s">
        <v>990</v>
      </c>
      <c r="C388" t="s">
        <v>964</v>
      </c>
      <c r="D388" t="s">
        <v>965</v>
      </c>
      <c r="E388" t="s">
        <v>504</v>
      </c>
      <c r="F388" t="s">
        <v>510</v>
      </c>
      <c r="G388" t="s">
        <v>511</v>
      </c>
      <c r="H388" t="str">
        <f>+VLOOKUP(G388,'PITESAI corrisp Corine3 - Maes'!$A$2:$B$26,2,FALSE)</f>
        <v>Cropland</v>
      </c>
    </row>
    <row r="389" spans="1:8" x14ac:dyDescent="0.3">
      <c r="A389">
        <v>1141</v>
      </c>
      <c r="B389" t="s">
        <v>991</v>
      </c>
      <c r="C389" t="s">
        <v>967</v>
      </c>
      <c r="D389" t="s">
        <v>638</v>
      </c>
      <c r="E389" t="s">
        <v>504</v>
      </c>
      <c r="F389" t="s">
        <v>640</v>
      </c>
      <c r="G389" t="s">
        <v>641</v>
      </c>
      <c r="H389" t="str">
        <f>+VLOOKUP(G389,'PITESAI corrisp Corine3 - Maes'!$A$2:$B$26,2,FALSE)</f>
        <v>Urban</v>
      </c>
    </row>
    <row r="390" spans="1:8" x14ac:dyDescent="0.3">
      <c r="A390">
        <v>1143</v>
      </c>
      <c r="B390" t="s">
        <v>992</v>
      </c>
      <c r="C390" t="s">
        <v>964</v>
      </c>
      <c r="D390" t="s">
        <v>965</v>
      </c>
      <c r="E390" t="s">
        <v>504</v>
      </c>
      <c r="F390" t="s">
        <v>510</v>
      </c>
      <c r="G390" t="s">
        <v>511</v>
      </c>
      <c r="H390" t="str">
        <f>+VLOOKUP(G390,'PITESAI corrisp Corine3 - Maes'!$A$2:$B$26,2,FALSE)</f>
        <v>Cropland</v>
      </c>
    </row>
    <row r="391" spans="1:8" x14ac:dyDescent="0.3">
      <c r="A391">
        <v>1135</v>
      </c>
      <c r="B391" t="s">
        <v>993</v>
      </c>
      <c r="C391" t="s">
        <v>967</v>
      </c>
      <c r="D391" t="s">
        <v>638</v>
      </c>
      <c r="E391" t="s">
        <v>504</v>
      </c>
      <c r="F391" t="s">
        <v>640</v>
      </c>
      <c r="G391" t="s">
        <v>641</v>
      </c>
      <c r="H391" t="str">
        <f>+VLOOKUP(G391,'PITESAI corrisp Corine3 - Maes'!$A$2:$B$26,2,FALSE)</f>
        <v>Urban</v>
      </c>
    </row>
    <row r="392" spans="1:8" x14ac:dyDescent="0.3">
      <c r="A392">
        <v>1145</v>
      </c>
      <c r="B392" t="s">
        <v>994</v>
      </c>
      <c r="C392" t="s">
        <v>957</v>
      </c>
      <c r="D392" t="s">
        <v>638</v>
      </c>
      <c r="E392" t="s">
        <v>504</v>
      </c>
      <c r="F392" t="s">
        <v>640</v>
      </c>
      <c r="G392" t="s">
        <v>641</v>
      </c>
      <c r="H392" t="str">
        <f>+VLOOKUP(G392,'PITESAI corrisp Corine3 - Maes'!$A$2:$B$26,2,FALSE)</f>
        <v>Urban</v>
      </c>
    </row>
    <row r="393" spans="1:8" x14ac:dyDescent="0.3">
      <c r="A393">
        <v>1146</v>
      </c>
      <c r="B393" t="s">
        <v>995</v>
      </c>
      <c r="C393" t="s">
        <v>967</v>
      </c>
      <c r="D393" t="s">
        <v>965</v>
      </c>
      <c r="E393" t="s">
        <v>504</v>
      </c>
      <c r="F393" t="s">
        <v>510</v>
      </c>
      <c r="G393" t="s">
        <v>511</v>
      </c>
      <c r="H393" t="str">
        <f>+VLOOKUP(G393,'PITESAI corrisp Corine3 - Maes'!$A$2:$B$26,2,FALSE)</f>
        <v>Cropland</v>
      </c>
    </row>
    <row r="394" spans="1:8" x14ac:dyDescent="0.3">
      <c r="A394">
        <v>1142</v>
      </c>
      <c r="B394" t="s">
        <v>996</v>
      </c>
      <c r="C394" t="s">
        <v>957</v>
      </c>
      <c r="D394" t="s">
        <v>638</v>
      </c>
      <c r="E394" t="s">
        <v>504</v>
      </c>
      <c r="F394" t="s">
        <v>640</v>
      </c>
      <c r="G394" t="s">
        <v>641</v>
      </c>
      <c r="H394" t="str">
        <f>+VLOOKUP(G394,'PITESAI corrisp Corine3 - Maes'!$A$2:$B$26,2,FALSE)</f>
        <v>Urban</v>
      </c>
    </row>
    <row r="395" spans="1:8" x14ac:dyDescent="0.3">
      <c r="A395">
        <v>1261</v>
      </c>
      <c r="B395" t="s">
        <v>997</v>
      </c>
      <c r="C395" t="s">
        <v>508</v>
      </c>
      <c r="D395" t="s">
        <v>509</v>
      </c>
      <c r="E395" t="s">
        <v>498</v>
      </c>
      <c r="F395" t="s">
        <v>510</v>
      </c>
      <c r="G395" t="s">
        <v>511</v>
      </c>
      <c r="H395" t="str">
        <f>+VLOOKUP(G395,'PITESAI corrisp Corine3 - Maes'!$A$2:$B$26,2,FALSE)</f>
        <v>Cropland</v>
      </c>
    </row>
    <row r="396" spans="1:8" x14ac:dyDescent="0.3">
      <c r="A396">
        <v>1262</v>
      </c>
      <c r="B396" t="s">
        <v>998</v>
      </c>
      <c r="C396" t="s">
        <v>633</v>
      </c>
      <c r="D396" t="s">
        <v>985</v>
      </c>
      <c r="E396" t="s">
        <v>498</v>
      </c>
      <c r="F396" t="s">
        <v>567</v>
      </c>
      <c r="G396" t="s">
        <v>568</v>
      </c>
      <c r="H396" t="str">
        <f>+VLOOKUP(G396,'PITESAI corrisp Corine3 - Maes'!$A$2:$B$26,2,FALSE)</f>
        <v>Cropland</v>
      </c>
    </row>
    <row r="397" spans="1:8" x14ac:dyDescent="0.3">
      <c r="A397">
        <v>1264</v>
      </c>
      <c r="B397" t="s">
        <v>999</v>
      </c>
      <c r="C397" t="s">
        <v>508</v>
      </c>
      <c r="D397" t="s">
        <v>509</v>
      </c>
      <c r="E397" t="s">
        <v>498</v>
      </c>
      <c r="F397" t="s">
        <v>597</v>
      </c>
      <c r="G397" t="s">
        <v>598</v>
      </c>
      <c r="H397" t="str">
        <f>+VLOOKUP(G397,'PITESAI corrisp Corine3 - Maes'!$A$2:$B$26,2,FALSE)</f>
        <v>Sparsely vegetated land</v>
      </c>
    </row>
    <row r="398" spans="1:8" x14ac:dyDescent="0.3">
      <c r="A398">
        <v>1248</v>
      </c>
      <c r="B398" t="s">
        <v>1000</v>
      </c>
      <c r="C398" t="s">
        <v>508</v>
      </c>
      <c r="D398" t="s">
        <v>509</v>
      </c>
      <c r="E398" t="s">
        <v>498</v>
      </c>
      <c r="F398" t="s">
        <v>510</v>
      </c>
      <c r="G398" t="s">
        <v>511</v>
      </c>
      <c r="H398" t="str">
        <f>+VLOOKUP(G398,'PITESAI corrisp Corine3 - Maes'!$A$2:$B$26,2,FALSE)</f>
        <v>Cropland</v>
      </c>
    </row>
    <row r="399" spans="1:8" x14ac:dyDescent="0.3">
      <c r="A399">
        <v>1291</v>
      </c>
      <c r="B399" t="s">
        <v>1001</v>
      </c>
      <c r="C399" t="s">
        <v>940</v>
      </c>
      <c r="D399" t="s">
        <v>940</v>
      </c>
      <c r="E399" t="s">
        <v>504</v>
      </c>
      <c r="F399" t="s">
        <v>515</v>
      </c>
      <c r="G399" t="s">
        <v>506</v>
      </c>
      <c r="H399" t="str">
        <f>+VLOOKUP(G399,'PITESAI corrisp Corine3 - Maes'!$A$2:$B$26,2,FALSE)</f>
        <v>Woodland and forest</v>
      </c>
    </row>
    <row r="400" spans="1:8" x14ac:dyDescent="0.3">
      <c r="A400">
        <v>1292</v>
      </c>
      <c r="B400" t="s">
        <v>1002</v>
      </c>
      <c r="C400" t="s">
        <v>940</v>
      </c>
      <c r="D400" t="s">
        <v>940</v>
      </c>
      <c r="E400" t="s">
        <v>504</v>
      </c>
      <c r="F400" t="s">
        <v>515</v>
      </c>
      <c r="G400" t="s">
        <v>506</v>
      </c>
      <c r="H400" t="str">
        <f>+VLOOKUP(G400,'PITESAI corrisp Corine3 - Maes'!$A$2:$B$26,2,FALSE)</f>
        <v>Woodland and forest</v>
      </c>
    </row>
    <row r="401" spans="1:8" x14ac:dyDescent="0.3">
      <c r="A401">
        <v>1293</v>
      </c>
      <c r="B401" t="s">
        <v>1003</v>
      </c>
      <c r="C401" t="s">
        <v>940</v>
      </c>
      <c r="D401" t="s">
        <v>940</v>
      </c>
      <c r="E401" t="s">
        <v>504</v>
      </c>
      <c r="F401" t="s">
        <v>567</v>
      </c>
      <c r="G401" t="s">
        <v>568</v>
      </c>
      <c r="H401" t="str">
        <f>+VLOOKUP(G401,'PITESAI corrisp Corine3 - Maes'!$A$2:$B$26,2,FALSE)</f>
        <v>Cropland</v>
      </c>
    </row>
    <row r="402" spans="1:8" x14ac:dyDescent="0.3">
      <c r="A402">
        <v>1294</v>
      </c>
      <c r="B402" t="s">
        <v>1004</v>
      </c>
      <c r="C402" t="s">
        <v>633</v>
      </c>
      <c r="D402" t="s">
        <v>985</v>
      </c>
      <c r="E402" t="s">
        <v>498</v>
      </c>
      <c r="F402" t="s">
        <v>553</v>
      </c>
      <c r="G402" t="s">
        <v>511</v>
      </c>
      <c r="H402" t="str">
        <f>+VLOOKUP(G402,'PITESAI corrisp Corine3 - Maes'!$A$2:$B$26,2,FALSE)</f>
        <v>Cropland</v>
      </c>
    </row>
    <row r="403" spans="1:8" x14ac:dyDescent="0.3">
      <c r="A403">
        <v>1295</v>
      </c>
      <c r="B403" t="s">
        <v>1005</v>
      </c>
      <c r="C403" t="s">
        <v>940</v>
      </c>
      <c r="D403" t="s">
        <v>940</v>
      </c>
      <c r="E403" t="s">
        <v>504</v>
      </c>
      <c r="F403" t="s">
        <v>515</v>
      </c>
      <c r="G403" t="s">
        <v>506</v>
      </c>
      <c r="H403" t="str">
        <f>+VLOOKUP(G403,'PITESAI corrisp Corine3 - Maes'!$A$2:$B$26,2,FALSE)</f>
        <v>Woodland and forest</v>
      </c>
    </row>
    <row r="404" spans="1:8" x14ac:dyDescent="0.3">
      <c r="A404">
        <v>1296</v>
      </c>
      <c r="B404" t="s">
        <v>1006</v>
      </c>
      <c r="C404" t="s">
        <v>940</v>
      </c>
      <c r="D404" t="s">
        <v>940</v>
      </c>
      <c r="E404" t="s">
        <v>504</v>
      </c>
      <c r="F404" t="s">
        <v>515</v>
      </c>
      <c r="G404" t="s">
        <v>506</v>
      </c>
      <c r="H404" t="str">
        <f>+VLOOKUP(G404,'PITESAI corrisp Corine3 - Maes'!$A$2:$B$26,2,FALSE)</f>
        <v>Woodland and forest</v>
      </c>
    </row>
    <row r="405" spans="1:8" x14ac:dyDescent="0.3">
      <c r="A405">
        <v>1298</v>
      </c>
      <c r="B405" t="s">
        <v>1007</v>
      </c>
      <c r="C405" t="s">
        <v>633</v>
      </c>
      <c r="D405" t="s">
        <v>985</v>
      </c>
      <c r="E405" t="s">
        <v>498</v>
      </c>
      <c r="F405" t="s">
        <v>515</v>
      </c>
      <c r="G405" t="s">
        <v>506</v>
      </c>
      <c r="H405" t="str">
        <f>+VLOOKUP(G405,'PITESAI corrisp Corine3 - Maes'!$A$2:$B$26,2,FALSE)</f>
        <v>Woodland and forest</v>
      </c>
    </row>
    <row r="406" spans="1:8" x14ac:dyDescent="0.3">
      <c r="A406">
        <v>1287</v>
      </c>
      <c r="B406" t="s">
        <v>1008</v>
      </c>
      <c r="C406" t="s">
        <v>940</v>
      </c>
      <c r="D406" t="s">
        <v>940</v>
      </c>
      <c r="E406" t="s">
        <v>504</v>
      </c>
      <c r="F406" t="s">
        <v>567</v>
      </c>
      <c r="G406" t="s">
        <v>568</v>
      </c>
      <c r="H406" t="str">
        <f>+VLOOKUP(G406,'PITESAI corrisp Corine3 - Maes'!$A$2:$B$26,2,FALSE)</f>
        <v>Cropland</v>
      </c>
    </row>
    <row r="407" spans="1:8" x14ac:dyDescent="0.3">
      <c r="A407">
        <v>1303</v>
      </c>
      <c r="B407" t="s">
        <v>1009</v>
      </c>
      <c r="C407" t="s">
        <v>633</v>
      </c>
      <c r="D407" t="s">
        <v>514</v>
      </c>
      <c r="E407" t="s">
        <v>498</v>
      </c>
      <c r="F407" t="s">
        <v>1010</v>
      </c>
      <c r="G407" t="s">
        <v>867</v>
      </c>
      <c r="H407" t="str">
        <f>+VLOOKUP(G407,'PITESAI corrisp Corine3 - Maes'!$A$2:$B$26,2,FALSE)</f>
        <v>Woodland and forest</v>
      </c>
    </row>
    <row r="408" spans="1:8" x14ac:dyDescent="0.3">
      <c r="A408">
        <v>1305</v>
      </c>
      <c r="B408" t="s">
        <v>1011</v>
      </c>
      <c r="C408" t="s">
        <v>731</v>
      </c>
      <c r="D408" t="s">
        <v>731</v>
      </c>
      <c r="E408" t="s">
        <v>504</v>
      </c>
      <c r="F408" t="s">
        <v>567</v>
      </c>
      <c r="G408" t="s">
        <v>568</v>
      </c>
      <c r="H408" t="str">
        <f>+VLOOKUP(G408,'PITESAI corrisp Corine3 - Maes'!$A$2:$B$26,2,FALSE)</f>
        <v>Cropland</v>
      </c>
    </row>
    <row r="409" spans="1:8" x14ac:dyDescent="0.3">
      <c r="A409">
        <v>1306</v>
      </c>
      <c r="B409" t="s">
        <v>1012</v>
      </c>
      <c r="C409" t="s">
        <v>731</v>
      </c>
      <c r="D409" t="s">
        <v>732</v>
      </c>
      <c r="E409" t="s">
        <v>504</v>
      </c>
      <c r="F409" t="s">
        <v>515</v>
      </c>
      <c r="G409" t="s">
        <v>506</v>
      </c>
      <c r="H409" t="str">
        <f>+VLOOKUP(G409,'PITESAI corrisp Corine3 - Maes'!$A$2:$B$26,2,FALSE)</f>
        <v>Woodland and forest</v>
      </c>
    </row>
    <row r="410" spans="1:8" x14ac:dyDescent="0.3">
      <c r="A410">
        <v>1297</v>
      </c>
      <c r="B410" t="s">
        <v>1013</v>
      </c>
      <c r="C410" t="s">
        <v>940</v>
      </c>
      <c r="D410" t="s">
        <v>940</v>
      </c>
      <c r="E410" t="s">
        <v>504</v>
      </c>
      <c r="F410" t="s">
        <v>515</v>
      </c>
      <c r="G410" t="s">
        <v>506</v>
      </c>
      <c r="H410" t="str">
        <f>+VLOOKUP(G410,'PITESAI corrisp Corine3 - Maes'!$A$2:$B$26,2,FALSE)</f>
        <v>Woodland and forest</v>
      </c>
    </row>
    <row r="411" spans="1:8" x14ac:dyDescent="0.3">
      <c r="A411">
        <v>1290</v>
      </c>
      <c r="B411" t="s">
        <v>1014</v>
      </c>
      <c r="C411" t="s">
        <v>940</v>
      </c>
      <c r="D411" t="s">
        <v>940</v>
      </c>
      <c r="E411" t="s">
        <v>504</v>
      </c>
      <c r="F411" t="s">
        <v>515</v>
      </c>
      <c r="G411" t="s">
        <v>506</v>
      </c>
      <c r="H411" t="str">
        <f>+VLOOKUP(G411,'PITESAI corrisp Corine3 - Maes'!$A$2:$B$26,2,FALSE)</f>
        <v>Woodland and forest</v>
      </c>
    </row>
    <row r="412" spans="1:8" x14ac:dyDescent="0.3">
      <c r="A412">
        <v>1289</v>
      </c>
      <c r="B412" t="s">
        <v>1015</v>
      </c>
      <c r="C412" t="s">
        <v>940</v>
      </c>
      <c r="D412" t="s">
        <v>940</v>
      </c>
      <c r="E412" t="s">
        <v>504</v>
      </c>
      <c r="F412" t="s">
        <v>515</v>
      </c>
      <c r="G412" t="s">
        <v>506</v>
      </c>
      <c r="H412" t="str">
        <f>+VLOOKUP(G412,'PITESAI corrisp Corine3 - Maes'!$A$2:$B$26,2,FALSE)</f>
        <v>Woodland and forest</v>
      </c>
    </row>
    <row r="413" spans="1:8" x14ac:dyDescent="0.3">
      <c r="A413">
        <v>1171</v>
      </c>
      <c r="B413" t="s">
        <v>1016</v>
      </c>
      <c r="C413" t="s">
        <v>943</v>
      </c>
      <c r="D413" t="s">
        <v>943</v>
      </c>
      <c r="E413" t="s">
        <v>504</v>
      </c>
      <c r="F413" t="s">
        <v>527</v>
      </c>
      <c r="G413" t="s">
        <v>528</v>
      </c>
      <c r="H413" t="str">
        <f>+VLOOKUP(G413,'PITESAI corrisp Corine3 - Maes'!$A$2:$B$26,2,FALSE)</f>
        <v>Cropland</v>
      </c>
    </row>
    <row r="414" spans="1:8" x14ac:dyDescent="0.3">
      <c r="A414">
        <v>1204</v>
      </c>
      <c r="B414" t="s">
        <v>1017</v>
      </c>
      <c r="C414" t="s">
        <v>918</v>
      </c>
      <c r="D414" t="s">
        <v>918</v>
      </c>
      <c r="E414" t="s">
        <v>504</v>
      </c>
      <c r="F414" t="s">
        <v>734</v>
      </c>
      <c r="G414" t="s">
        <v>735</v>
      </c>
      <c r="H414" t="str">
        <f>+VLOOKUP(G414,'PITESAI corrisp Corine3 - Maes'!$A$2:$B$26,2,FALSE)</f>
        <v>Urban</v>
      </c>
    </row>
    <row r="415" spans="1:8" x14ac:dyDescent="0.3">
      <c r="A415">
        <v>1195</v>
      </c>
      <c r="B415" t="s">
        <v>1018</v>
      </c>
      <c r="C415" t="s">
        <v>1019</v>
      </c>
      <c r="D415" t="s">
        <v>1019</v>
      </c>
      <c r="E415" t="s">
        <v>504</v>
      </c>
      <c r="F415" t="s">
        <v>510</v>
      </c>
      <c r="G415" t="s">
        <v>511</v>
      </c>
      <c r="H415" t="str">
        <f>+VLOOKUP(G415,'PITESAI corrisp Corine3 - Maes'!$A$2:$B$26,2,FALSE)</f>
        <v>Cropland</v>
      </c>
    </row>
    <row r="416" spans="1:8" x14ac:dyDescent="0.3">
      <c r="A416">
        <v>1201</v>
      </c>
      <c r="B416" t="s">
        <v>1020</v>
      </c>
      <c r="C416" t="s">
        <v>918</v>
      </c>
      <c r="D416" t="s">
        <v>918</v>
      </c>
      <c r="E416" t="s">
        <v>504</v>
      </c>
      <c r="F416" t="s">
        <v>640</v>
      </c>
      <c r="G416" t="s">
        <v>641</v>
      </c>
      <c r="H416" t="str">
        <f>+VLOOKUP(G416,'PITESAI corrisp Corine3 - Maes'!$A$2:$B$26,2,FALSE)</f>
        <v>Urban</v>
      </c>
    </row>
    <row r="417" spans="1:8" x14ac:dyDescent="0.3">
      <c r="A417">
        <v>1205</v>
      </c>
      <c r="B417" t="s">
        <v>1021</v>
      </c>
      <c r="C417" t="s">
        <v>918</v>
      </c>
      <c r="D417" t="s">
        <v>918</v>
      </c>
      <c r="E417" t="s">
        <v>504</v>
      </c>
      <c r="F417" t="s">
        <v>527</v>
      </c>
      <c r="G417" t="s">
        <v>528</v>
      </c>
      <c r="H417" t="str">
        <f>+VLOOKUP(G417,'PITESAI corrisp Corine3 - Maes'!$A$2:$B$26,2,FALSE)</f>
        <v>Cropland</v>
      </c>
    </row>
    <row r="418" spans="1:8" x14ac:dyDescent="0.3">
      <c r="A418">
        <v>1206</v>
      </c>
      <c r="B418" t="s">
        <v>1022</v>
      </c>
      <c r="C418" t="s">
        <v>918</v>
      </c>
      <c r="D418" t="s">
        <v>918</v>
      </c>
      <c r="E418" t="s">
        <v>504</v>
      </c>
      <c r="F418" t="s">
        <v>510</v>
      </c>
      <c r="G418" t="s">
        <v>511</v>
      </c>
      <c r="H418" t="str">
        <f>+VLOOKUP(G418,'PITESAI corrisp Corine3 - Maes'!$A$2:$B$26,2,FALSE)</f>
        <v>Cropland</v>
      </c>
    </row>
    <row r="419" spans="1:8" x14ac:dyDescent="0.3">
      <c r="A419">
        <v>1207</v>
      </c>
      <c r="B419" t="s">
        <v>1023</v>
      </c>
      <c r="C419" t="s">
        <v>918</v>
      </c>
      <c r="D419" t="s">
        <v>918</v>
      </c>
      <c r="E419" t="s">
        <v>504</v>
      </c>
      <c r="F419" t="s">
        <v>527</v>
      </c>
      <c r="G419" t="s">
        <v>528</v>
      </c>
      <c r="H419" t="str">
        <f>+VLOOKUP(G419,'PITESAI corrisp Corine3 - Maes'!$A$2:$B$26,2,FALSE)</f>
        <v>Cropland</v>
      </c>
    </row>
    <row r="420" spans="1:8" x14ac:dyDescent="0.3">
      <c r="A420">
        <v>1208</v>
      </c>
      <c r="B420" t="s">
        <v>1024</v>
      </c>
      <c r="C420" t="s">
        <v>918</v>
      </c>
      <c r="D420" t="s">
        <v>918</v>
      </c>
      <c r="E420" t="s">
        <v>504</v>
      </c>
      <c r="F420" t="s">
        <v>510</v>
      </c>
      <c r="G420" t="s">
        <v>511</v>
      </c>
      <c r="H420" t="str">
        <f>+VLOOKUP(G420,'PITESAI corrisp Corine3 - Maes'!$A$2:$B$26,2,FALSE)</f>
        <v>Cropland</v>
      </c>
    </row>
    <row r="421" spans="1:8" x14ac:dyDescent="0.3">
      <c r="A421">
        <v>1209</v>
      </c>
      <c r="B421" t="s">
        <v>1025</v>
      </c>
      <c r="C421" t="s">
        <v>918</v>
      </c>
      <c r="D421" t="s">
        <v>918</v>
      </c>
      <c r="E421" t="s">
        <v>504</v>
      </c>
      <c r="F421" t="s">
        <v>510</v>
      </c>
      <c r="G421" t="s">
        <v>511</v>
      </c>
      <c r="H421" t="str">
        <f>+VLOOKUP(G421,'PITESAI corrisp Corine3 - Maes'!$A$2:$B$26,2,FALSE)</f>
        <v>Cropland</v>
      </c>
    </row>
    <row r="422" spans="1:8" x14ac:dyDescent="0.3">
      <c r="A422">
        <v>1210</v>
      </c>
      <c r="B422" t="s">
        <v>1026</v>
      </c>
      <c r="C422" t="s">
        <v>918</v>
      </c>
      <c r="D422" t="s">
        <v>918</v>
      </c>
      <c r="E422" t="s">
        <v>504</v>
      </c>
      <c r="F422" t="s">
        <v>510</v>
      </c>
      <c r="G422" t="s">
        <v>511</v>
      </c>
      <c r="H422" t="str">
        <f>+VLOOKUP(G422,'PITESAI corrisp Corine3 - Maes'!$A$2:$B$26,2,FALSE)</f>
        <v>Cropland</v>
      </c>
    </row>
    <row r="423" spans="1:8" x14ac:dyDescent="0.3">
      <c r="A423">
        <v>1211</v>
      </c>
      <c r="B423" t="s">
        <v>1027</v>
      </c>
      <c r="C423" t="s">
        <v>918</v>
      </c>
      <c r="D423" t="s">
        <v>918</v>
      </c>
      <c r="E423" t="s">
        <v>504</v>
      </c>
      <c r="F423" t="s">
        <v>734</v>
      </c>
      <c r="G423" t="s">
        <v>735</v>
      </c>
      <c r="H423" t="str">
        <f>+VLOOKUP(G423,'PITESAI corrisp Corine3 - Maes'!$A$2:$B$26,2,FALSE)</f>
        <v>Urban</v>
      </c>
    </row>
    <row r="424" spans="1:8" x14ac:dyDescent="0.3">
      <c r="A424">
        <v>1212</v>
      </c>
      <c r="B424" t="s">
        <v>1028</v>
      </c>
      <c r="C424" t="s">
        <v>918</v>
      </c>
      <c r="D424" t="s">
        <v>918</v>
      </c>
      <c r="E424" t="s">
        <v>504</v>
      </c>
      <c r="F424" t="s">
        <v>510</v>
      </c>
      <c r="G424" t="s">
        <v>511</v>
      </c>
      <c r="H424" t="str">
        <f>+VLOOKUP(G424,'PITESAI corrisp Corine3 - Maes'!$A$2:$B$26,2,FALSE)</f>
        <v>Cropland</v>
      </c>
    </row>
    <row r="425" spans="1:8" x14ac:dyDescent="0.3">
      <c r="A425">
        <v>1202</v>
      </c>
      <c r="B425" t="s">
        <v>1029</v>
      </c>
      <c r="C425" t="s">
        <v>918</v>
      </c>
      <c r="D425" t="s">
        <v>918</v>
      </c>
      <c r="E425" t="s">
        <v>504</v>
      </c>
      <c r="F425" t="s">
        <v>527</v>
      </c>
      <c r="G425" t="s">
        <v>528</v>
      </c>
      <c r="H425" t="str">
        <f>+VLOOKUP(G425,'PITESAI corrisp Corine3 - Maes'!$A$2:$B$26,2,FALSE)</f>
        <v>Cropland</v>
      </c>
    </row>
    <row r="426" spans="1:8" x14ac:dyDescent="0.3">
      <c r="A426">
        <v>1180</v>
      </c>
      <c r="B426" t="s">
        <v>1030</v>
      </c>
      <c r="C426" t="s">
        <v>542</v>
      </c>
      <c r="D426" t="s">
        <v>542</v>
      </c>
      <c r="E426" t="s">
        <v>498</v>
      </c>
      <c r="F426" t="s">
        <v>510</v>
      </c>
      <c r="G426" t="s">
        <v>511</v>
      </c>
      <c r="H426" t="str">
        <f>+VLOOKUP(G426,'PITESAI corrisp Corine3 - Maes'!$A$2:$B$26,2,FALSE)</f>
        <v>Cropland</v>
      </c>
    </row>
    <row r="427" spans="1:8" x14ac:dyDescent="0.3">
      <c r="A427">
        <v>1288</v>
      </c>
      <c r="B427" t="s">
        <v>1031</v>
      </c>
      <c r="C427" t="s">
        <v>940</v>
      </c>
      <c r="D427" t="s">
        <v>940</v>
      </c>
      <c r="E427" t="s">
        <v>504</v>
      </c>
      <c r="F427" t="s">
        <v>515</v>
      </c>
      <c r="G427" t="s">
        <v>506</v>
      </c>
      <c r="H427" t="str">
        <f>+VLOOKUP(G427,'PITESAI corrisp Corine3 - Maes'!$A$2:$B$26,2,FALSE)</f>
        <v>Woodland and forest</v>
      </c>
    </row>
    <row r="428" spans="1:8" x14ac:dyDescent="0.3">
      <c r="A428">
        <v>1228</v>
      </c>
      <c r="B428" t="s">
        <v>1032</v>
      </c>
      <c r="C428" t="s">
        <v>565</v>
      </c>
      <c r="D428" t="s">
        <v>1033</v>
      </c>
      <c r="E428" t="s">
        <v>504</v>
      </c>
      <c r="F428" t="s">
        <v>567</v>
      </c>
      <c r="G428" t="s">
        <v>568</v>
      </c>
      <c r="H428" t="str">
        <f>+VLOOKUP(G428,'PITESAI corrisp Corine3 - Maes'!$A$2:$B$26,2,FALSE)</f>
        <v>Cropland</v>
      </c>
    </row>
    <row r="429" spans="1:8" x14ac:dyDescent="0.3">
      <c r="A429">
        <v>1191</v>
      </c>
      <c r="B429" t="s">
        <v>1034</v>
      </c>
      <c r="C429" t="s">
        <v>542</v>
      </c>
      <c r="D429" t="s">
        <v>542</v>
      </c>
      <c r="E429" t="s">
        <v>498</v>
      </c>
      <c r="F429" t="s">
        <v>510</v>
      </c>
      <c r="G429" t="s">
        <v>511</v>
      </c>
      <c r="H429" t="str">
        <f>+VLOOKUP(G429,'PITESAI corrisp Corine3 - Maes'!$A$2:$B$26,2,FALSE)</f>
        <v>Cropland</v>
      </c>
    </row>
    <row r="430" spans="1:8" x14ac:dyDescent="0.3">
      <c r="A430">
        <v>1179</v>
      </c>
      <c r="B430" t="s">
        <v>1035</v>
      </c>
      <c r="C430" t="s">
        <v>542</v>
      </c>
      <c r="D430" t="s">
        <v>542</v>
      </c>
      <c r="E430" t="s">
        <v>498</v>
      </c>
      <c r="F430" t="s">
        <v>510</v>
      </c>
      <c r="G430" t="s">
        <v>511</v>
      </c>
      <c r="H430" t="str">
        <f>+VLOOKUP(G430,'PITESAI corrisp Corine3 - Maes'!$A$2:$B$26,2,FALSE)</f>
        <v>Cropland</v>
      </c>
    </row>
    <row r="431" spans="1:8" x14ac:dyDescent="0.3">
      <c r="A431">
        <v>1190</v>
      </c>
      <c r="B431" t="s">
        <v>1036</v>
      </c>
      <c r="C431" t="s">
        <v>542</v>
      </c>
      <c r="D431" t="s">
        <v>542</v>
      </c>
      <c r="E431" t="s">
        <v>498</v>
      </c>
      <c r="F431" t="s">
        <v>510</v>
      </c>
      <c r="G431" t="s">
        <v>511</v>
      </c>
      <c r="H431" t="str">
        <f>+VLOOKUP(G431,'PITESAI corrisp Corine3 - Maes'!$A$2:$B$26,2,FALSE)</f>
        <v>Cropland</v>
      </c>
    </row>
    <row r="432" spans="1:8" x14ac:dyDescent="0.3">
      <c r="A432">
        <v>1181</v>
      </c>
      <c r="B432" t="s">
        <v>1037</v>
      </c>
      <c r="C432" t="s">
        <v>542</v>
      </c>
      <c r="D432" t="s">
        <v>542</v>
      </c>
      <c r="E432" t="s">
        <v>498</v>
      </c>
      <c r="F432" t="s">
        <v>510</v>
      </c>
      <c r="G432" t="s">
        <v>511</v>
      </c>
      <c r="H432" t="str">
        <f>+VLOOKUP(G432,'PITESAI corrisp Corine3 - Maes'!$A$2:$B$26,2,FALSE)</f>
        <v>Cropland</v>
      </c>
    </row>
    <row r="433" spans="1:8" x14ac:dyDescent="0.3">
      <c r="A433">
        <v>1182</v>
      </c>
      <c r="B433" t="s">
        <v>1038</v>
      </c>
      <c r="C433" t="s">
        <v>542</v>
      </c>
      <c r="D433" t="s">
        <v>542</v>
      </c>
      <c r="E433" t="s">
        <v>498</v>
      </c>
      <c r="F433" t="s">
        <v>510</v>
      </c>
      <c r="G433" t="s">
        <v>511</v>
      </c>
      <c r="H433" t="str">
        <f>+VLOOKUP(G433,'PITESAI corrisp Corine3 - Maes'!$A$2:$B$26,2,FALSE)</f>
        <v>Cropland</v>
      </c>
    </row>
    <row r="434" spans="1:8" x14ac:dyDescent="0.3">
      <c r="A434">
        <v>1183</v>
      </c>
      <c r="B434" t="s">
        <v>1039</v>
      </c>
      <c r="C434" t="s">
        <v>542</v>
      </c>
      <c r="D434" t="s">
        <v>542</v>
      </c>
      <c r="E434" t="s">
        <v>498</v>
      </c>
      <c r="F434" t="s">
        <v>510</v>
      </c>
      <c r="G434" t="s">
        <v>511</v>
      </c>
      <c r="H434" t="str">
        <f>+VLOOKUP(G434,'PITESAI corrisp Corine3 - Maes'!$A$2:$B$26,2,FALSE)</f>
        <v>Cropland</v>
      </c>
    </row>
    <row r="435" spans="1:8" x14ac:dyDescent="0.3">
      <c r="A435">
        <v>1184</v>
      </c>
      <c r="B435" t="s">
        <v>1040</v>
      </c>
      <c r="C435" t="s">
        <v>542</v>
      </c>
      <c r="D435" t="s">
        <v>542</v>
      </c>
      <c r="E435" t="s">
        <v>498</v>
      </c>
      <c r="F435" t="s">
        <v>510</v>
      </c>
      <c r="G435" t="s">
        <v>511</v>
      </c>
      <c r="H435" t="str">
        <f>+VLOOKUP(G435,'PITESAI corrisp Corine3 - Maes'!$A$2:$B$26,2,FALSE)</f>
        <v>Cropland</v>
      </c>
    </row>
    <row r="436" spans="1:8" x14ac:dyDescent="0.3">
      <c r="A436">
        <v>1185</v>
      </c>
      <c r="B436" t="s">
        <v>1041</v>
      </c>
      <c r="C436" t="s">
        <v>542</v>
      </c>
      <c r="D436" t="s">
        <v>542</v>
      </c>
      <c r="E436" t="s">
        <v>498</v>
      </c>
      <c r="F436" t="s">
        <v>510</v>
      </c>
      <c r="G436" t="s">
        <v>511</v>
      </c>
      <c r="H436" t="str">
        <f>+VLOOKUP(G436,'PITESAI corrisp Corine3 - Maes'!$A$2:$B$26,2,FALSE)</f>
        <v>Cropland</v>
      </c>
    </row>
    <row r="437" spans="1:8" x14ac:dyDescent="0.3">
      <c r="A437">
        <v>1186</v>
      </c>
      <c r="B437" t="s">
        <v>1042</v>
      </c>
      <c r="C437" t="s">
        <v>542</v>
      </c>
      <c r="D437" t="s">
        <v>542</v>
      </c>
      <c r="E437" t="s">
        <v>498</v>
      </c>
      <c r="F437" t="s">
        <v>510</v>
      </c>
      <c r="G437" t="s">
        <v>511</v>
      </c>
      <c r="H437" t="str">
        <f>+VLOOKUP(G437,'PITESAI corrisp Corine3 - Maes'!$A$2:$B$26,2,FALSE)</f>
        <v>Cropland</v>
      </c>
    </row>
    <row r="438" spans="1:8" x14ac:dyDescent="0.3">
      <c r="A438">
        <v>1187</v>
      </c>
      <c r="B438" t="s">
        <v>1043</v>
      </c>
      <c r="C438" t="s">
        <v>542</v>
      </c>
      <c r="D438" t="s">
        <v>542</v>
      </c>
      <c r="E438" t="s">
        <v>498</v>
      </c>
      <c r="F438" t="s">
        <v>510</v>
      </c>
      <c r="G438" t="s">
        <v>511</v>
      </c>
      <c r="H438" t="str">
        <f>+VLOOKUP(G438,'PITESAI corrisp Corine3 - Maes'!$A$2:$B$26,2,FALSE)</f>
        <v>Cropland</v>
      </c>
    </row>
    <row r="439" spans="1:8" x14ac:dyDescent="0.3">
      <c r="A439">
        <v>1178</v>
      </c>
      <c r="B439" t="s">
        <v>1044</v>
      </c>
      <c r="C439" t="s">
        <v>542</v>
      </c>
      <c r="D439" t="s">
        <v>542</v>
      </c>
      <c r="E439" t="s">
        <v>498</v>
      </c>
      <c r="F439" t="s">
        <v>510</v>
      </c>
      <c r="G439" t="s">
        <v>511</v>
      </c>
      <c r="H439" t="str">
        <f>+VLOOKUP(G439,'PITESAI corrisp Corine3 - Maes'!$A$2:$B$26,2,FALSE)</f>
        <v>Cropland</v>
      </c>
    </row>
    <row r="440" spans="1:8" x14ac:dyDescent="0.3">
      <c r="A440">
        <v>1196</v>
      </c>
      <c r="B440" t="s">
        <v>1045</v>
      </c>
      <c r="C440" t="s">
        <v>1019</v>
      </c>
      <c r="D440" t="s">
        <v>1019</v>
      </c>
      <c r="E440" t="s">
        <v>504</v>
      </c>
      <c r="F440" t="s">
        <v>510</v>
      </c>
      <c r="G440" t="s">
        <v>511</v>
      </c>
      <c r="H440" t="str">
        <f>+VLOOKUP(G440,'PITESAI corrisp Corine3 - Maes'!$A$2:$B$26,2,FALSE)</f>
        <v>Cropland</v>
      </c>
    </row>
    <row r="441" spans="1:8" x14ac:dyDescent="0.3">
      <c r="A441">
        <v>1225</v>
      </c>
      <c r="B441" t="s">
        <v>1046</v>
      </c>
      <c r="C441" t="s">
        <v>565</v>
      </c>
      <c r="D441" t="s">
        <v>1033</v>
      </c>
      <c r="E441" t="s">
        <v>504</v>
      </c>
      <c r="F441" t="s">
        <v>567</v>
      </c>
      <c r="G441" t="s">
        <v>568</v>
      </c>
      <c r="H441" t="str">
        <f>+VLOOKUP(G441,'PITESAI corrisp Corine3 - Maes'!$A$2:$B$26,2,FALSE)</f>
        <v>Cropland</v>
      </c>
    </row>
    <row r="442" spans="1:8" x14ac:dyDescent="0.3">
      <c r="A442">
        <v>1224</v>
      </c>
      <c r="B442" t="s">
        <v>1047</v>
      </c>
      <c r="C442" t="s">
        <v>633</v>
      </c>
      <c r="D442" t="s">
        <v>985</v>
      </c>
      <c r="E442" t="s">
        <v>498</v>
      </c>
      <c r="F442" t="s">
        <v>553</v>
      </c>
      <c r="G442" t="s">
        <v>511</v>
      </c>
      <c r="H442" t="str">
        <f>+VLOOKUP(G442,'PITESAI corrisp Corine3 - Maes'!$A$2:$B$26,2,FALSE)</f>
        <v>Cropland</v>
      </c>
    </row>
    <row r="443" spans="1:8" x14ac:dyDescent="0.3">
      <c r="A443">
        <v>1223</v>
      </c>
      <c r="B443" t="s">
        <v>1048</v>
      </c>
      <c r="C443" t="s">
        <v>633</v>
      </c>
      <c r="D443" t="s">
        <v>985</v>
      </c>
      <c r="E443" t="s">
        <v>498</v>
      </c>
      <c r="F443" t="s">
        <v>510</v>
      </c>
      <c r="G443" t="s">
        <v>511</v>
      </c>
      <c r="H443" t="str">
        <f>+VLOOKUP(G443,'PITESAI corrisp Corine3 - Maes'!$A$2:$B$26,2,FALSE)</f>
        <v>Cropland</v>
      </c>
    </row>
    <row r="444" spans="1:8" x14ac:dyDescent="0.3">
      <c r="A444">
        <v>1226</v>
      </c>
      <c r="B444" t="s">
        <v>1049</v>
      </c>
      <c r="C444" t="s">
        <v>565</v>
      </c>
      <c r="D444" t="s">
        <v>1033</v>
      </c>
      <c r="E444" t="s">
        <v>504</v>
      </c>
      <c r="F444" t="s">
        <v>515</v>
      </c>
      <c r="G444" t="s">
        <v>506</v>
      </c>
      <c r="H444" t="str">
        <f>+VLOOKUP(G444,'PITESAI corrisp Corine3 - Maes'!$A$2:$B$26,2,FALSE)</f>
        <v>Woodland and forest</v>
      </c>
    </row>
    <row r="445" spans="1:8" x14ac:dyDescent="0.3">
      <c r="A445">
        <v>1227</v>
      </c>
      <c r="B445" t="s">
        <v>1050</v>
      </c>
      <c r="C445" t="s">
        <v>565</v>
      </c>
      <c r="D445" t="s">
        <v>1033</v>
      </c>
      <c r="E445" t="s">
        <v>504</v>
      </c>
      <c r="F445" t="s">
        <v>515</v>
      </c>
      <c r="G445" t="s">
        <v>506</v>
      </c>
      <c r="H445" t="str">
        <f>+VLOOKUP(G445,'PITESAI corrisp Corine3 - Maes'!$A$2:$B$26,2,FALSE)</f>
        <v>Woodland and forest</v>
      </c>
    </row>
    <row r="446" spans="1:8" x14ac:dyDescent="0.3">
      <c r="A446">
        <v>1219</v>
      </c>
      <c r="B446" t="s">
        <v>1051</v>
      </c>
      <c r="C446" t="s">
        <v>633</v>
      </c>
      <c r="D446" t="s">
        <v>940</v>
      </c>
      <c r="E446" t="s">
        <v>504</v>
      </c>
      <c r="F446" t="s">
        <v>515</v>
      </c>
      <c r="G446" t="s">
        <v>506</v>
      </c>
      <c r="H446" t="str">
        <f>+VLOOKUP(G446,'PITESAI corrisp Corine3 - Maes'!$A$2:$B$26,2,FALSE)</f>
        <v>Woodland and forest</v>
      </c>
    </row>
  </sheetData>
  <autoFilter ref="A1:H446" xr:uid="{00000000-0009-0000-0000-000003000000}"/>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F00-0EA5-4C7F-A495-7DE27887D584}">
  <sheetPr>
    <tabColor rgb="FF00B050"/>
  </sheetPr>
  <dimension ref="A1:V78"/>
  <sheetViews>
    <sheetView topLeftCell="G1" zoomScaleNormal="100" workbookViewId="0">
      <selection activeCell="C23" sqref="C23"/>
    </sheetView>
  </sheetViews>
  <sheetFormatPr defaultRowHeight="14.4" x14ac:dyDescent="0.3"/>
  <cols>
    <col min="1" max="1" width="9.33203125" bestFit="1" customWidth="1"/>
    <col min="2" max="2" width="58.33203125" customWidth="1"/>
    <col min="3" max="3" width="15.33203125" customWidth="1"/>
    <col min="4" max="4" width="15.5546875" customWidth="1"/>
    <col min="5" max="5" width="18.109375" customWidth="1"/>
    <col min="6" max="8" width="13.5546875" customWidth="1"/>
    <col min="9" max="9" width="15.5546875" customWidth="1"/>
    <col min="10" max="10" width="11.5546875" bestFit="1" customWidth="1"/>
    <col min="11" max="11" width="17.5546875" customWidth="1"/>
    <col min="12" max="12" width="22.109375" customWidth="1"/>
    <col min="13" max="13" width="11" bestFit="1" customWidth="1"/>
    <col min="14" max="14" width="14.33203125" customWidth="1"/>
    <col min="15" max="15" width="12" bestFit="1" customWidth="1"/>
    <col min="16" max="16" width="13.109375" customWidth="1"/>
  </cols>
  <sheetData>
    <row r="1" spans="1:16" ht="18" x14ac:dyDescent="0.35">
      <c r="B1" s="51" t="s">
        <v>81</v>
      </c>
      <c r="P1" t="s">
        <v>2366</v>
      </c>
    </row>
    <row r="2" spans="1:16" x14ac:dyDescent="0.3">
      <c r="A2">
        <v>0.91</v>
      </c>
      <c r="B2" s="19" t="s">
        <v>24</v>
      </c>
      <c r="C2" t="s">
        <v>32</v>
      </c>
      <c r="D2" s="19" t="s">
        <v>82</v>
      </c>
      <c r="L2" s="59"/>
      <c r="M2" s="1268" t="s">
        <v>2359</v>
      </c>
      <c r="N2" s="1269"/>
      <c r="O2" s="1270"/>
      <c r="P2" s="435" t="s">
        <v>2373</v>
      </c>
    </row>
    <row r="3" spans="1:16" ht="28.8" x14ac:dyDescent="0.3">
      <c r="A3">
        <f>974.46/(794.4/740.6)</f>
        <v>908.46560422960738</v>
      </c>
      <c r="B3" s="1080">
        <f>A3/(A2*100)</f>
        <v>9.9831385080176638</v>
      </c>
      <c r="C3" t="s">
        <v>34</v>
      </c>
      <c r="D3" s="55" t="s">
        <v>80</v>
      </c>
      <c r="E3" s="50" t="s">
        <v>1995</v>
      </c>
      <c r="F3" s="158" t="s">
        <v>1079</v>
      </c>
      <c r="G3" s="158" t="s">
        <v>1080</v>
      </c>
      <c r="I3" s="443" t="s">
        <v>2358</v>
      </c>
      <c r="J3" s="6" t="s">
        <v>1473</v>
      </c>
      <c r="L3" s="444" t="s">
        <v>2359</v>
      </c>
      <c r="M3" s="1045" t="s">
        <v>80</v>
      </c>
      <c r="N3" s="1060" t="s">
        <v>2371</v>
      </c>
      <c r="O3" s="464" t="s">
        <v>2441</v>
      </c>
      <c r="P3" s="439" t="s">
        <v>2379</v>
      </c>
    </row>
    <row r="4" spans="1:16" ht="15.6" x14ac:dyDescent="0.3">
      <c r="A4" s="53">
        <f>C4*$B$3*100</f>
        <v>738.75224959330717</v>
      </c>
      <c r="B4" s="434" t="s">
        <v>33</v>
      </c>
      <c r="C4" s="434">
        <v>0.74</v>
      </c>
      <c r="D4" s="434">
        <v>740.6</v>
      </c>
      <c r="E4" s="501">
        <f>D4*'indice PIL pro capite'!$C$14</f>
        <v>756.32531903851532</v>
      </c>
      <c r="I4" s="21"/>
      <c r="J4" s="21"/>
      <c r="L4" s="1061" t="s">
        <v>1053</v>
      </c>
      <c r="M4" s="444">
        <f>D9</f>
        <v>803.6</v>
      </c>
      <c r="N4" s="306">
        <f>M4*'tavola corr CORINE3-MAES'!G7/1000000</f>
        <v>7330.8528294681073</v>
      </c>
      <c r="O4" s="306">
        <f>M4</f>
        <v>803.6</v>
      </c>
      <c r="P4" s="1070">
        <f>P22*1000000/'tavola corr CORINE3-MAES'!G7</f>
        <v>1.4217570919038929</v>
      </c>
    </row>
    <row r="5" spans="1:16" ht="15.6" x14ac:dyDescent="0.3">
      <c r="A5" s="53">
        <f t="shared" ref="A5:A15" si="0">C5*$B$3*100</f>
        <v>828.60049616546598</v>
      </c>
      <c r="B5" s="435" t="s">
        <v>25</v>
      </c>
      <c r="C5" s="435">
        <v>0.83</v>
      </c>
      <c r="D5" s="21">
        <v>830.7</v>
      </c>
      <c r="E5" s="501">
        <f>D5*'indice PIL pro capite'!$C$14</f>
        <v>848.33843171117292</v>
      </c>
      <c r="I5" s="21" t="s">
        <v>1270</v>
      </c>
      <c r="J5" s="78">
        <f>E5</f>
        <v>848.33843171117292</v>
      </c>
      <c r="L5" s="1061" t="s">
        <v>1054</v>
      </c>
      <c r="M5" s="574">
        <f>D12*('Agricoltura intensiva'!F10/('Agricoltura intensiva'!F10+'Agricoltura intensiva'!G10))+'SE5qualità Habitat biodiversità'!D13*('Agricoltura intensiva'!G10/('Agricoltura intensiva'!F10+'Agricoltura intensiva'!G10))</f>
        <v>392.92303008560924</v>
      </c>
      <c r="N5" s="306">
        <f>M5*'tavola corr CORINE3-MAES'!G5/1000000</f>
        <v>6027.7974459189836</v>
      </c>
      <c r="O5" s="306">
        <f t="shared" ref="O5:O14" si="1">M5</f>
        <v>392.92303008560924</v>
      </c>
      <c r="P5" s="1070">
        <f>N22*1000000/'tavola corr CORINE3-MAES'!G5</f>
        <v>1.4184294033389411</v>
      </c>
    </row>
    <row r="6" spans="1:16" ht="15.6" x14ac:dyDescent="0.3">
      <c r="A6" s="53"/>
      <c r="B6" s="435" t="s">
        <v>26</v>
      </c>
      <c r="C6" s="435">
        <v>0.96</v>
      </c>
      <c r="D6" s="31">
        <v>11609.1</v>
      </c>
      <c r="E6" s="501">
        <f>D6*'indice PIL pro capite'!$C$14</f>
        <v>11855.598516405655</v>
      </c>
      <c r="F6" s="1">
        <f>E6</f>
        <v>11855.598516405655</v>
      </c>
      <c r="G6" s="1">
        <f>E6</f>
        <v>11855.598516405655</v>
      </c>
      <c r="I6" s="21" t="s">
        <v>1271</v>
      </c>
      <c r="J6" s="78">
        <f>E6</f>
        <v>11855.598516405655</v>
      </c>
      <c r="L6" s="1061" t="s">
        <v>1055</v>
      </c>
      <c r="M6" s="1062">
        <f>D7</f>
        <v>1131.8</v>
      </c>
      <c r="N6" s="306">
        <f>M6*'tavola corr CORINE3-MAES'!G6/1000000</f>
        <v>1385.5375499582151</v>
      </c>
      <c r="O6" s="306">
        <f t="shared" si="1"/>
        <v>1131.8</v>
      </c>
      <c r="P6" s="1070">
        <f>O22*1000000/'tavola corr CORINE3-MAES'!G6</f>
        <v>1.4050113618780729</v>
      </c>
    </row>
    <row r="7" spans="1:16" ht="15.6" x14ac:dyDescent="0.3">
      <c r="A7" s="53"/>
      <c r="B7" s="21" t="s">
        <v>27</v>
      </c>
      <c r="C7" s="21">
        <v>0.86</v>
      </c>
      <c r="D7" s="31">
        <v>1131.8</v>
      </c>
      <c r="E7" s="501">
        <f>D7*'indice PIL pro capite'!$C$14</f>
        <v>1155.8317527515414</v>
      </c>
      <c r="F7" s="1">
        <f>E7</f>
        <v>1155.8317527515414</v>
      </c>
      <c r="G7" s="1">
        <f>E7</f>
        <v>1155.8317527515414</v>
      </c>
      <c r="I7" s="21" t="s">
        <v>1272</v>
      </c>
      <c r="J7" s="78">
        <f>E7</f>
        <v>1155.8317527515414</v>
      </c>
      <c r="L7" s="1061" t="s">
        <v>1059</v>
      </c>
      <c r="M7" s="444">
        <f>D8</f>
        <v>810.7</v>
      </c>
      <c r="N7" s="306">
        <f>M7*'tavola corr CORINE3-MAES'!G8/1000000</f>
        <v>961.7722150187634</v>
      </c>
      <c r="O7" s="306">
        <f t="shared" si="1"/>
        <v>810.7</v>
      </c>
      <c r="P7" s="1070">
        <f>R22*1000000/'tavola corr CORINE3-MAES'!G8</f>
        <v>1.3149600084624269</v>
      </c>
    </row>
    <row r="8" spans="1:16" ht="15.6" x14ac:dyDescent="0.3">
      <c r="A8" s="53">
        <f t="shared" si="0"/>
        <v>808.63421914943081</v>
      </c>
      <c r="B8" s="21" t="s">
        <v>28</v>
      </c>
      <c r="C8" s="21">
        <v>0.81</v>
      </c>
      <c r="D8" s="21">
        <v>810.7</v>
      </c>
      <c r="E8" s="501">
        <f>D8*'indice PIL pro capite'!$C$14</f>
        <v>827.91376741091597</v>
      </c>
      <c r="F8" s="1">
        <f>E8</f>
        <v>827.91376741091597</v>
      </c>
      <c r="G8" s="1">
        <f>E8</f>
        <v>827.91376741091597</v>
      </c>
      <c r="I8" s="21" t="s">
        <v>28</v>
      </c>
      <c r="J8" s="78">
        <f>E8</f>
        <v>827.91376741091597</v>
      </c>
      <c r="L8" s="1063" t="s">
        <v>1056</v>
      </c>
      <c r="M8" s="444">
        <f>D11</f>
        <v>550.4</v>
      </c>
      <c r="N8" s="306">
        <f>M8*'tavola corr CORINE3-MAES'!G9/1000000</f>
        <v>936.48487361561365</v>
      </c>
      <c r="O8" s="306">
        <f t="shared" si="1"/>
        <v>550.4</v>
      </c>
      <c r="P8" s="1070">
        <f>S22*1000000/'tavola corr CORINE3-MAES'!G9</f>
        <v>1.3400237797274734</v>
      </c>
    </row>
    <row r="9" spans="1:16" ht="15.6" x14ac:dyDescent="0.3">
      <c r="A9" s="53"/>
      <c r="B9" s="433" t="s">
        <v>29</v>
      </c>
      <c r="C9" s="433">
        <v>0.93</v>
      </c>
      <c r="D9" s="22">
        <v>803.6</v>
      </c>
      <c r="E9" s="501">
        <f>D9*'indice PIL pro capite'!$C$14</f>
        <v>820.66301158432475</v>
      </c>
      <c r="F9" s="1">
        <f>E9</f>
        <v>820.66301158432475</v>
      </c>
      <c r="G9" s="1">
        <f>E9</f>
        <v>820.66301158432475</v>
      </c>
      <c r="I9" s="21" t="s">
        <v>1268</v>
      </c>
      <c r="J9" s="78">
        <f>E9</f>
        <v>820.66301158432475</v>
      </c>
      <c r="L9" s="1063" t="s">
        <v>2337</v>
      </c>
      <c r="M9" s="444">
        <f>D14</f>
        <v>90.1</v>
      </c>
      <c r="N9" s="306">
        <f>M9*'tavola corr CORINE3-MAES'!G4/1000000</f>
        <v>151.35287649444109</v>
      </c>
      <c r="O9" s="306">
        <f t="shared" si="1"/>
        <v>90.1</v>
      </c>
      <c r="P9" s="1071" t="s">
        <v>401</v>
      </c>
    </row>
    <row r="10" spans="1:16" ht="15.6" x14ac:dyDescent="0.3">
      <c r="A10" s="53"/>
      <c r="B10" s="433" t="s">
        <v>30</v>
      </c>
      <c r="C10" s="433">
        <v>0.82</v>
      </c>
      <c r="D10" s="22">
        <v>803.6</v>
      </c>
      <c r="E10" s="501">
        <f>D10*'indice PIL pro capite'!$C$14</f>
        <v>820.66301158432475</v>
      </c>
      <c r="I10" s="21" t="s">
        <v>1283</v>
      </c>
      <c r="J10" s="78">
        <f>J9</f>
        <v>820.66301158432475</v>
      </c>
      <c r="L10" s="1063" t="s">
        <v>1388</v>
      </c>
      <c r="M10" s="1062">
        <f>D6</f>
        <v>11609.1</v>
      </c>
      <c r="N10" s="306">
        <f>M10*'tavola corr CORINE3-MAES'!G10/1000000</f>
        <v>225.92102373613255</v>
      </c>
      <c r="O10" s="306">
        <f t="shared" si="1"/>
        <v>11609.1</v>
      </c>
      <c r="P10" s="1070">
        <f>Q22*1000000/'tavola corr CORINE3-MAES'!G10</f>
        <v>1.5415696788217905</v>
      </c>
    </row>
    <row r="11" spans="1:16" ht="15.6" x14ac:dyDescent="0.3">
      <c r="A11" s="53">
        <f t="shared" si="0"/>
        <v>549.07261794097155</v>
      </c>
      <c r="B11" s="434" t="s">
        <v>83</v>
      </c>
      <c r="C11" s="434">
        <v>0.55000000000000004</v>
      </c>
      <c r="D11" s="434">
        <v>550.4</v>
      </c>
      <c r="E11" s="501">
        <f>D11*'indice PIL pro capite'!$C$14</f>
        <v>562.08676154307147</v>
      </c>
      <c r="F11" s="1">
        <f>E11</f>
        <v>562.08676154307147</v>
      </c>
      <c r="G11" s="1">
        <f>E11</f>
        <v>562.08676154307147</v>
      </c>
      <c r="I11" s="195" t="s">
        <v>1275</v>
      </c>
      <c r="J11" s="1056">
        <f>(E4*K17+E11*K18+E15*K19)</f>
        <v>461.98318129004173</v>
      </c>
      <c r="K11" t="s">
        <v>1280</v>
      </c>
      <c r="L11" s="1063" t="s">
        <v>2336</v>
      </c>
      <c r="M11" s="444">
        <f>D5</f>
        <v>830.7</v>
      </c>
      <c r="N11" s="306">
        <f>M11*'tavola corr CORINE3-MAES'!G12/1000000</f>
        <v>186.48885782701538</v>
      </c>
      <c r="O11" s="306">
        <f t="shared" si="1"/>
        <v>830.7</v>
      </c>
      <c r="P11" s="1070">
        <f>T22*1000000/'tavola corr CORINE3-MAES'!G12</f>
        <v>1.4254149180675173</v>
      </c>
    </row>
    <row r="12" spans="1:16" ht="27.6" x14ac:dyDescent="0.3">
      <c r="A12" s="53">
        <f t="shared" si="0"/>
        <v>259.56160120845925</v>
      </c>
      <c r="B12" s="444" t="s">
        <v>36</v>
      </c>
      <c r="C12" s="444">
        <v>0.26</v>
      </c>
      <c r="D12" s="444">
        <v>260.2</v>
      </c>
      <c r="E12" s="501">
        <f>D12*'indice PIL pro capite'!$C$14</f>
        <v>265.72488254634305</v>
      </c>
      <c r="F12" s="88">
        <f>(E13)</f>
        <v>531.44976509268611</v>
      </c>
      <c r="G12" s="354">
        <f>E12</f>
        <v>265.72488254634305</v>
      </c>
      <c r="H12" s="1">
        <f>F12-G12</f>
        <v>265.72488254634305</v>
      </c>
      <c r="I12" s="195" t="s">
        <v>1269</v>
      </c>
      <c r="J12" s="796">
        <f>(E12+E13)/2</f>
        <v>398.58732381951461</v>
      </c>
      <c r="K12" t="s">
        <v>1281</v>
      </c>
      <c r="L12" s="1061" t="s">
        <v>1519</v>
      </c>
      <c r="M12" s="1064" t="s">
        <v>401</v>
      </c>
      <c r="N12" s="1064" t="s">
        <v>401</v>
      </c>
      <c r="O12" s="1064" t="str">
        <f t="shared" si="1"/>
        <v>n.q.</v>
      </c>
      <c r="P12" s="1072" t="s">
        <v>2360</v>
      </c>
    </row>
    <row r="13" spans="1:16" ht="15.6" x14ac:dyDescent="0.3">
      <c r="A13" s="53">
        <f t="shared" si="0"/>
        <v>519.1232024169185</v>
      </c>
      <c r="B13" s="444" t="s">
        <v>31</v>
      </c>
      <c r="C13" s="444">
        <v>0.52</v>
      </c>
      <c r="D13" s="444">
        <v>520.4</v>
      </c>
      <c r="E13" s="501">
        <f>D13*'indice PIL pro capite'!$C$14</f>
        <v>531.44976509268611</v>
      </c>
      <c r="I13" s="21"/>
      <c r="J13" s="21"/>
      <c r="L13" s="1061" t="s">
        <v>2241</v>
      </c>
      <c r="M13" s="1064" t="s">
        <v>401</v>
      </c>
      <c r="N13" s="1064" t="s">
        <v>401</v>
      </c>
      <c r="O13" s="1064" t="str">
        <f t="shared" si="1"/>
        <v>n.q.</v>
      </c>
      <c r="P13" s="1072" t="s">
        <v>2360</v>
      </c>
    </row>
    <row r="14" spans="1:16" ht="63.6" customHeight="1" x14ac:dyDescent="0.3">
      <c r="A14" s="53">
        <f t="shared" si="0"/>
        <v>89.84824657215897</v>
      </c>
      <c r="B14" s="1057" t="s">
        <v>143</v>
      </c>
      <c r="C14" s="1057">
        <v>0.09</v>
      </c>
      <c r="D14" s="1057">
        <v>90.1</v>
      </c>
      <c r="E14" s="501">
        <f>D14*'indice PIL pro capite'!$C$14</f>
        <v>92.013112672657599</v>
      </c>
      <c r="F14" s="1">
        <f>E14</f>
        <v>92.013112672657599</v>
      </c>
      <c r="G14" s="1">
        <f>E14</f>
        <v>92.013112672657599</v>
      </c>
      <c r="I14" s="33" t="s">
        <v>1282</v>
      </c>
      <c r="J14" s="78">
        <f>E14</f>
        <v>92.013112672657599</v>
      </c>
      <c r="L14" s="1061" t="s">
        <v>2372</v>
      </c>
      <c r="M14" s="1083">
        <f>N14*1000000/('tavola corr CORINE3-MAES'!G4+'tavola corr CORINE3-MAES'!G5+'tavola corr CORINE3-MAES'!G6+'tavola corr CORINE3-MAES'!G7+'tavola corr CORINE3-MAES'!G8+'tavola corr CORINE3-MAES'!G9+'tavola corr CORINE3-MAES'!G10)</f>
        <v>568.33583986084943</v>
      </c>
      <c r="N14" s="1065">
        <f>SUM(N4:N12)</f>
        <v>17206.207672037275</v>
      </c>
      <c r="O14" s="306">
        <f t="shared" si="1"/>
        <v>568.33583986084943</v>
      </c>
      <c r="P14" s="1070">
        <f>U22*1000000/('tavola corr CORINE3-MAES'!G5+'tavola corr CORINE3-MAES'!G6+'tavola corr CORINE3-MAES'!G7+'tavola corr CORINE3-MAES'!G8+'tavola corr CORINE3-MAES'!G9+'tavola corr CORINE3-MAES'!G10)</f>
        <v>1.4212331265123053</v>
      </c>
    </row>
    <row r="15" spans="1:16" ht="15.6" x14ac:dyDescent="0.3">
      <c r="A15" s="53">
        <f t="shared" si="0"/>
        <v>269.5447397164769</v>
      </c>
      <c r="B15" s="1057" t="s">
        <v>142</v>
      </c>
      <c r="C15" s="1057">
        <v>0.27</v>
      </c>
      <c r="D15" s="1057">
        <v>270.3</v>
      </c>
      <c r="E15" s="501">
        <f>D15*'indice PIL pro capite'!$C$14</f>
        <v>276.03933801797285</v>
      </c>
      <c r="I15" s="505"/>
      <c r="J15" s="78"/>
      <c r="L15" s="1059"/>
      <c r="M15" s="947">
        <f>M14/P14</f>
        <v>399.88924354411938</v>
      </c>
    </row>
    <row r="16" spans="1:16" ht="15.6" x14ac:dyDescent="0.3">
      <c r="B16" s="32" t="s">
        <v>1078</v>
      </c>
      <c r="C16" s="32">
        <v>0.57999999999999996</v>
      </c>
      <c r="D16" s="32">
        <v>590.4</v>
      </c>
      <c r="E16" s="501">
        <f>D16*'indice PIL pro capite'!$C$14</f>
        <v>602.93609014358549</v>
      </c>
    </row>
    <row r="17" spans="2:22" x14ac:dyDescent="0.3">
      <c r="B17" s="20" t="s">
        <v>35</v>
      </c>
      <c r="H17" s="69" t="s">
        <v>1276</v>
      </c>
      <c r="J17" s="53">
        <f>'PITESAI tipi ecosistemi Italia'!B49</f>
        <v>200000</v>
      </c>
      <c r="K17" s="363">
        <f>J17/J20</f>
        <v>0.19992806910021577</v>
      </c>
    </row>
    <row r="18" spans="2:22" x14ac:dyDescent="0.3">
      <c r="B18" s="54" t="s">
        <v>101</v>
      </c>
      <c r="C18" s="55"/>
      <c r="D18" s="55"/>
      <c r="E18" s="55"/>
      <c r="F18" s="55"/>
      <c r="H18" s="69" t="s">
        <v>1277</v>
      </c>
      <c r="J18" s="53">
        <f>'PITESAI tipi ecosistemi Italia'!B44-'PITESAI tipi ecosistemi Italia'!B49</f>
        <v>314470.74600407796</v>
      </c>
      <c r="K18" s="363">
        <f>J18/J20</f>
        <v>0.31435764518549847</v>
      </c>
    </row>
    <row r="19" spans="2:22" ht="15.6" x14ac:dyDescent="0.3">
      <c r="B19" s="50" t="s">
        <v>89</v>
      </c>
      <c r="H19" s="69" t="s">
        <v>1278</v>
      </c>
      <c r="J19" s="53">
        <f>'PITESAI tipi ecosistemi Italia'!B34</f>
        <v>485889.03789274028</v>
      </c>
      <c r="K19" s="363">
        <f>J19/J20</f>
        <v>0.48571428571428565</v>
      </c>
    </row>
    <row r="20" spans="2:22" ht="15.6" x14ac:dyDescent="0.3">
      <c r="B20" s="1076" t="s">
        <v>2378</v>
      </c>
      <c r="C20" s="64"/>
      <c r="D20" s="64"/>
      <c r="H20" s="369" t="s">
        <v>1279</v>
      </c>
      <c r="J20" s="289">
        <f>SUM(J17:J19)</f>
        <v>1000359.7838968183</v>
      </c>
      <c r="K20" s="363">
        <f>SUM(K17:K19)</f>
        <v>0.99999999999999989</v>
      </c>
      <c r="N20" s="1066" t="s">
        <v>2364</v>
      </c>
      <c r="O20" s="1066"/>
      <c r="P20" s="1066"/>
      <c r="Q20" s="1066"/>
      <c r="R20" s="1066"/>
      <c r="S20" s="1066"/>
      <c r="T20" s="1066"/>
      <c r="U20" s="1066"/>
    </row>
    <row r="21" spans="2:22" ht="43.2" x14ac:dyDescent="0.3">
      <c r="B21" s="253" t="s">
        <v>2442</v>
      </c>
      <c r="F21" s="55"/>
      <c r="G21" s="55"/>
      <c r="N21" s="1067" t="s">
        <v>1478</v>
      </c>
      <c r="O21" s="1067" t="s">
        <v>1479</v>
      </c>
      <c r="P21" s="1067" t="s">
        <v>2175</v>
      </c>
      <c r="Q21" s="1067" t="s">
        <v>2182</v>
      </c>
      <c r="R21" s="1067" t="s">
        <v>2321</v>
      </c>
      <c r="S21" s="1067" t="s">
        <v>2362</v>
      </c>
      <c r="T21" s="1067" t="s">
        <v>2186</v>
      </c>
      <c r="U21" s="1068" t="s">
        <v>137</v>
      </c>
    </row>
    <row r="22" spans="2:22" ht="27.6" x14ac:dyDescent="0.3">
      <c r="B22" s="21"/>
      <c r="C22" s="475" t="s">
        <v>1053</v>
      </c>
      <c r="D22" s="475" t="s">
        <v>1054</v>
      </c>
      <c r="E22" s="475" t="s">
        <v>1055</v>
      </c>
      <c r="F22" s="475" t="s">
        <v>1059</v>
      </c>
      <c r="G22" s="476" t="s">
        <v>1056</v>
      </c>
      <c r="H22" s="476" t="s">
        <v>2337</v>
      </c>
      <c r="I22" s="475" t="s">
        <v>1388</v>
      </c>
      <c r="J22" s="476" t="s">
        <v>2336</v>
      </c>
      <c r="K22" s="475" t="s">
        <v>1519</v>
      </c>
      <c r="L22" s="475" t="s">
        <v>2241</v>
      </c>
      <c r="N22" s="435">
        <v>21.76</v>
      </c>
      <c r="O22" s="435">
        <v>1.72</v>
      </c>
      <c r="P22" s="435">
        <v>12.97</v>
      </c>
      <c r="Q22" s="435">
        <v>0.03</v>
      </c>
      <c r="R22" s="435">
        <v>1.56</v>
      </c>
      <c r="S22" s="435">
        <v>2.2799999999999998</v>
      </c>
      <c r="T22" s="435">
        <v>0.32</v>
      </c>
      <c r="U22" s="1069">
        <f>SUM(N22:T22)</f>
        <v>40.640000000000008</v>
      </c>
      <c r="V22" t="s">
        <v>2365</v>
      </c>
    </row>
    <row r="23" spans="2:22" ht="28.2" customHeight="1" x14ac:dyDescent="0.3">
      <c r="B23" s="1082" t="str">
        <f>C22</f>
        <v>Woodland and forest</v>
      </c>
      <c r="C23" s="1077">
        <f>O4</f>
        <v>803.6</v>
      </c>
      <c r="D23" s="1079">
        <f>D24-C23</f>
        <v>-410.67696991439078</v>
      </c>
      <c r="E23" s="1079">
        <f>E25-C23</f>
        <v>328.19999999999993</v>
      </c>
      <c r="F23" s="1079">
        <f>F26-C23</f>
        <v>7.1000000000000227</v>
      </c>
      <c r="G23" s="1081">
        <f>$G$27-C23</f>
        <v>-253.20000000000005</v>
      </c>
      <c r="H23" s="1081">
        <f>H28-C23</f>
        <v>-713.5</v>
      </c>
      <c r="I23" s="1079">
        <f>$I$29-C23</f>
        <v>10805.5</v>
      </c>
      <c r="J23" s="1081">
        <f>$J$30-C23</f>
        <v>27.100000000000023</v>
      </c>
      <c r="K23" s="1079" t="s">
        <v>401</v>
      </c>
      <c r="L23" s="1079" t="s">
        <v>401</v>
      </c>
      <c r="N23" t="s">
        <v>2363</v>
      </c>
    </row>
    <row r="24" spans="2:22" ht="28.2" customHeight="1" x14ac:dyDescent="0.3">
      <c r="B24" s="1082" t="str">
        <f>D22</f>
        <v>Cropland</v>
      </c>
      <c r="C24" s="1079">
        <f>$C$23-D24</f>
        <v>410.67696991439078</v>
      </c>
      <c r="D24" s="1077">
        <f>O5</f>
        <v>392.92303008560924</v>
      </c>
      <c r="E24" s="1079">
        <f>E25-D24</f>
        <v>738.87696991439066</v>
      </c>
      <c r="F24" s="1079">
        <f>F26-D24</f>
        <v>417.7769699143908</v>
      </c>
      <c r="G24" s="1081">
        <f>$G$27-D24</f>
        <v>157.47696991439074</v>
      </c>
      <c r="H24" s="1081">
        <f>H28-D24</f>
        <v>-302.82303008560928</v>
      </c>
      <c r="I24" s="1079">
        <f>$I$29-D24</f>
        <v>11216.176969914392</v>
      </c>
      <c r="J24" s="1081">
        <f>$J$30-D24</f>
        <v>437.7769699143908</v>
      </c>
      <c r="K24" s="1079" t="s">
        <v>401</v>
      </c>
      <c r="L24" s="1079" t="s">
        <v>401</v>
      </c>
      <c r="U24">
        <v>13370</v>
      </c>
      <c r="V24" t="s">
        <v>2367</v>
      </c>
    </row>
    <row r="25" spans="2:22" ht="28.2" customHeight="1" x14ac:dyDescent="0.3">
      <c r="B25" s="1082" t="str">
        <f>E22</f>
        <v>Grassland</v>
      </c>
      <c r="C25" s="1079">
        <f>$C$23-E25</f>
        <v>-328.19999999999993</v>
      </c>
      <c r="D25" s="1079">
        <f>$D$24-E25</f>
        <v>-738.87696991439066</v>
      </c>
      <c r="E25" s="1077">
        <f>O6</f>
        <v>1131.8</v>
      </c>
      <c r="F25" s="1079">
        <f>F26-E25</f>
        <v>-321.09999999999991</v>
      </c>
      <c r="G25" s="1081">
        <f>$G$27-E25</f>
        <v>-581.4</v>
      </c>
      <c r="H25" s="1081">
        <f>H28-E25</f>
        <v>-1041.7</v>
      </c>
      <c r="I25" s="1079">
        <f>$I$29-E25</f>
        <v>10477.300000000001</v>
      </c>
      <c r="J25" s="1081">
        <f>$J$30-E25</f>
        <v>-301.09999999999991</v>
      </c>
      <c r="K25" s="1079" t="s">
        <v>401</v>
      </c>
      <c r="L25" s="1079" t="s">
        <v>401</v>
      </c>
      <c r="U25">
        <v>9144</v>
      </c>
      <c r="V25" t="s">
        <v>2368</v>
      </c>
    </row>
    <row r="26" spans="2:22" ht="28.2" customHeight="1" x14ac:dyDescent="0.3">
      <c r="B26" s="1082" t="str">
        <f>F22</f>
        <v>Heathland and shrub</v>
      </c>
      <c r="C26" s="1079">
        <f>$C$23-F26</f>
        <v>-7.1000000000000227</v>
      </c>
      <c r="D26" s="1079">
        <f>$D$24-F26</f>
        <v>-417.7769699143908</v>
      </c>
      <c r="E26" s="1079">
        <f>$E$25-F26</f>
        <v>321.09999999999991</v>
      </c>
      <c r="F26" s="1077">
        <f>O7</f>
        <v>810.7</v>
      </c>
      <c r="G26" s="1081">
        <f>$G$27-F26</f>
        <v>-260.30000000000007</v>
      </c>
      <c r="H26" s="1081">
        <f>H28-F26</f>
        <v>-720.6</v>
      </c>
      <c r="I26" s="1079">
        <f>$I$29-F26</f>
        <v>10798.4</v>
      </c>
      <c r="J26" s="1081">
        <f>$J$30-F26</f>
        <v>20</v>
      </c>
      <c r="K26" s="1079" t="s">
        <v>401</v>
      </c>
      <c r="L26" s="1079" t="s">
        <v>401</v>
      </c>
      <c r="U26">
        <v>29906</v>
      </c>
      <c r="V26" t="s">
        <v>2369</v>
      </c>
    </row>
    <row r="27" spans="2:22" ht="28.2" customHeight="1" x14ac:dyDescent="0.3">
      <c r="B27" s="1082" t="str">
        <f>G22</f>
        <v>Sparsely vegetated land</v>
      </c>
      <c r="C27" s="1079">
        <f>$C$23-G27</f>
        <v>253.20000000000005</v>
      </c>
      <c r="D27" s="1079">
        <f>$D$24-G27</f>
        <v>-157.47696991439074</v>
      </c>
      <c r="E27" s="1079">
        <f>$E$25-G27</f>
        <v>581.4</v>
      </c>
      <c r="F27" s="1079">
        <f>F26-G27</f>
        <v>260.30000000000007</v>
      </c>
      <c r="G27" s="1078">
        <f>O8</f>
        <v>550.4</v>
      </c>
      <c r="H27" s="1081">
        <f>H28-G27</f>
        <v>-460.29999999999995</v>
      </c>
      <c r="I27" s="1079">
        <f>$I$29-G27</f>
        <v>11058.7</v>
      </c>
      <c r="J27" s="1081">
        <f>$J$30-G27</f>
        <v>280.30000000000007</v>
      </c>
      <c r="K27" s="1079" t="s">
        <v>401</v>
      </c>
      <c r="L27" s="1079" t="s">
        <v>401</v>
      </c>
      <c r="N27" s="67"/>
      <c r="O27" s="67"/>
      <c r="P27" s="67"/>
      <c r="Q27" s="67"/>
      <c r="R27" s="67"/>
      <c r="S27" s="67"/>
      <c r="T27" s="67"/>
      <c r="U27" s="409"/>
    </row>
    <row r="28" spans="2:22" ht="28.2" customHeight="1" x14ac:dyDescent="0.3">
      <c r="B28" s="1082" t="str">
        <f>H22</f>
        <v>Urban (sealed soil)</v>
      </c>
      <c r="C28" s="1079">
        <f>$C$23-H28</f>
        <v>713.5</v>
      </c>
      <c r="D28" s="1079">
        <f>$D$24-H28</f>
        <v>302.82303008560928</v>
      </c>
      <c r="E28" s="1079">
        <f>$E$25-H28</f>
        <v>1041.7</v>
      </c>
      <c r="F28" s="1079">
        <f>F26-H28</f>
        <v>720.6</v>
      </c>
      <c r="G28" s="1081">
        <f>$G$27-H28</f>
        <v>460.29999999999995</v>
      </c>
      <c r="H28" s="1078">
        <f>O9</f>
        <v>90.1</v>
      </c>
      <c r="I28" s="1079">
        <f>$I$29-H28</f>
        <v>11519</v>
      </c>
      <c r="J28" s="1081">
        <f>$J$30-H28</f>
        <v>740.6</v>
      </c>
      <c r="K28" s="1079" t="s">
        <v>401</v>
      </c>
      <c r="L28" s="1079" t="s">
        <v>401</v>
      </c>
      <c r="N28" s="67"/>
      <c r="O28" s="67"/>
      <c r="P28" s="67"/>
      <c r="Q28" s="67"/>
      <c r="R28" s="67"/>
      <c r="S28" s="67"/>
      <c r="T28" s="67"/>
      <c r="U28" s="409"/>
    </row>
    <row r="29" spans="2:22" ht="28.2" customHeight="1" x14ac:dyDescent="0.3">
      <c r="B29" s="1082" t="str">
        <f>I22</f>
        <v>Wetlands</v>
      </c>
      <c r="C29" s="1079">
        <f>$C$23-I29</f>
        <v>-10805.5</v>
      </c>
      <c r="D29" s="1079">
        <f>$D$24-I29</f>
        <v>-11216.176969914392</v>
      </c>
      <c r="E29" s="1079">
        <f>$E$25-I29</f>
        <v>-10477.300000000001</v>
      </c>
      <c r="F29" s="1079">
        <f>F26-I29</f>
        <v>-10798.4</v>
      </c>
      <c r="G29" s="1081">
        <f>$G$27-I29</f>
        <v>-11058.7</v>
      </c>
      <c r="H29" s="1081">
        <f>H28-I29</f>
        <v>-11519</v>
      </c>
      <c r="I29" s="1077">
        <f>O10</f>
        <v>11609.1</v>
      </c>
      <c r="J29" s="1081">
        <f>$J$30-I29</f>
        <v>-10778.4</v>
      </c>
      <c r="K29" s="1079" t="s">
        <v>401</v>
      </c>
      <c r="L29" s="1079" t="s">
        <v>401</v>
      </c>
      <c r="N29" s="67"/>
      <c r="O29" s="67"/>
      <c r="P29" s="67"/>
      <c r="Q29" s="67"/>
      <c r="R29" s="67"/>
      <c r="S29" s="67"/>
      <c r="T29" s="67"/>
      <c r="U29" s="409"/>
    </row>
    <row r="30" spans="2:22" ht="28.2" customHeight="1" x14ac:dyDescent="0.3">
      <c r="B30" s="1082" t="str">
        <f>J22</f>
        <v>River and lakes</v>
      </c>
      <c r="C30" s="1079">
        <f>$C$23-J30</f>
        <v>-27.100000000000023</v>
      </c>
      <c r="D30" s="1079">
        <f>$D$24-J30</f>
        <v>-437.7769699143908</v>
      </c>
      <c r="E30" s="1079">
        <f>$E$25-J30</f>
        <v>301.09999999999991</v>
      </c>
      <c r="F30" s="1079">
        <f>F26-J30</f>
        <v>-20</v>
      </c>
      <c r="G30" s="1081">
        <f>$G$27-J30</f>
        <v>-280.30000000000007</v>
      </c>
      <c r="H30" s="1081">
        <f>H28-J30</f>
        <v>-740.6</v>
      </c>
      <c r="I30" s="1079">
        <f>$I$29-J30</f>
        <v>10778.4</v>
      </c>
      <c r="J30" s="1078">
        <f>O11</f>
        <v>830.7</v>
      </c>
      <c r="K30" s="1079" t="s">
        <v>401</v>
      </c>
      <c r="L30" s="1079" t="s">
        <v>401</v>
      </c>
      <c r="N30" s="67"/>
      <c r="O30" s="67"/>
      <c r="P30" s="67"/>
      <c r="Q30" s="67"/>
      <c r="R30" s="67"/>
      <c r="S30" s="67"/>
      <c r="T30" s="67"/>
      <c r="U30" s="409"/>
    </row>
    <row r="31" spans="2:22" ht="28.2" customHeight="1" x14ac:dyDescent="0.3">
      <c r="B31" s="1082" t="str">
        <f>K22</f>
        <v>Marine inlets and transitional waters</v>
      </c>
      <c r="C31" s="1079" t="s">
        <v>401</v>
      </c>
      <c r="D31" s="1079" t="s">
        <v>401</v>
      </c>
      <c r="E31" s="1079" t="s">
        <v>401</v>
      </c>
      <c r="F31" s="1079" t="s">
        <v>401</v>
      </c>
      <c r="G31" s="1079" t="s">
        <v>401</v>
      </c>
      <c r="H31" s="1079" t="s">
        <v>401</v>
      </c>
      <c r="I31" s="1079" t="s">
        <v>401</v>
      </c>
      <c r="J31" s="1079" t="s">
        <v>401</v>
      </c>
      <c r="K31" s="1077" t="str">
        <f>O12</f>
        <v>n.q.</v>
      </c>
      <c r="L31" s="1079" t="s">
        <v>401</v>
      </c>
      <c r="N31" s="67"/>
      <c r="O31" s="67"/>
      <c r="P31" s="67"/>
      <c r="Q31" s="67"/>
      <c r="R31" s="67"/>
      <c r="S31" s="67"/>
      <c r="T31" s="67"/>
      <c r="U31" s="409"/>
    </row>
    <row r="32" spans="2:22" ht="28.2" customHeight="1" x14ac:dyDescent="0.3">
      <c r="B32" s="1082" t="str">
        <f>L22</f>
        <v>Marine</v>
      </c>
      <c r="C32" s="1079" t="s">
        <v>401</v>
      </c>
      <c r="D32" s="1079" t="s">
        <v>401</v>
      </c>
      <c r="E32" s="1079" t="s">
        <v>401</v>
      </c>
      <c r="F32" s="1079" t="s">
        <v>401</v>
      </c>
      <c r="G32" s="1079" t="s">
        <v>401</v>
      </c>
      <c r="H32" s="1079" t="s">
        <v>401</v>
      </c>
      <c r="I32" s="1079" t="s">
        <v>401</v>
      </c>
      <c r="J32" s="1079" t="s">
        <v>401</v>
      </c>
      <c r="K32" s="1079" t="s">
        <v>401</v>
      </c>
      <c r="L32" s="1077" t="str">
        <f>O13</f>
        <v>n.q.</v>
      </c>
      <c r="N32" s="67"/>
      <c r="O32" s="67"/>
      <c r="P32" s="67"/>
      <c r="Q32" s="67"/>
      <c r="R32" s="67"/>
      <c r="S32" s="67"/>
      <c r="T32" s="67"/>
      <c r="U32" s="409"/>
    </row>
    <row r="33" spans="2:21" x14ac:dyDescent="0.3">
      <c r="C33" s="1074"/>
      <c r="D33" s="1074"/>
      <c r="E33" s="1074"/>
      <c r="F33" s="1074"/>
      <c r="G33" s="1075"/>
      <c r="H33" s="1075"/>
      <c r="I33" s="1074"/>
      <c r="J33" s="1075"/>
      <c r="K33" s="1074"/>
      <c r="L33" s="1074"/>
      <c r="N33" s="67"/>
      <c r="O33" s="67"/>
      <c r="P33" s="67"/>
      <c r="Q33" s="67"/>
      <c r="R33" s="67"/>
      <c r="S33" s="67"/>
      <c r="T33" s="67"/>
      <c r="U33" s="409"/>
    </row>
    <row r="37" spans="2:21" ht="15.6" x14ac:dyDescent="0.3">
      <c r="B37" s="1073" t="s">
        <v>2377</v>
      </c>
    </row>
    <row r="38" spans="2:21" ht="15.6" x14ac:dyDescent="0.3">
      <c r="B38" s="253" t="s">
        <v>1996</v>
      </c>
      <c r="C38" s="91"/>
      <c r="D38" s="91"/>
      <c r="E38" s="91"/>
      <c r="F38" s="91"/>
      <c r="G38" s="91"/>
      <c r="H38" s="91"/>
    </row>
    <row r="39" spans="2:21" ht="70.5" customHeight="1" x14ac:dyDescent="0.3">
      <c r="B39" s="494" t="s">
        <v>174</v>
      </c>
      <c r="C39" s="499" t="s">
        <v>129</v>
      </c>
      <c r="D39" s="499" t="s">
        <v>1168</v>
      </c>
      <c r="E39" s="499" t="s">
        <v>1140</v>
      </c>
      <c r="F39" s="499" t="s">
        <v>1141</v>
      </c>
      <c r="G39" s="499" t="s">
        <v>1142</v>
      </c>
      <c r="H39" s="500" t="s">
        <v>133</v>
      </c>
      <c r="I39" s="500" t="s">
        <v>134</v>
      </c>
      <c r="J39" s="500" t="s">
        <v>1165</v>
      </c>
      <c r="K39" s="500" t="s">
        <v>1166</v>
      </c>
      <c r="L39" s="383"/>
      <c r="M39" s="383"/>
      <c r="N39" s="383"/>
      <c r="O39" s="383"/>
    </row>
    <row r="40" spans="2:21" ht="15.6" x14ac:dyDescent="0.3">
      <c r="B40" s="495" t="s">
        <v>1167</v>
      </c>
      <c r="C40" s="166">
        <f>J10</f>
        <v>820.66301158432475</v>
      </c>
      <c r="D40" s="78">
        <f>D41-C40</f>
        <v>-422.07568776481014</v>
      </c>
      <c r="E40" s="78">
        <f>E42-C40</f>
        <v>335.16874116721669</v>
      </c>
      <c r="F40" s="78">
        <f>F43-C40</f>
        <v>7.2507558265912166</v>
      </c>
      <c r="G40" s="78">
        <f>G44-C40</f>
        <v>0</v>
      </c>
      <c r="H40" s="78">
        <f>H45-C40</f>
        <v>11034.935504821329</v>
      </c>
      <c r="I40" s="78">
        <f>I46-C40</f>
        <v>27.675420126848167</v>
      </c>
      <c r="J40" s="507">
        <f>J47-C40</f>
        <v>-358.67983029428302</v>
      </c>
      <c r="K40" s="507">
        <f>K48-C40</f>
        <v>-728.64989891166715</v>
      </c>
    </row>
    <row r="41" spans="2:21" ht="15.6" x14ac:dyDescent="0.3">
      <c r="B41" s="495" t="s">
        <v>1168</v>
      </c>
      <c r="C41" s="78">
        <f>C40-D41</f>
        <v>422.07568776481014</v>
      </c>
      <c r="D41" s="575">
        <f>J12</f>
        <v>398.58732381951461</v>
      </c>
      <c r="E41" s="78">
        <f>E42-D41</f>
        <v>757.24442893202684</v>
      </c>
      <c r="F41" s="504">
        <f>F42-D41</f>
        <v>-726.50530916014009</v>
      </c>
      <c r="G41" s="78">
        <f>G44-D41</f>
        <v>422.07568776481014</v>
      </c>
      <c r="H41" s="78">
        <f>H45-D41</f>
        <v>11457.01119258614</v>
      </c>
      <c r="I41" s="78">
        <f>I46-D41</f>
        <v>449.75110789165831</v>
      </c>
      <c r="J41" s="508">
        <f>J47-D41</f>
        <v>63.395857470527119</v>
      </c>
      <c r="K41" s="507">
        <f>K48-D41</f>
        <v>-306.57421114685701</v>
      </c>
    </row>
    <row r="42" spans="2:21" ht="15.6" x14ac:dyDescent="0.3">
      <c r="B42" s="496" t="s">
        <v>1140</v>
      </c>
      <c r="C42" s="78">
        <f>C40-E42</f>
        <v>-335.16874116721669</v>
      </c>
      <c r="D42" s="78">
        <f>D41-E42</f>
        <v>-757.24442893202684</v>
      </c>
      <c r="E42" s="166">
        <f>J7</f>
        <v>1155.8317527515414</v>
      </c>
      <c r="F42" s="78">
        <f>F43-E42</f>
        <v>-327.91798534062548</v>
      </c>
      <c r="G42" s="78">
        <f>G44-E42</f>
        <v>-335.16874116721669</v>
      </c>
      <c r="H42" s="78">
        <f>H45-E42</f>
        <v>10699.766763654114</v>
      </c>
      <c r="I42" s="78">
        <f>I46-E42</f>
        <v>-307.49332104036853</v>
      </c>
      <c r="J42" s="507">
        <f>J47-E42</f>
        <v>-693.84857146149966</v>
      </c>
      <c r="K42" s="507">
        <f>K48-E42</f>
        <v>-1063.8186400788838</v>
      </c>
    </row>
    <row r="43" spans="2:21" ht="15.6" x14ac:dyDescent="0.3">
      <c r="B43" s="496" t="s">
        <v>1141</v>
      </c>
      <c r="C43" s="78">
        <f>C40-F43</f>
        <v>-7.2507558265912166</v>
      </c>
      <c r="D43" s="78">
        <f>D41-F43</f>
        <v>-429.32644359140136</v>
      </c>
      <c r="E43" s="78">
        <f>E42-F43</f>
        <v>327.91798534062548</v>
      </c>
      <c r="F43" s="166">
        <f>J8</f>
        <v>827.91376741091597</v>
      </c>
      <c r="G43" s="78">
        <f>G44-F43</f>
        <v>-7.2507558265912166</v>
      </c>
      <c r="H43" s="78">
        <f>H45-F43</f>
        <v>11027.684748994739</v>
      </c>
      <c r="I43" s="78">
        <f>I46-F43</f>
        <v>20.42466430025695</v>
      </c>
      <c r="J43" s="507">
        <f>J47-F43</f>
        <v>-365.93058612087424</v>
      </c>
      <c r="K43" s="507">
        <f>K48-F43</f>
        <v>-735.90065473825837</v>
      </c>
    </row>
    <row r="44" spans="2:21" ht="15.6" x14ac:dyDescent="0.3">
      <c r="B44" s="496" t="s">
        <v>1142</v>
      </c>
      <c r="C44" s="78">
        <f>C40-G44</f>
        <v>0</v>
      </c>
      <c r="D44" s="78">
        <f>D41-G44</f>
        <v>-422.07568776481014</v>
      </c>
      <c r="E44" s="78">
        <f>E42-G44</f>
        <v>335.16874116721669</v>
      </c>
      <c r="F44" s="78">
        <f>F43-G44</f>
        <v>7.2507558265912166</v>
      </c>
      <c r="G44" s="166">
        <f>J9</f>
        <v>820.66301158432475</v>
      </c>
      <c r="H44" s="78">
        <f>H45-G44</f>
        <v>11034.935504821329</v>
      </c>
      <c r="I44" s="78">
        <f>I46-G44</f>
        <v>27.675420126848167</v>
      </c>
      <c r="J44" s="507">
        <f>J47-G44</f>
        <v>-358.67983029428302</v>
      </c>
      <c r="K44" s="507">
        <f>K48-G44</f>
        <v>-728.64989891166715</v>
      </c>
    </row>
    <row r="45" spans="2:21" ht="15.6" x14ac:dyDescent="0.3">
      <c r="B45" s="497" t="s">
        <v>133</v>
      </c>
      <c r="C45" s="78">
        <f>C40-H45</f>
        <v>-11034.935504821329</v>
      </c>
      <c r="D45" s="78">
        <f>D41-H45</f>
        <v>-11457.01119258614</v>
      </c>
      <c r="E45" s="78">
        <f>E42-H45</f>
        <v>-10699.766763654114</v>
      </c>
      <c r="F45" s="78">
        <f>F43-H45</f>
        <v>-11027.684748994739</v>
      </c>
      <c r="G45" s="78">
        <f>G44-H45</f>
        <v>-11034.935504821329</v>
      </c>
      <c r="H45" s="166">
        <f>J6</f>
        <v>11855.598516405655</v>
      </c>
      <c r="I45" s="78">
        <f>I46-H45</f>
        <v>-11007.260084694482</v>
      </c>
      <c r="J45" s="507">
        <f>J47-H45</f>
        <v>-11393.615335115614</v>
      </c>
      <c r="K45" s="507">
        <f>K48-H45</f>
        <v>-11763.585403732997</v>
      </c>
    </row>
    <row r="46" spans="2:21" ht="15.6" x14ac:dyDescent="0.3">
      <c r="B46" s="497" t="s">
        <v>134</v>
      </c>
      <c r="C46" s="78">
        <f>C40-I46</f>
        <v>-27.675420126848167</v>
      </c>
      <c r="D46" s="78">
        <f>D41-I46</f>
        <v>-449.75110789165831</v>
      </c>
      <c r="E46" s="78">
        <f>E42-I46</f>
        <v>307.49332104036853</v>
      </c>
      <c r="F46" s="78">
        <f>F43-I46</f>
        <v>-20.42466430025695</v>
      </c>
      <c r="G46" s="78">
        <f>G44-I46</f>
        <v>-27.675420126848167</v>
      </c>
      <c r="H46" s="78">
        <f>H45-I46</f>
        <v>11007.260084694482</v>
      </c>
      <c r="I46" s="166">
        <f>J5</f>
        <v>848.33843171117292</v>
      </c>
      <c r="J46" s="507">
        <f>J47-I46</f>
        <v>-386.35525042113119</v>
      </c>
      <c r="K46" s="507">
        <f>K48</f>
        <v>92.013112672657599</v>
      </c>
    </row>
    <row r="47" spans="2:21" ht="15.6" x14ac:dyDescent="0.3">
      <c r="B47" s="498" t="s">
        <v>1165</v>
      </c>
      <c r="C47" s="78">
        <f>C40-J47</f>
        <v>358.67983029428302</v>
      </c>
      <c r="D47" s="504">
        <f>D41-J47</f>
        <v>-63.395857470527119</v>
      </c>
      <c r="E47" s="78">
        <f>E42-J47</f>
        <v>693.84857146149966</v>
      </c>
      <c r="F47" s="78">
        <f>F43-J47</f>
        <v>365.93058612087424</v>
      </c>
      <c r="G47" s="78">
        <f>G44-J47</f>
        <v>358.67983029428302</v>
      </c>
      <c r="H47" s="78">
        <f>H45-J47</f>
        <v>11393.615335115614</v>
      </c>
      <c r="I47" s="78">
        <f>I46-J47</f>
        <v>386.35525042113119</v>
      </c>
      <c r="J47" s="576">
        <f>J11</f>
        <v>461.98318129004173</v>
      </c>
      <c r="K47" s="510">
        <f>K48-J47</f>
        <v>-369.97006861738413</v>
      </c>
    </row>
    <row r="48" spans="2:21" ht="15.6" x14ac:dyDescent="0.3">
      <c r="B48" s="498" t="s">
        <v>1166</v>
      </c>
      <c r="C48" s="78">
        <f>C40-K48</f>
        <v>728.64989891166715</v>
      </c>
      <c r="D48" s="78">
        <f>D41-K48</f>
        <v>306.57421114685701</v>
      </c>
      <c r="E48" s="78">
        <f>E42-K48</f>
        <v>1063.8186400788838</v>
      </c>
      <c r="F48" s="78">
        <f>F43-K48</f>
        <v>735.90065473825837</v>
      </c>
      <c r="G48" s="78">
        <f>G44-K48</f>
        <v>728.64989891166715</v>
      </c>
      <c r="H48" s="78">
        <f>H45-K48</f>
        <v>11763.585403732997</v>
      </c>
      <c r="I48" s="78">
        <f>I46-K48</f>
        <v>756.32531903851532</v>
      </c>
      <c r="J48" s="510">
        <f>J47-K48</f>
        <v>369.97006861738413</v>
      </c>
      <c r="K48" s="577">
        <f>J14</f>
        <v>92.013112672657599</v>
      </c>
    </row>
    <row r="50" spans="2:6" x14ac:dyDescent="0.3">
      <c r="B50" s="19" t="s">
        <v>1605</v>
      </c>
    </row>
    <row r="51" spans="2:6" x14ac:dyDescent="0.3">
      <c r="C51" s="19" t="s">
        <v>1474</v>
      </c>
    </row>
    <row r="52" spans="2:6" ht="86.4" x14ac:dyDescent="0.3">
      <c r="C52" s="573" t="str">
        <f>'Agricoltura intensiva'!C35</f>
        <v>Regioni con agricoltura ad alta intensità di input</v>
      </c>
      <c r="D52" s="573" t="str">
        <f>'Agricoltura intensiva'!D35</f>
        <v>Regioni con agricoltura a bassa intensità di input</v>
      </c>
      <c r="E52" s="573" t="str">
        <f>'Agricoltura intensiva'!E35</f>
        <v>Regioni con intensità media o compresenza di agricoltura intensiva ed estensiva</v>
      </c>
      <c r="F52" s="582"/>
    </row>
    <row r="53" spans="2:6" ht="43.2" x14ac:dyDescent="0.3">
      <c r="C53" s="649" t="s">
        <v>2078</v>
      </c>
      <c r="D53" s="649" t="s">
        <v>2079</v>
      </c>
      <c r="E53" s="649" t="s">
        <v>1601</v>
      </c>
      <c r="F53" s="582"/>
    </row>
    <row r="54" spans="2:6" ht="79.2" customHeight="1" x14ac:dyDescent="0.3">
      <c r="C54" s="616" t="str">
        <f>'Agricoltura intensiva'!C39</f>
        <v>Emilia-Romagna, 
Lombardia, 
Veneto, Piemonte</v>
      </c>
      <c r="D54" s="616" t="str">
        <f>'Agricoltura intensiva'!D39</f>
        <v>Basilicata,
Abruzzo, 
Lazio, 
Toscana</v>
      </c>
      <c r="E54" s="616" t="str">
        <f>'Agricoltura intensiva'!E39</f>
        <v xml:space="preserve">Marche, 
Molise, 
Puglia,
Calabria, 
Italia </v>
      </c>
      <c r="F54" s="582"/>
    </row>
    <row r="55" spans="2:6" x14ac:dyDescent="0.3">
      <c r="B55" s="650" t="s">
        <v>1604</v>
      </c>
      <c r="C55" s="78">
        <f>E12</f>
        <v>265.72488254634305</v>
      </c>
      <c r="D55" s="78">
        <f>E13</f>
        <v>531.44976509268611</v>
      </c>
      <c r="E55" s="78">
        <f>J12</f>
        <v>398.58732381951461</v>
      </c>
    </row>
    <row r="56" spans="2:6" x14ac:dyDescent="0.3">
      <c r="B56" s="650"/>
      <c r="C56" s="21"/>
      <c r="D56" s="21"/>
      <c r="E56" s="21"/>
    </row>
    <row r="65" spans="2:4" x14ac:dyDescent="0.3">
      <c r="B65" s="19" t="s">
        <v>251</v>
      </c>
    </row>
    <row r="66" spans="2:4" x14ac:dyDescent="0.3">
      <c r="B66" t="s">
        <v>249</v>
      </c>
    </row>
    <row r="67" spans="2:4" x14ac:dyDescent="0.3">
      <c r="B67" s="19" t="s">
        <v>236</v>
      </c>
    </row>
    <row r="68" spans="2:4" x14ac:dyDescent="0.3">
      <c r="B68" s="19" t="s">
        <v>250</v>
      </c>
      <c r="C68" t="s">
        <v>247</v>
      </c>
      <c r="D68" t="s">
        <v>248</v>
      </c>
    </row>
    <row r="69" spans="2:4" x14ac:dyDescent="0.3">
      <c r="B69" t="s">
        <v>237</v>
      </c>
      <c r="C69">
        <v>0</v>
      </c>
      <c r="D69" s="53">
        <f>C69*100000</f>
        <v>0</v>
      </c>
    </row>
    <row r="70" spans="2:4" x14ac:dyDescent="0.3">
      <c r="B70" t="s">
        <v>238</v>
      </c>
      <c r="C70">
        <v>0</v>
      </c>
      <c r="D70" s="53">
        <f t="shared" ref="D70:D78" si="2">C70*100000</f>
        <v>0</v>
      </c>
    </row>
    <row r="71" spans="2:4" x14ac:dyDescent="0.3">
      <c r="B71" t="s">
        <v>239</v>
      </c>
      <c r="C71">
        <v>0.2</v>
      </c>
      <c r="D71" s="53">
        <f t="shared" si="2"/>
        <v>20000</v>
      </c>
    </row>
    <row r="72" spans="2:4" x14ac:dyDescent="0.3">
      <c r="B72" t="s">
        <v>240</v>
      </c>
      <c r="C72">
        <v>0.5</v>
      </c>
      <c r="D72" s="53">
        <f t="shared" si="2"/>
        <v>50000</v>
      </c>
    </row>
    <row r="73" spans="2:4" x14ac:dyDescent="0.3">
      <c r="B73" t="s">
        <v>241</v>
      </c>
      <c r="C73">
        <v>4.8</v>
      </c>
      <c r="D73" s="53">
        <f t="shared" si="2"/>
        <v>480000</v>
      </c>
    </row>
    <row r="74" spans="2:4" x14ac:dyDescent="0.3">
      <c r="B74" t="s">
        <v>242</v>
      </c>
      <c r="C74">
        <v>0.4</v>
      </c>
      <c r="D74" s="53">
        <f t="shared" si="2"/>
        <v>40000</v>
      </c>
    </row>
    <row r="75" spans="2:4" x14ac:dyDescent="0.3">
      <c r="B75" t="s">
        <v>243</v>
      </c>
      <c r="C75">
        <v>0.9</v>
      </c>
      <c r="D75" s="53">
        <f t="shared" si="2"/>
        <v>90000</v>
      </c>
    </row>
    <row r="76" spans="2:4" x14ac:dyDescent="0.3">
      <c r="B76" t="s">
        <v>244</v>
      </c>
      <c r="C76">
        <v>2.2999999999999998</v>
      </c>
      <c r="D76" s="53">
        <f t="shared" si="2"/>
        <v>229999.99999999997</v>
      </c>
    </row>
    <row r="77" spans="2:4" x14ac:dyDescent="0.3">
      <c r="B77" t="s">
        <v>245</v>
      </c>
      <c r="C77">
        <v>3.2</v>
      </c>
      <c r="D77" s="53">
        <f t="shared" si="2"/>
        <v>320000</v>
      </c>
    </row>
    <row r="78" spans="2:4" x14ac:dyDescent="0.3">
      <c r="B78" t="s">
        <v>246</v>
      </c>
      <c r="C78">
        <v>10.9</v>
      </c>
      <c r="D78" s="53">
        <f t="shared" si="2"/>
        <v>1090000</v>
      </c>
    </row>
  </sheetData>
  <mergeCells count="1">
    <mergeCell ref="M2:O2"/>
  </mergeCells>
  <phoneticPr fontId="10" type="noConversion"/>
  <pageMargins left="0.7" right="0.7" top="0.75" bottom="0.75" header="0.3" footer="0.3"/>
  <pageSetup paperSize="9" orientation="portrait" r:id="rId1"/>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037D-E25F-4644-A4B4-70AE4647D014}">
  <dimension ref="A1:L39"/>
  <sheetViews>
    <sheetView topLeftCell="A7" zoomScaleNormal="100" workbookViewId="0">
      <selection activeCell="L26" sqref="L26"/>
    </sheetView>
  </sheetViews>
  <sheetFormatPr defaultColWidth="8.88671875" defaultRowHeight="13.8" x14ac:dyDescent="0.25"/>
  <cols>
    <col min="1" max="1" width="27.109375" style="619" customWidth="1"/>
    <col min="2" max="4" width="17.33203125" style="619" customWidth="1"/>
    <col min="5" max="5" width="17.44140625" style="619" customWidth="1"/>
    <col min="6" max="10" width="8.88671875" style="619"/>
    <col min="11" max="11" width="12.44140625" style="619" customWidth="1"/>
    <col min="12" max="16384" width="8.88671875" style="619"/>
  </cols>
  <sheetData>
    <row r="1" spans="1:12" x14ac:dyDescent="0.25">
      <c r="A1" s="648" t="s">
        <v>1613</v>
      </c>
    </row>
    <row r="2" spans="1:12" ht="14.4" x14ac:dyDescent="0.3">
      <c r="A2" s="651" t="s">
        <v>1609</v>
      </c>
      <c r="D2" s="651" t="s">
        <v>2361</v>
      </c>
      <c r="F2"/>
    </row>
    <row r="3" spans="1:12" x14ac:dyDescent="0.25">
      <c r="A3" s="624" t="s">
        <v>1598</v>
      </c>
      <c r="B3" s="647">
        <v>44398.545648148152</v>
      </c>
      <c r="D3" s="619" t="s">
        <v>2370</v>
      </c>
    </row>
    <row r="4" spans="1:12" x14ac:dyDescent="0.25">
      <c r="A4" s="624" t="s">
        <v>1597</v>
      </c>
      <c r="B4" s="647">
        <v>44456.651530069445</v>
      </c>
    </row>
    <row r="5" spans="1:12" x14ac:dyDescent="0.25">
      <c r="A5" s="624" t="s">
        <v>1596</v>
      </c>
      <c r="B5" s="624" t="s">
        <v>1595</v>
      </c>
    </row>
    <row r="6" spans="1:12" x14ac:dyDescent="0.25">
      <c r="A6" s="619" t="s">
        <v>1594</v>
      </c>
    </row>
    <row r="7" spans="1:12" x14ac:dyDescent="0.25">
      <c r="A7" s="624" t="s">
        <v>1593</v>
      </c>
      <c r="B7" s="624" t="s">
        <v>1592</v>
      </c>
    </row>
    <row r="8" spans="1:12" x14ac:dyDescent="0.25">
      <c r="A8" s="624" t="s">
        <v>1591</v>
      </c>
      <c r="B8" s="624" t="s">
        <v>1590</v>
      </c>
    </row>
    <row r="9" spans="1:12" ht="39.6" x14ac:dyDescent="0.25">
      <c r="A9" s="646" t="s">
        <v>1589</v>
      </c>
      <c r="B9" s="645" t="s">
        <v>1588</v>
      </c>
      <c r="C9" s="645" t="s">
        <v>1587</v>
      </c>
      <c r="D9" s="645" t="s">
        <v>1586</v>
      </c>
      <c r="E9" s="644" t="s">
        <v>154</v>
      </c>
      <c r="F9" s="643" t="s">
        <v>1588</v>
      </c>
      <c r="G9" s="643" t="s">
        <v>1587</v>
      </c>
      <c r="H9" s="643" t="s">
        <v>1586</v>
      </c>
      <c r="I9" s="642" t="s">
        <v>154</v>
      </c>
    </row>
    <row r="10" spans="1:12" ht="14.4" x14ac:dyDescent="0.3">
      <c r="A10" s="629" t="s">
        <v>1585</v>
      </c>
      <c r="B10" s="628">
        <v>4004082</v>
      </c>
      <c r="C10" s="628">
        <v>4168862</v>
      </c>
      <c r="D10" s="628">
        <v>3664726</v>
      </c>
      <c r="E10" s="627">
        <f t="shared" ref="E10:E31" si="0">SUM(B10:D10)</f>
        <v>11837670</v>
      </c>
      <c r="F10" s="641">
        <f t="shared" ref="F10:F31" si="1">B10/$E10</f>
        <v>0.33824916558748469</v>
      </c>
      <c r="G10" s="641">
        <f t="shared" ref="G10:G31" si="2">C10/$E10</f>
        <v>0.35216913463544769</v>
      </c>
      <c r="H10" s="626">
        <f t="shared" ref="H10:H31" si="3">D10/$E10</f>
        <v>0.30958169977706762</v>
      </c>
      <c r="I10" s="641">
        <f t="shared" ref="I10:I31" si="4">E10/$E10</f>
        <v>1</v>
      </c>
    </row>
    <row r="11" spans="1:12" ht="14.4" x14ac:dyDescent="0.3">
      <c r="A11" s="638" t="s">
        <v>1584</v>
      </c>
      <c r="B11" s="637">
        <v>529169</v>
      </c>
      <c r="C11" s="637">
        <v>194367</v>
      </c>
      <c r="D11" s="637">
        <v>216585</v>
      </c>
      <c r="E11" s="636">
        <f t="shared" si="0"/>
        <v>940121</v>
      </c>
      <c r="F11" s="635">
        <f t="shared" si="1"/>
        <v>0.56287328971483463</v>
      </c>
      <c r="G11" s="625">
        <f t="shared" si="2"/>
        <v>0.2067467911045493</v>
      </c>
      <c r="H11" s="625">
        <f t="shared" si="3"/>
        <v>0.23037991918061612</v>
      </c>
      <c r="I11" s="625">
        <f t="shared" si="4"/>
        <v>1</v>
      </c>
      <c r="J11" s="619" t="s">
        <v>1583</v>
      </c>
    </row>
    <row r="12" spans="1:12" ht="14.4" x14ac:dyDescent="0.3">
      <c r="A12" s="634" t="s">
        <v>1582</v>
      </c>
      <c r="B12" s="633">
        <v>8884</v>
      </c>
      <c r="C12" s="633">
        <v>22998</v>
      </c>
      <c r="D12" s="633">
        <v>24034</v>
      </c>
      <c r="E12" s="632">
        <f t="shared" si="0"/>
        <v>55916</v>
      </c>
      <c r="F12" s="625">
        <f t="shared" si="1"/>
        <v>0.15888117891122397</v>
      </c>
      <c r="G12" s="631">
        <f t="shared" si="2"/>
        <v>0.41129551470062237</v>
      </c>
      <c r="H12" s="625">
        <f t="shared" si="3"/>
        <v>0.42982330638815364</v>
      </c>
      <c r="I12" s="625">
        <f t="shared" si="4"/>
        <v>1</v>
      </c>
    </row>
    <row r="13" spans="1:12" ht="14.4" x14ac:dyDescent="0.3">
      <c r="A13" s="638" t="s">
        <v>1581</v>
      </c>
      <c r="B13" s="637">
        <v>12935</v>
      </c>
      <c r="C13" s="637">
        <v>11765</v>
      </c>
      <c r="D13" s="637">
        <v>5797</v>
      </c>
      <c r="E13" s="636">
        <f t="shared" si="0"/>
        <v>30497</v>
      </c>
      <c r="F13" s="635">
        <f t="shared" si="1"/>
        <v>0.42414007935206743</v>
      </c>
      <c r="G13" s="625">
        <f t="shared" si="2"/>
        <v>0.38577565006394071</v>
      </c>
      <c r="H13" s="625">
        <f t="shared" si="3"/>
        <v>0.19008427058399185</v>
      </c>
      <c r="I13" s="625">
        <f t="shared" si="4"/>
        <v>1</v>
      </c>
      <c r="J13" s="619" t="s">
        <v>1580</v>
      </c>
    </row>
    <row r="14" spans="1:12" ht="14.4" x14ac:dyDescent="0.3">
      <c r="A14" s="638" t="s">
        <v>1460</v>
      </c>
      <c r="B14" s="637">
        <v>531503</v>
      </c>
      <c r="C14" s="637">
        <v>84850</v>
      </c>
      <c r="D14" s="637">
        <v>264399</v>
      </c>
      <c r="E14" s="636">
        <f t="shared" si="0"/>
        <v>880752</v>
      </c>
      <c r="F14" s="635">
        <f t="shared" si="1"/>
        <v>0.6034649935509655</v>
      </c>
      <c r="G14" s="625">
        <f t="shared" si="2"/>
        <v>9.6338129235017347E-2</v>
      </c>
      <c r="H14" s="625">
        <f t="shared" si="3"/>
        <v>0.30019687721401711</v>
      </c>
      <c r="I14" s="625">
        <f t="shared" si="4"/>
        <v>1</v>
      </c>
    </row>
    <row r="15" spans="1:12" ht="14.4" x14ac:dyDescent="0.3">
      <c r="A15" s="638" t="s">
        <v>1579</v>
      </c>
      <c r="B15" s="637">
        <v>89414</v>
      </c>
      <c r="C15" s="637">
        <v>21693</v>
      </c>
      <c r="D15" s="637">
        <v>15198</v>
      </c>
      <c r="E15" s="636">
        <f t="shared" si="0"/>
        <v>126305</v>
      </c>
      <c r="F15" s="635">
        <f t="shared" si="1"/>
        <v>0.70792130161117928</v>
      </c>
      <c r="G15" s="625">
        <f t="shared" si="2"/>
        <v>0.17175092039111675</v>
      </c>
      <c r="H15" s="625">
        <f t="shared" si="3"/>
        <v>0.12032777799770397</v>
      </c>
      <c r="I15" s="625">
        <f t="shared" si="4"/>
        <v>1</v>
      </c>
      <c r="J15" s="640"/>
      <c r="K15" s="619" t="s">
        <v>1578</v>
      </c>
      <c r="L15" s="619" t="s">
        <v>1577</v>
      </c>
    </row>
    <row r="16" spans="1:12" ht="14.4" x14ac:dyDescent="0.3">
      <c r="A16" s="638" t="s">
        <v>1576</v>
      </c>
      <c r="B16" s="637">
        <v>40072</v>
      </c>
      <c r="C16" s="637">
        <v>1486</v>
      </c>
      <c r="D16" s="637">
        <v>6618</v>
      </c>
      <c r="E16" s="636">
        <f t="shared" si="0"/>
        <v>48176</v>
      </c>
      <c r="F16" s="635">
        <f t="shared" si="1"/>
        <v>0.8317834606443042</v>
      </c>
      <c r="G16" s="625">
        <f t="shared" si="2"/>
        <v>3.0845234141481236E-2</v>
      </c>
      <c r="H16" s="625">
        <f t="shared" si="3"/>
        <v>0.13737130521421453</v>
      </c>
      <c r="I16" s="625">
        <f t="shared" si="4"/>
        <v>1</v>
      </c>
      <c r="J16" s="630"/>
      <c r="K16" s="619" t="s">
        <v>1575</v>
      </c>
      <c r="L16" s="619" t="s">
        <v>1574</v>
      </c>
    </row>
    <row r="17" spans="1:12" ht="14.4" x14ac:dyDescent="0.3">
      <c r="A17" s="638" t="s">
        <v>1461</v>
      </c>
      <c r="B17" s="637">
        <v>443448</v>
      </c>
      <c r="C17" s="637">
        <v>40716</v>
      </c>
      <c r="D17" s="637">
        <v>250691</v>
      </c>
      <c r="E17" s="636">
        <f t="shared" si="0"/>
        <v>734855</v>
      </c>
      <c r="F17" s="635">
        <f t="shared" si="1"/>
        <v>0.60344966013703383</v>
      </c>
      <c r="G17" s="625">
        <f t="shared" si="2"/>
        <v>5.5406848970205008E-2</v>
      </c>
      <c r="H17" s="625">
        <f t="shared" si="3"/>
        <v>0.34114349089276114</v>
      </c>
      <c r="I17" s="625">
        <f t="shared" si="4"/>
        <v>1</v>
      </c>
      <c r="J17" s="639"/>
      <c r="K17" s="619" t="s">
        <v>1573</v>
      </c>
      <c r="L17" s="619" t="s">
        <v>1572</v>
      </c>
    </row>
    <row r="18" spans="1:12" ht="14.4" x14ac:dyDescent="0.3">
      <c r="A18" s="638" t="s">
        <v>1571</v>
      </c>
      <c r="B18" s="637">
        <v>118467</v>
      </c>
      <c r="C18" s="637">
        <v>15311</v>
      </c>
      <c r="D18" s="637">
        <v>60522</v>
      </c>
      <c r="E18" s="636">
        <f t="shared" si="0"/>
        <v>194300</v>
      </c>
      <c r="F18" s="635">
        <f t="shared" si="1"/>
        <v>0.60971178589809572</v>
      </c>
      <c r="G18" s="625">
        <f t="shared" si="2"/>
        <v>7.880082346886258E-2</v>
      </c>
      <c r="H18" s="625">
        <f t="shared" si="3"/>
        <v>0.31148739063304171</v>
      </c>
      <c r="I18" s="625">
        <f t="shared" si="4"/>
        <v>1</v>
      </c>
    </row>
    <row r="19" spans="1:12" ht="14.4" x14ac:dyDescent="0.3">
      <c r="A19" s="638" t="s">
        <v>1459</v>
      </c>
      <c r="B19" s="637">
        <v>628368</v>
      </c>
      <c r="C19" s="637">
        <v>228767</v>
      </c>
      <c r="D19" s="637">
        <v>279829</v>
      </c>
      <c r="E19" s="636">
        <f t="shared" si="0"/>
        <v>1136964</v>
      </c>
      <c r="F19" s="635">
        <f t="shared" si="1"/>
        <v>0.55267185240693639</v>
      </c>
      <c r="G19" s="625">
        <f t="shared" si="2"/>
        <v>0.2012086574421002</v>
      </c>
      <c r="H19" s="625">
        <f t="shared" si="3"/>
        <v>0.24611949015096343</v>
      </c>
      <c r="I19" s="625">
        <f t="shared" si="4"/>
        <v>1</v>
      </c>
    </row>
    <row r="20" spans="1:12" ht="14.4" x14ac:dyDescent="0.3">
      <c r="A20" s="634" t="s">
        <v>1466</v>
      </c>
      <c r="B20" s="633">
        <v>97054</v>
      </c>
      <c r="C20" s="633">
        <v>325861</v>
      </c>
      <c r="D20" s="633">
        <v>181074</v>
      </c>
      <c r="E20" s="632">
        <f t="shared" si="0"/>
        <v>603989</v>
      </c>
      <c r="F20" s="625">
        <f t="shared" si="1"/>
        <v>0.16068835690716221</v>
      </c>
      <c r="G20" s="631">
        <f t="shared" si="2"/>
        <v>0.53951479248794265</v>
      </c>
      <c r="H20" s="625">
        <f t="shared" si="3"/>
        <v>0.29979685060489514</v>
      </c>
      <c r="I20" s="625">
        <f t="shared" si="4"/>
        <v>1</v>
      </c>
    </row>
    <row r="21" spans="1:12" ht="14.4" x14ac:dyDescent="0.3">
      <c r="A21" s="634" t="s">
        <v>1570</v>
      </c>
      <c r="B21" s="633">
        <v>55931</v>
      </c>
      <c r="C21" s="633">
        <v>133070</v>
      </c>
      <c r="D21" s="633">
        <v>124516</v>
      </c>
      <c r="E21" s="632">
        <f t="shared" si="0"/>
        <v>313517</v>
      </c>
      <c r="F21" s="625">
        <f t="shared" si="1"/>
        <v>0.17839861953259312</v>
      </c>
      <c r="G21" s="631">
        <f t="shared" si="2"/>
        <v>0.42444269369763044</v>
      </c>
      <c r="H21" s="625">
        <f t="shared" si="3"/>
        <v>0.39715868676977645</v>
      </c>
      <c r="I21" s="625">
        <f t="shared" si="4"/>
        <v>1</v>
      </c>
    </row>
    <row r="22" spans="1:12" ht="14.4" x14ac:dyDescent="0.3">
      <c r="A22" s="629" t="s">
        <v>1467</v>
      </c>
      <c r="B22" s="628">
        <v>91792</v>
      </c>
      <c r="C22" s="628">
        <v>125628</v>
      </c>
      <c r="D22" s="628">
        <v>235554</v>
      </c>
      <c r="E22" s="627">
        <f t="shared" si="0"/>
        <v>452974</v>
      </c>
      <c r="F22" s="625">
        <f t="shared" si="1"/>
        <v>0.20264297730112546</v>
      </c>
      <c r="G22" s="625">
        <f t="shared" si="2"/>
        <v>0.27734042130453401</v>
      </c>
      <c r="H22" s="626">
        <f t="shared" si="3"/>
        <v>0.52001660139434047</v>
      </c>
      <c r="I22" s="625">
        <f t="shared" si="4"/>
        <v>1</v>
      </c>
    </row>
    <row r="23" spans="1:12" ht="14.4" x14ac:dyDescent="0.3">
      <c r="A23" s="634" t="s">
        <v>1465</v>
      </c>
      <c r="B23" s="633">
        <v>156862</v>
      </c>
      <c r="C23" s="633">
        <v>297463</v>
      </c>
      <c r="D23" s="633">
        <v>155935</v>
      </c>
      <c r="E23" s="632">
        <f t="shared" si="0"/>
        <v>610260</v>
      </c>
      <c r="F23" s="625">
        <f t="shared" si="1"/>
        <v>0.25704126110182546</v>
      </c>
      <c r="G23" s="631">
        <f t="shared" si="2"/>
        <v>0.48743650247435522</v>
      </c>
      <c r="H23" s="625">
        <f t="shared" si="3"/>
        <v>0.25552223642381938</v>
      </c>
      <c r="I23" s="625">
        <f t="shared" si="4"/>
        <v>1</v>
      </c>
    </row>
    <row r="24" spans="1:12" ht="14.4" x14ac:dyDescent="0.3">
      <c r="A24" s="634" t="s">
        <v>1464</v>
      </c>
      <c r="B24" s="633">
        <v>86690</v>
      </c>
      <c r="C24" s="633">
        <v>98311</v>
      </c>
      <c r="D24" s="633">
        <v>58636</v>
      </c>
      <c r="E24" s="632">
        <f t="shared" si="0"/>
        <v>243637</v>
      </c>
      <c r="F24" s="625">
        <f t="shared" si="1"/>
        <v>0.3558162348083419</v>
      </c>
      <c r="G24" s="631">
        <f t="shared" si="2"/>
        <v>0.4035142445523463</v>
      </c>
      <c r="H24" s="625">
        <f t="shared" si="3"/>
        <v>0.24066952063931177</v>
      </c>
      <c r="I24" s="625">
        <f t="shared" si="4"/>
        <v>1</v>
      </c>
    </row>
    <row r="25" spans="1:12" ht="14.4" x14ac:dyDescent="0.3">
      <c r="A25" s="629" t="s">
        <v>1463</v>
      </c>
      <c r="B25" s="628">
        <v>23565</v>
      </c>
      <c r="C25" s="628">
        <v>39694</v>
      </c>
      <c r="D25" s="628">
        <v>84399</v>
      </c>
      <c r="E25" s="627">
        <f t="shared" si="0"/>
        <v>147658</v>
      </c>
      <c r="F25" s="625">
        <f t="shared" si="1"/>
        <v>0.15959175933576236</v>
      </c>
      <c r="G25" s="625">
        <f t="shared" si="2"/>
        <v>0.26882390388600685</v>
      </c>
      <c r="H25" s="626">
        <f t="shared" si="3"/>
        <v>0.57158433677823073</v>
      </c>
      <c r="I25" s="625">
        <f t="shared" si="4"/>
        <v>1</v>
      </c>
    </row>
    <row r="26" spans="1:12" ht="14.4" x14ac:dyDescent="0.3">
      <c r="A26" s="629" t="s">
        <v>1569</v>
      </c>
      <c r="B26" s="628">
        <v>178957</v>
      </c>
      <c r="C26" s="628">
        <v>224873</v>
      </c>
      <c r="D26" s="628">
        <v>190942</v>
      </c>
      <c r="E26" s="627">
        <f t="shared" si="0"/>
        <v>594772</v>
      </c>
      <c r="F26" s="625">
        <f t="shared" si="1"/>
        <v>0.30088336370911878</v>
      </c>
      <c r="G26" s="625">
        <f t="shared" si="2"/>
        <v>0.37808269387261001</v>
      </c>
      <c r="H26" s="626">
        <f t="shared" si="3"/>
        <v>0.32103394241827121</v>
      </c>
      <c r="I26" s="625">
        <f t="shared" si="4"/>
        <v>1</v>
      </c>
    </row>
    <row r="27" spans="1:12" ht="14.4" x14ac:dyDescent="0.3">
      <c r="A27" s="629" t="s">
        <v>1469</v>
      </c>
      <c r="B27" s="628">
        <v>333077</v>
      </c>
      <c r="C27" s="628">
        <v>320919</v>
      </c>
      <c r="D27" s="628">
        <v>431077</v>
      </c>
      <c r="E27" s="627">
        <f t="shared" si="0"/>
        <v>1085073</v>
      </c>
      <c r="F27" s="625">
        <f t="shared" si="1"/>
        <v>0.30696275734443673</v>
      </c>
      <c r="G27" s="625">
        <f t="shared" si="2"/>
        <v>0.29575798126024699</v>
      </c>
      <c r="H27" s="626">
        <f t="shared" si="3"/>
        <v>0.39727926139531627</v>
      </c>
      <c r="I27" s="625">
        <f t="shared" si="4"/>
        <v>1</v>
      </c>
    </row>
    <row r="28" spans="1:12" ht="14.4" x14ac:dyDescent="0.3">
      <c r="A28" s="634" t="s">
        <v>498</v>
      </c>
      <c r="B28" s="633">
        <v>51479</v>
      </c>
      <c r="C28" s="633">
        <v>383001</v>
      </c>
      <c r="D28" s="633">
        <v>92775</v>
      </c>
      <c r="E28" s="632">
        <f t="shared" si="0"/>
        <v>527255</v>
      </c>
      <c r="F28" s="625">
        <f t="shared" si="1"/>
        <v>9.7635868792140423E-2</v>
      </c>
      <c r="G28" s="631">
        <f t="shared" si="2"/>
        <v>0.72640562915477336</v>
      </c>
      <c r="H28" s="625">
        <f t="shared" si="3"/>
        <v>0.17595850205308627</v>
      </c>
      <c r="I28" s="625">
        <f t="shared" si="4"/>
        <v>1</v>
      </c>
    </row>
    <row r="29" spans="1:12" ht="14.4" x14ac:dyDescent="0.3">
      <c r="A29" s="629" t="s">
        <v>1468</v>
      </c>
      <c r="B29" s="628">
        <v>98542</v>
      </c>
      <c r="C29" s="628">
        <v>81454</v>
      </c>
      <c r="D29" s="628">
        <v>213915</v>
      </c>
      <c r="E29" s="627">
        <f t="shared" si="0"/>
        <v>393911</v>
      </c>
      <c r="F29" s="625">
        <f t="shared" si="1"/>
        <v>0.25016310791016244</v>
      </c>
      <c r="G29" s="625">
        <f t="shared" si="2"/>
        <v>0.20678275041824168</v>
      </c>
      <c r="H29" s="626">
        <f t="shared" si="3"/>
        <v>0.54305414167159582</v>
      </c>
      <c r="I29" s="625">
        <f t="shared" si="4"/>
        <v>1</v>
      </c>
    </row>
    <row r="30" spans="1:12" ht="14.4" x14ac:dyDescent="0.3">
      <c r="A30" s="634" t="s">
        <v>1568</v>
      </c>
      <c r="B30" s="633">
        <v>203542</v>
      </c>
      <c r="C30" s="633">
        <v>853869</v>
      </c>
      <c r="D30" s="633">
        <v>322668</v>
      </c>
      <c r="E30" s="632">
        <f t="shared" si="0"/>
        <v>1380079</v>
      </c>
      <c r="F30" s="625">
        <f t="shared" si="1"/>
        <v>0.14748575987316667</v>
      </c>
      <c r="G30" s="631">
        <f t="shared" si="2"/>
        <v>0.61871023325476293</v>
      </c>
      <c r="H30" s="625">
        <f t="shared" si="3"/>
        <v>0.23380400687207037</v>
      </c>
      <c r="I30" s="625">
        <f t="shared" si="4"/>
        <v>1</v>
      </c>
      <c r="K30" s="630"/>
    </row>
    <row r="31" spans="1:12" ht="14.4" x14ac:dyDescent="0.3">
      <c r="A31" s="629" t="s">
        <v>1567</v>
      </c>
      <c r="B31" s="628">
        <v>224330</v>
      </c>
      <c r="C31" s="628">
        <v>662765</v>
      </c>
      <c r="D31" s="628">
        <v>449561</v>
      </c>
      <c r="E31" s="627">
        <f t="shared" si="0"/>
        <v>1336656</v>
      </c>
      <c r="F31" s="625">
        <f t="shared" si="1"/>
        <v>0.16782926946050442</v>
      </c>
      <c r="G31" s="625">
        <f t="shared" si="2"/>
        <v>0.49583812140146755</v>
      </c>
      <c r="H31" s="626">
        <f t="shared" si="3"/>
        <v>0.33633260913802804</v>
      </c>
      <c r="I31" s="625">
        <f t="shared" si="4"/>
        <v>1</v>
      </c>
    </row>
    <row r="33" spans="1:5" x14ac:dyDescent="0.25">
      <c r="A33" s="624" t="s">
        <v>1566</v>
      </c>
    </row>
    <row r="34" spans="1:5" x14ac:dyDescent="0.25">
      <c r="A34" s="624" t="s">
        <v>1565</v>
      </c>
      <c r="B34" s="624" t="s">
        <v>1564</v>
      </c>
      <c r="C34" s="623" t="s">
        <v>1563</v>
      </c>
    </row>
    <row r="35" spans="1:5" ht="82.8" x14ac:dyDescent="0.25">
      <c r="C35" s="622" t="s">
        <v>1599</v>
      </c>
      <c r="D35" s="622" t="s">
        <v>1600</v>
      </c>
      <c r="E35" s="622" t="s">
        <v>1602</v>
      </c>
    </row>
    <row r="36" spans="1:5" ht="102.6" customHeight="1" x14ac:dyDescent="0.25">
      <c r="C36" s="620" t="s">
        <v>1606</v>
      </c>
      <c r="D36" s="620" t="s">
        <v>1607</v>
      </c>
      <c r="E36" s="620" t="s">
        <v>1562</v>
      </c>
    </row>
    <row r="37" spans="1:5" x14ac:dyDescent="0.25">
      <c r="C37" s="623" t="s">
        <v>1561</v>
      </c>
    </row>
    <row r="38" spans="1:5" ht="82.8" x14ac:dyDescent="0.25">
      <c r="C38" s="622" t="s">
        <v>1599</v>
      </c>
      <c r="D38" s="622" t="s">
        <v>1600</v>
      </c>
      <c r="E38" s="622" t="s">
        <v>1602</v>
      </c>
    </row>
    <row r="39" spans="1:5" ht="69" x14ac:dyDescent="0.25">
      <c r="C39" s="621" t="s">
        <v>2114</v>
      </c>
      <c r="D39" s="621" t="s">
        <v>1560</v>
      </c>
      <c r="E39" s="620" t="s">
        <v>1603</v>
      </c>
    </row>
  </sheetData>
  <hyperlinks>
    <hyperlink ref="A2" r:id="rId1" xr:uid="{25E86F90-AEF4-4362-83FA-A4AA31827A49}"/>
    <hyperlink ref="D2" r:id="rId2" xr:uid="{51B9650E-8A2A-42D0-9128-FDE2BE30BA86}"/>
  </hyperlinks>
  <pageMargins left="0.75" right="0.75" top="1" bottom="1" header="0.5" footer="0.5"/>
  <pageSetup paperSize="9" scale="10" firstPageNumber="0" fitToWidth="0" fitToHeight="0" pageOrder="overThenDown" orientation="portrait" horizontalDpi="300" verticalDpi="300" r:id="rId3"/>
  <headerFooter alignWithMargins="0"/>
  <drawing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02613-86E3-4934-9DFA-C16D514854B5}">
  <sheetPr>
    <tabColor rgb="FF00B050"/>
  </sheetPr>
  <dimension ref="A1:AG59"/>
  <sheetViews>
    <sheetView topLeftCell="A16" workbookViewId="0">
      <selection activeCell="A30" sqref="A30"/>
    </sheetView>
  </sheetViews>
  <sheetFormatPr defaultRowHeight="14.4" x14ac:dyDescent="0.3"/>
  <cols>
    <col min="1" max="1" width="24.33203125" customWidth="1"/>
    <col min="2" max="2" width="15.109375" customWidth="1"/>
    <col min="3" max="4" width="14.109375" customWidth="1"/>
    <col min="5" max="5" width="16.33203125" customWidth="1"/>
    <col min="6" max="6" width="18" customWidth="1"/>
    <col min="7" max="7" width="14.109375" customWidth="1"/>
    <col min="8" max="8" width="25.6640625" customWidth="1"/>
    <col min="9" max="9" width="15" customWidth="1"/>
    <col min="10" max="10" width="13.88671875" customWidth="1"/>
    <col min="12" max="12" width="11.6640625" customWidth="1"/>
    <col min="18" max="18" width="11.88671875" customWidth="1"/>
  </cols>
  <sheetData>
    <row r="1" spans="1:27" s="19" customFormat="1" ht="21" x14ac:dyDescent="0.4">
      <c r="A1" s="14" t="s">
        <v>1099</v>
      </c>
    </row>
    <row r="2" spans="1:27" s="19" customFormat="1" ht="41.25" customHeight="1" x14ac:dyDescent="0.3">
      <c r="A2" s="1271" t="s">
        <v>1100</v>
      </c>
      <c r="B2" s="1272"/>
      <c r="C2" s="1272"/>
      <c r="D2" s="1272"/>
      <c r="E2" s="1272"/>
      <c r="F2" s="1272"/>
      <c r="G2" s="1272"/>
      <c r="H2" s="1272"/>
      <c r="I2" s="1272"/>
      <c r="J2" s="1272"/>
      <c r="K2" s="1272"/>
      <c r="L2" s="1272"/>
      <c r="M2" s="1272"/>
      <c r="N2" t="s">
        <v>48</v>
      </c>
      <c r="O2" t="s">
        <v>476</v>
      </c>
      <c r="P2"/>
      <c r="Q2"/>
      <c r="R2"/>
      <c r="S2"/>
      <c r="T2"/>
      <c r="U2"/>
      <c r="V2"/>
      <c r="W2"/>
      <c r="X2"/>
    </row>
    <row r="3" spans="1:27" s="19" customFormat="1" ht="41.25" customHeight="1" x14ac:dyDescent="0.3">
      <c r="A3" s="19" t="s">
        <v>1101</v>
      </c>
      <c r="B3" s="19" t="s">
        <v>1102</v>
      </c>
      <c r="C3"/>
      <c r="D3"/>
      <c r="E3"/>
      <c r="F3"/>
      <c r="G3"/>
      <c r="H3"/>
      <c r="I3"/>
      <c r="J3"/>
      <c r="K3"/>
      <c r="L3"/>
      <c r="M3"/>
      <c r="N3" s="1272" t="s">
        <v>1088</v>
      </c>
      <c r="O3" s="1186"/>
      <c r="P3" s="1186"/>
      <c r="Q3" s="1186"/>
      <c r="R3" s="1186"/>
      <c r="S3" s="1186"/>
      <c r="T3" s="1186"/>
      <c r="U3" s="1186"/>
      <c r="V3" s="1186"/>
      <c r="W3" s="1186"/>
      <c r="X3" s="1186"/>
      <c r="Y3"/>
      <c r="Z3"/>
      <c r="AA3"/>
    </row>
    <row r="4" spans="1:27" s="19" customFormat="1" ht="41.25" customHeight="1" x14ac:dyDescent="0.3">
      <c r="B4" t="s">
        <v>1108</v>
      </c>
      <c r="C4"/>
      <c r="D4"/>
      <c r="E4"/>
      <c r="F4"/>
      <c r="G4"/>
      <c r="H4"/>
      <c r="I4"/>
      <c r="J4"/>
      <c r="K4"/>
      <c r="L4" t="s">
        <v>154</v>
      </c>
      <c r="M4"/>
      <c r="N4"/>
      <c r="O4"/>
      <c r="P4"/>
      <c r="Q4"/>
      <c r="R4"/>
      <c r="S4"/>
      <c r="T4"/>
      <c r="U4"/>
      <c r="V4"/>
      <c r="W4"/>
      <c r="X4"/>
      <c r="Y4"/>
      <c r="Z4"/>
      <c r="AA4"/>
    </row>
    <row r="5" spans="1:27" s="19" customFormat="1" ht="41.25" customHeight="1" x14ac:dyDescent="0.3">
      <c r="A5" s="19" t="s">
        <v>1103</v>
      </c>
      <c r="B5" s="21">
        <v>80.64</v>
      </c>
      <c r="C5" s="21">
        <v>150.32</v>
      </c>
      <c r="D5" s="21">
        <v>339.32</v>
      </c>
      <c r="E5" s="21">
        <v>14.66</v>
      </c>
      <c r="F5" s="21">
        <v>0.32</v>
      </c>
      <c r="G5" s="21">
        <v>1.67</v>
      </c>
      <c r="H5" s="21">
        <v>5.9</v>
      </c>
      <c r="I5" s="21">
        <v>14.26</v>
      </c>
      <c r="J5" s="21">
        <v>0.09</v>
      </c>
      <c r="K5" s="21">
        <v>355.87</v>
      </c>
      <c r="L5" s="21">
        <f>SUM(B5:K5)</f>
        <v>963.05</v>
      </c>
      <c r="M5" s="362">
        <f>L5/L7</f>
        <v>0.26574814013554382</v>
      </c>
      <c r="N5" s="363">
        <f>L9/L5</f>
        <v>0.17340740356160117</v>
      </c>
      <c r="O5" t="s">
        <v>1098</v>
      </c>
      <c r="P5"/>
      <c r="Q5"/>
      <c r="R5"/>
      <c r="S5"/>
      <c r="T5"/>
      <c r="U5"/>
      <c r="V5"/>
      <c r="W5"/>
      <c r="X5"/>
      <c r="Y5"/>
      <c r="Z5"/>
      <c r="AA5"/>
    </row>
    <row r="6" spans="1:27" s="19" customFormat="1" ht="41.25" customHeight="1" x14ac:dyDescent="0.3">
      <c r="A6" s="19" t="s">
        <v>1104</v>
      </c>
      <c r="B6" s="21">
        <v>335.88</v>
      </c>
      <c r="C6" s="21">
        <v>634.05999999999995</v>
      </c>
      <c r="D6" s="21">
        <v>769.07</v>
      </c>
      <c r="E6" s="21">
        <v>70.45</v>
      </c>
      <c r="F6" s="21">
        <v>0.97</v>
      </c>
      <c r="G6" s="21">
        <v>6.45</v>
      </c>
      <c r="H6" s="21">
        <v>155.41</v>
      </c>
      <c r="I6" s="21">
        <v>53.48</v>
      </c>
      <c r="J6" s="21">
        <v>0.11</v>
      </c>
      <c r="K6" s="21">
        <v>634.99</v>
      </c>
      <c r="L6" s="21">
        <f>SUM(B6:K6)</f>
        <v>2660.87</v>
      </c>
      <c r="M6"/>
      <c r="N6" s="362"/>
      <c r="O6"/>
      <c r="P6"/>
      <c r="Q6"/>
      <c r="R6"/>
      <c r="S6"/>
      <c r="T6"/>
      <c r="U6"/>
      <c r="V6"/>
      <c r="W6"/>
      <c r="X6"/>
      <c r="Y6"/>
      <c r="Z6"/>
      <c r="AA6"/>
    </row>
    <row r="7" spans="1:27" s="19" customFormat="1" ht="22.5" customHeight="1" x14ac:dyDescent="0.3">
      <c r="A7" s="19" t="s">
        <v>1105</v>
      </c>
      <c r="B7"/>
      <c r="C7"/>
      <c r="D7"/>
      <c r="E7"/>
      <c r="F7"/>
      <c r="G7"/>
      <c r="H7"/>
      <c r="I7"/>
      <c r="J7"/>
      <c r="K7"/>
      <c r="L7" s="32">
        <f>L5+L6</f>
        <v>3623.92</v>
      </c>
      <c r="M7"/>
      <c r="N7" s="364">
        <f>L9/L7</f>
        <v>4.6082694982229187E-2</v>
      </c>
      <c r="O7" t="s">
        <v>1097</v>
      </c>
      <c r="P7"/>
      <c r="Q7"/>
      <c r="R7"/>
      <c r="S7"/>
      <c r="T7"/>
      <c r="U7"/>
      <c r="V7"/>
      <c r="W7"/>
      <c r="X7"/>
      <c r="Y7"/>
      <c r="Z7"/>
      <c r="AA7"/>
    </row>
    <row r="9" spans="1:27" x14ac:dyDescent="0.3">
      <c r="I9" t="s">
        <v>1106</v>
      </c>
      <c r="L9" s="77">
        <v>167</v>
      </c>
      <c r="M9" s="365" t="s">
        <v>1107</v>
      </c>
    </row>
    <row r="10" spans="1:27" x14ac:dyDescent="0.3">
      <c r="A10" s="368" t="s">
        <v>1118</v>
      </c>
      <c r="B10" s="19" t="s">
        <v>1110</v>
      </c>
      <c r="G10" t="s">
        <v>1289</v>
      </c>
    </row>
    <row r="11" spans="1:27" x14ac:dyDescent="0.3">
      <c r="A11" s="377" t="s">
        <v>1112</v>
      </c>
      <c r="B11" s="77"/>
      <c r="C11" s="59"/>
      <c r="D11" s="59"/>
      <c r="E11" s="518">
        <v>2020</v>
      </c>
      <c r="F11" s="59" t="s">
        <v>1113</v>
      </c>
      <c r="G11" s="53">
        <f>E11/A20*1000000</f>
        <v>162.56243463803099</v>
      </c>
      <c r="H11" t="s">
        <v>1114</v>
      </c>
    </row>
    <row r="12" spans="1:27" x14ac:dyDescent="0.3">
      <c r="A12" s="368" t="s">
        <v>1119</v>
      </c>
      <c r="B12" s="19"/>
      <c r="E12" s="53"/>
      <c r="G12" s="53"/>
    </row>
    <row r="13" spans="1:27" x14ac:dyDescent="0.3">
      <c r="A13" s="369" t="s">
        <v>1109</v>
      </c>
      <c r="B13">
        <v>169.27</v>
      </c>
      <c r="C13" t="s">
        <v>79</v>
      </c>
      <c r="E13">
        <v>154.30000000000001</v>
      </c>
      <c r="F13" t="s">
        <v>1115</v>
      </c>
      <c r="G13" s="366">
        <f>B13/E13</f>
        <v>1.0970187945560597</v>
      </c>
      <c r="H13" t="s">
        <v>1117</v>
      </c>
      <c r="O13" t="s">
        <v>1116</v>
      </c>
    </row>
    <row r="14" spans="1:27" ht="93.75" customHeight="1" x14ac:dyDescent="0.3">
      <c r="A14" s="371" t="s">
        <v>47</v>
      </c>
      <c r="B14" s="372">
        <f>(B13+B15)/2</f>
        <v>197.63499999999999</v>
      </c>
      <c r="C14" s="371" t="s">
        <v>79</v>
      </c>
      <c r="D14" s="373"/>
      <c r="E14" s="372">
        <f>(E13+E15)/2</f>
        <v>180.16000000000003</v>
      </c>
      <c r="F14" s="373" t="s">
        <v>1115</v>
      </c>
      <c r="G14" s="374">
        <f>B14/E14</f>
        <v>1.0969971136767316</v>
      </c>
      <c r="H14" s="375" t="s">
        <v>1290</v>
      </c>
      <c r="I14" s="376">
        <f>A20</f>
        <v>12425995</v>
      </c>
      <c r="J14" s="373" t="s">
        <v>136</v>
      </c>
      <c r="K14" s="370" t="s">
        <v>1291</v>
      </c>
      <c r="L14" s="177">
        <f>E14*I14/1000000</f>
        <v>2238.6672592000004</v>
      </c>
      <c r="M14" t="s">
        <v>234</v>
      </c>
    </row>
    <row r="15" spans="1:27" x14ac:dyDescent="0.3">
      <c r="A15" t="s">
        <v>46</v>
      </c>
      <c r="B15">
        <v>226</v>
      </c>
      <c r="C15" t="s">
        <v>79</v>
      </c>
      <c r="E15">
        <v>206.02</v>
      </c>
      <c r="F15" t="s">
        <v>1115</v>
      </c>
      <c r="G15" s="366">
        <f>B15/E15</f>
        <v>1.0969808756431414</v>
      </c>
      <c r="H15" t="s">
        <v>1117</v>
      </c>
    </row>
    <row r="18" spans="1:9" x14ac:dyDescent="0.3">
      <c r="A18" s="19" t="s">
        <v>1111</v>
      </c>
    </row>
    <row r="19" spans="1:9" x14ac:dyDescent="0.3">
      <c r="A19" s="513">
        <v>1448854</v>
      </c>
      <c r="B19" s="55" t="s">
        <v>136</v>
      </c>
      <c r="C19" s="514">
        <f>A19/A20</f>
        <v>0.11659863053220286</v>
      </c>
      <c r="D19" s="55" t="s">
        <v>1288</v>
      </c>
      <c r="E19" s="55"/>
    </row>
    <row r="20" spans="1:9" x14ac:dyDescent="0.3">
      <c r="A20" s="517">
        <v>12425995</v>
      </c>
      <c r="B20" s="387" t="s">
        <v>136</v>
      </c>
      <c r="C20" s="387"/>
      <c r="D20" s="387" t="s">
        <v>1284</v>
      </c>
      <c r="E20" s="387"/>
      <c r="F20" s="387"/>
    </row>
    <row r="21" spans="1:9" x14ac:dyDescent="0.3">
      <c r="A21" s="367">
        <v>1939</v>
      </c>
      <c r="B21" s="59" t="s">
        <v>223</v>
      </c>
      <c r="C21" s="59" t="s">
        <v>474</v>
      </c>
      <c r="D21" s="59"/>
      <c r="E21" s="59"/>
      <c r="F21" s="59"/>
      <c r="H21">
        <v>12425995</v>
      </c>
    </row>
    <row r="22" spans="1:9" x14ac:dyDescent="0.3">
      <c r="C22" t="s">
        <v>475</v>
      </c>
    </row>
    <row r="23" spans="1:9" x14ac:dyDescent="0.3">
      <c r="C23" t="s">
        <v>233</v>
      </c>
    </row>
    <row r="24" spans="1:9" x14ac:dyDescent="0.3">
      <c r="A24" s="367">
        <v>18561</v>
      </c>
      <c r="B24" s="59" t="s">
        <v>223</v>
      </c>
      <c r="C24" s="59" t="s">
        <v>1089</v>
      </c>
      <c r="D24" s="59"/>
      <c r="E24" s="59"/>
    </row>
    <row r="25" spans="1:9" x14ac:dyDescent="0.3">
      <c r="A25" s="53">
        <f>A24*1000000/A19</f>
        <v>12810.814616241527</v>
      </c>
      <c r="B25" t="s">
        <v>1176</v>
      </c>
      <c r="C25" t="s">
        <v>1177</v>
      </c>
    </row>
    <row r="26" spans="1:9" x14ac:dyDescent="0.3">
      <c r="A26" s="483">
        <f>A21/A24</f>
        <v>0.10446635418350304</v>
      </c>
      <c r="B26" s="77" t="s">
        <v>235</v>
      </c>
      <c r="C26" s="59"/>
    </row>
    <row r="27" spans="1:9" x14ac:dyDescent="0.3">
      <c r="A27" s="511">
        <f>A21*1000000/A19</f>
        <v>1338.2990970794849</v>
      </c>
      <c r="B27" s="512" t="s">
        <v>1285</v>
      </c>
      <c r="C27" s="512" t="s">
        <v>1286</v>
      </c>
      <c r="D27" s="55"/>
      <c r="E27" s="55"/>
      <c r="F27" s="55"/>
      <c r="G27" s="55"/>
      <c r="H27" s="55"/>
      <c r="I27" s="55"/>
    </row>
    <row r="28" spans="1:9" x14ac:dyDescent="0.3">
      <c r="A28" s="177"/>
      <c r="C28" t="s">
        <v>1090</v>
      </c>
    </row>
    <row r="29" spans="1:9" x14ac:dyDescent="0.3">
      <c r="A29" s="177" t="s">
        <v>2472</v>
      </c>
    </row>
    <row r="30" spans="1:9" x14ac:dyDescent="0.3">
      <c r="A30" s="515">
        <f>A21/A20*1000000*'indice PIL pro capite'!C13</f>
        <v>157.6283601321112</v>
      </c>
      <c r="B30" s="512" t="s">
        <v>1997</v>
      </c>
      <c r="C30" s="516" t="s">
        <v>1287</v>
      </c>
      <c r="D30" s="387"/>
      <c r="E30" s="387"/>
      <c r="F30" s="387"/>
    </row>
    <row r="31" spans="1:9" x14ac:dyDescent="0.3">
      <c r="A31" s="704">
        <f>A21/A20*1000000</f>
        <v>156.04384196195156</v>
      </c>
      <c r="B31" s="479" t="s">
        <v>1292</v>
      </c>
      <c r="C31" s="479"/>
      <c r="D31" s="64"/>
      <c r="E31" s="64"/>
      <c r="F31" s="64"/>
    </row>
    <row r="32" spans="1:9" x14ac:dyDescent="0.3">
      <c r="A32" s="177">
        <f>A30/B14</f>
        <v>0.79757310259878667</v>
      </c>
      <c r="C32" s="19" t="s">
        <v>1999</v>
      </c>
    </row>
    <row r="33" spans="1:33" ht="62.4" x14ac:dyDescent="0.3">
      <c r="A33" s="494" t="s">
        <v>174</v>
      </c>
      <c r="B33" s="499" t="s">
        <v>129</v>
      </c>
      <c r="C33" s="499" t="s">
        <v>1168</v>
      </c>
      <c r="D33" s="499" t="s">
        <v>1140</v>
      </c>
      <c r="E33" s="499" t="s">
        <v>1141</v>
      </c>
      <c r="F33" s="499" t="s">
        <v>1142</v>
      </c>
      <c r="G33" s="500" t="s">
        <v>133</v>
      </c>
      <c r="H33" s="500" t="s">
        <v>134</v>
      </c>
      <c r="I33" s="500" t="s">
        <v>1165</v>
      </c>
      <c r="J33" s="500" t="s">
        <v>1166</v>
      </c>
    </row>
    <row r="34" spans="1:33" ht="15.6" x14ac:dyDescent="0.3">
      <c r="A34" s="495" t="s">
        <v>1167</v>
      </c>
      <c r="B34" s="78"/>
      <c r="C34" s="545">
        <f>A30-0</f>
        <v>157.6283601321112</v>
      </c>
      <c r="D34" s="78"/>
      <c r="E34" s="78"/>
      <c r="F34" s="78"/>
      <c r="G34" s="78"/>
      <c r="H34" s="78"/>
      <c r="I34" s="507"/>
      <c r="J34" s="507"/>
      <c r="AB34" t="s">
        <v>1091</v>
      </c>
      <c r="AC34" t="s">
        <v>1092</v>
      </c>
      <c r="AD34" t="s">
        <v>1093</v>
      </c>
      <c r="AE34" t="s">
        <v>1094</v>
      </c>
      <c r="AF34" t="s">
        <v>1095</v>
      </c>
      <c r="AG34" t="s">
        <v>1096</v>
      </c>
    </row>
    <row r="35" spans="1:33" ht="15.6" x14ac:dyDescent="0.3">
      <c r="A35" s="495" t="s">
        <v>1168</v>
      </c>
      <c r="B35" s="545">
        <f>-$A$30</f>
        <v>-157.6283601321112</v>
      </c>
      <c r="C35" s="545">
        <f>$A$30</f>
        <v>157.6283601321112</v>
      </c>
      <c r="D35" s="545">
        <f>-$A$30</f>
        <v>-157.6283601321112</v>
      </c>
      <c r="E35" s="545">
        <f t="shared" ref="E35:J35" si="0">-$A$30</f>
        <v>-157.6283601321112</v>
      </c>
      <c r="F35" s="545">
        <f t="shared" si="0"/>
        <v>-157.6283601321112</v>
      </c>
      <c r="G35" s="545">
        <f t="shared" si="0"/>
        <v>-157.6283601321112</v>
      </c>
      <c r="H35" s="545">
        <f t="shared" si="0"/>
        <v>-157.6283601321112</v>
      </c>
      <c r="I35" s="545">
        <f t="shared" si="0"/>
        <v>-157.6283601321112</v>
      </c>
      <c r="J35" s="545">
        <f t="shared" si="0"/>
        <v>-157.6283601321112</v>
      </c>
    </row>
    <row r="36" spans="1:33" ht="31.2" x14ac:dyDescent="0.3">
      <c r="A36" s="496" t="s">
        <v>1140</v>
      </c>
      <c r="B36" s="78"/>
      <c r="C36" s="545">
        <f t="shared" ref="C36:C42" si="1">$A$30</f>
        <v>157.6283601321112</v>
      </c>
      <c r="D36" s="78"/>
      <c r="E36" s="78"/>
      <c r="F36" s="78"/>
      <c r="G36" s="78"/>
      <c r="H36" s="78"/>
      <c r="I36" s="507"/>
      <c r="J36" s="507"/>
    </row>
    <row r="37" spans="1:33" ht="31.2" x14ac:dyDescent="0.3">
      <c r="A37" s="496" t="s">
        <v>1141</v>
      </c>
      <c r="B37" s="78"/>
      <c r="C37" s="545">
        <f t="shared" si="1"/>
        <v>157.6283601321112</v>
      </c>
      <c r="D37" s="78"/>
      <c r="E37" s="78"/>
      <c r="F37" s="78"/>
      <c r="G37" s="78"/>
      <c r="H37" s="78"/>
      <c r="I37" s="507"/>
      <c r="J37" s="507"/>
    </row>
    <row r="38" spans="1:33" ht="31.2" x14ac:dyDescent="0.3">
      <c r="A38" s="496" t="s">
        <v>1142</v>
      </c>
      <c r="B38" s="78"/>
      <c r="C38" s="545">
        <f t="shared" si="1"/>
        <v>157.6283601321112</v>
      </c>
      <c r="D38" s="78"/>
      <c r="E38" s="78"/>
      <c r="F38" s="78"/>
      <c r="G38" s="78"/>
      <c r="H38" s="78"/>
      <c r="I38" s="507"/>
      <c r="J38" s="507"/>
    </row>
    <row r="39" spans="1:33" ht="15.6" x14ac:dyDescent="0.3">
      <c r="A39" s="497" t="s">
        <v>133</v>
      </c>
      <c r="B39" s="78"/>
      <c r="C39" s="545">
        <f t="shared" si="1"/>
        <v>157.6283601321112</v>
      </c>
      <c r="D39" s="78"/>
      <c r="E39" s="78"/>
      <c r="F39" s="78"/>
      <c r="G39" s="78"/>
      <c r="H39" s="78"/>
      <c r="I39" s="507"/>
      <c r="J39" s="507"/>
    </row>
    <row r="40" spans="1:33" ht="15.6" x14ac:dyDescent="0.3">
      <c r="A40" s="497" t="s">
        <v>134</v>
      </c>
      <c r="B40" s="78"/>
      <c r="C40" s="545">
        <f t="shared" si="1"/>
        <v>157.6283601321112</v>
      </c>
      <c r="D40" s="78"/>
      <c r="E40" s="78"/>
      <c r="F40" s="78"/>
      <c r="G40" s="78"/>
      <c r="H40" s="78"/>
      <c r="I40" s="507"/>
      <c r="J40" s="507"/>
    </row>
    <row r="41" spans="1:33" ht="15.6" x14ac:dyDescent="0.3">
      <c r="A41" s="498" t="s">
        <v>1165</v>
      </c>
      <c r="B41" s="78"/>
      <c r="C41" s="545">
        <f t="shared" si="1"/>
        <v>157.6283601321112</v>
      </c>
      <c r="D41" s="78"/>
      <c r="E41" s="78"/>
      <c r="F41" s="78"/>
      <c r="G41" s="78"/>
      <c r="H41" s="78"/>
      <c r="I41" s="509"/>
      <c r="J41" s="510"/>
    </row>
    <row r="42" spans="1:33" ht="15.6" x14ac:dyDescent="0.3">
      <c r="A42" s="498" t="s">
        <v>1166</v>
      </c>
      <c r="B42" s="78"/>
      <c r="C42" s="545">
        <f t="shared" si="1"/>
        <v>157.6283601321112</v>
      </c>
      <c r="D42" s="78"/>
      <c r="E42" s="78"/>
      <c r="F42" s="78"/>
      <c r="G42" s="78"/>
      <c r="H42" s="78"/>
      <c r="I42" s="510"/>
      <c r="J42" s="510"/>
    </row>
    <row r="44" spans="1:33" x14ac:dyDescent="0.3">
      <c r="A44" t="s">
        <v>1472</v>
      </c>
    </row>
    <row r="46" spans="1:33" x14ac:dyDescent="0.3">
      <c r="B46" s="21" t="s">
        <v>498</v>
      </c>
      <c r="C46" s="21" t="s">
        <v>1454</v>
      </c>
      <c r="D46" s="21" t="s">
        <v>1455</v>
      </c>
    </row>
    <row r="47" spans="1:33" ht="43.2" x14ac:dyDescent="0.3">
      <c r="A47" s="705" t="s">
        <v>2000</v>
      </c>
      <c r="B47" s="78" t="e">
        <f>#REF!</f>
        <v>#REF!</v>
      </c>
      <c r="C47" s="78" t="e">
        <f>#REF!</f>
        <v>#REF!</v>
      </c>
      <c r="D47" s="78">
        <f>A27*'indice PIL pro capite'!C13</f>
        <v>1351.88860634668</v>
      </c>
    </row>
    <row r="48" spans="1:33" ht="43.2" x14ac:dyDescent="0.3">
      <c r="A48" s="706" t="s">
        <v>2001</v>
      </c>
      <c r="B48" s="79" t="e">
        <f>#REF!</f>
        <v>#REF!</v>
      </c>
      <c r="C48" s="79" t="e">
        <f>#REF!</f>
        <v>#REF!</v>
      </c>
      <c r="D48" s="79">
        <f>A30</f>
        <v>157.6283601321112</v>
      </c>
    </row>
    <row r="50" spans="1:6" x14ac:dyDescent="0.3">
      <c r="A50" t="s">
        <v>1456</v>
      </c>
    </row>
    <row r="51" spans="1:6" x14ac:dyDescent="0.3">
      <c r="B51" s="19" t="s">
        <v>2002</v>
      </c>
    </row>
    <row r="52" spans="1:6" ht="43.2" x14ac:dyDescent="0.3">
      <c r="A52" s="441" t="s">
        <v>1453</v>
      </c>
      <c r="B52" s="274" t="s">
        <v>1462</v>
      </c>
      <c r="C52" s="274" t="s">
        <v>1457</v>
      </c>
      <c r="D52" s="274" t="s">
        <v>1470</v>
      </c>
      <c r="E52" s="580" t="s">
        <v>1458</v>
      </c>
      <c r="F52" s="21"/>
    </row>
    <row r="53" spans="1:6" x14ac:dyDescent="0.3">
      <c r="B53" s="32">
        <v>0</v>
      </c>
      <c r="C53" s="79" t="e">
        <f>B48</f>
        <v>#REF!</v>
      </c>
      <c r="D53" s="79" t="e">
        <f>C48</f>
        <v>#REF!</v>
      </c>
      <c r="E53" s="79">
        <f>D48</f>
        <v>157.6283601321112</v>
      </c>
      <c r="F53" s="21"/>
    </row>
    <row r="54" spans="1:6" x14ac:dyDescent="0.3">
      <c r="A54" t="s">
        <v>1471</v>
      </c>
      <c r="B54" s="21" t="s">
        <v>1463</v>
      </c>
      <c r="C54" s="21" t="s">
        <v>498</v>
      </c>
      <c r="D54" s="21" t="s">
        <v>1459</v>
      </c>
      <c r="E54" s="21" t="s">
        <v>1460</v>
      </c>
      <c r="F54" s="21"/>
    </row>
    <row r="55" spans="1:6" x14ac:dyDescent="0.3">
      <c r="B55" s="21"/>
      <c r="C55" s="21" t="s">
        <v>1467</v>
      </c>
      <c r="D55" s="21" t="s">
        <v>1466</v>
      </c>
      <c r="E55" s="21" t="s">
        <v>1461</v>
      </c>
      <c r="F55" s="21"/>
    </row>
    <row r="56" spans="1:6" x14ac:dyDescent="0.3">
      <c r="B56" s="21"/>
      <c r="C56" s="21" t="s">
        <v>1469</v>
      </c>
      <c r="D56" s="21"/>
      <c r="E56" s="21" t="s">
        <v>1464</v>
      </c>
      <c r="F56" s="21"/>
    </row>
    <row r="57" spans="1:6" x14ac:dyDescent="0.3">
      <c r="B57" s="21"/>
      <c r="C57" s="21"/>
      <c r="D57" s="21"/>
      <c r="E57" s="21" t="s">
        <v>1465</v>
      </c>
      <c r="F57" s="21"/>
    </row>
    <row r="58" spans="1:6" x14ac:dyDescent="0.3">
      <c r="B58" s="21"/>
      <c r="C58" s="21"/>
      <c r="D58" s="21"/>
      <c r="E58" s="21" t="s">
        <v>1468</v>
      </c>
      <c r="F58" s="21"/>
    </row>
    <row r="59" spans="1:6" x14ac:dyDescent="0.3">
      <c r="B59" s="21"/>
      <c r="C59" s="21"/>
      <c r="D59" s="21"/>
      <c r="E59" s="356" t="s">
        <v>1584</v>
      </c>
      <c r="F59" s="21"/>
    </row>
  </sheetData>
  <mergeCells count="2">
    <mergeCell ref="A2:M2"/>
    <mergeCell ref="N3:X3"/>
  </mergeCells>
  <phoneticPr fontId="10" type="noConversion"/>
  <pageMargins left="0.7" right="0.7" top="0.75" bottom="0.75" header="0.3" footer="0.3"/>
  <pageSetup paperSize="9" orientation="portrait" horizontalDpi="300" verticalDpi="300" r:id="rId1"/>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D0582-13BF-4C16-868C-176B3ACAA7C0}">
  <sheetPr>
    <tabColor rgb="FF00B050"/>
  </sheetPr>
  <dimension ref="A1:Q71"/>
  <sheetViews>
    <sheetView topLeftCell="A7" workbookViewId="0">
      <selection activeCell="E11" sqref="E11"/>
    </sheetView>
  </sheetViews>
  <sheetFormatPr defaultRowHeight="14.4" x14ac:dyDescent="0.3"/>
  <cols>
    <col min="1" max="1" width="25.6640625" customWidth="1"/>
    <col min="2" max="4" width="13.109375" customWidth="1"/>
    <col min="5" max="5" width="18.88671875" customWidth="1"/>
    <col min="6" max="6" width="13.88671875" customWidth="1"/>
    <col min="9" max="9" width="13.88671875" customWidth="1"/>
    <col min="10" max="10" width="20.88671875" customWidth="1"/>
  </cols>
  <sheetData>
    <row r="1" spans="1:17" ht="18" x14ac:dyDescent="0.35">
      <c r="A1" s="51" t="s">
        <v>216</v>
      </c>
    </row>
    <row r="2" spans="1:17" x14ac:dyDescent="0.3">
      <c r="A2" t="s">
        <v>217</v>
      </c>
    </row>
    <row r="3" spans="1:17" x14ac:dyDescent="0.3">
      <c r="A3" t="s">
        <v>58</v>
      </c>
    </row>
    <row r="4" spans="1:17" x14ac:dyDescent="0.3">
      <c r="A4" t="s">
        <v>50</v>
      </c>
    </row>
    <row r="5" spans="1:17" x14ac:dyDescent="0.3">
      <c r="A5" t="s">
        <v>51</v>
      </c>
    </row>
    <row r="6" spans="1:17" x14ac:dyDescent="0.3">
      <c r="A6" t="s">
        <v>52</v>
      </c>
    </row>
    <row r="7" spans="1:17" ht="18" x14ac:dyDescent="0.35">
      <c r="A7" s="51" t="s">
        <v>2103</v>
      </c>
    </row>
    <row r="8" spans="1:17" x14ac:dyDescent="0.3">
      <c r="A8" s="19" t="s">
        <v>49</v>
      </c>
    </row>
    <row r="9" spans="1:17" x14ac:dyDescent="0.3">
      <c r="A9" t="s">
        <v>53</v>
      </c>
    </row>
    <row r="10" spans="1:17" x14ac:dyDescent="0.3">
      <c r="A10" s="32" t="s">
        <v>1189</v>
      </c>
      <c r="B10" s="32" t="s">
        <v>1180</v>
      </c>
      <c r="C10" s="21"/>
      <c r="D10" s="21"/>
      <c r="E10" s="32" t="s">
        <v>2007</v>
      </c>
      <c r="H10" s="59" t="s">
        <v>1185</v>
      </c>
      <c r="I10" s="59"/>
      <c r="J10" s="59"/>
      <c r="K10" s="59"/>
      <c r="L10" s="59"/>
      <c r="M10" s="59"/>
      <c r="N10" s="59"/>
      <c r="O10" s="59"/>
      <c r="P10" s="59"/>
      <c r="Q10" s="59"/>
    </row>
    <row r="11" spans="1:17" ht="15.6" x14ac:dyDescent="0.3">
      <c r="A11" s="444" t="s">
        <v>1178</v>
      </c>
      <c r="B11" s="490">
        <f>284.9*H19</f>
        <v>388.57435406698556</v>
      </c>
      <c r="C11" s="444"/>
      <c r="D11" s="444"/>
      <c r="E11" s="445">
        <f>B11*'indice PIL pro capite'!$C$19</f>
        <v>464.44232375486928</v>
      </c>
      <c r="F11" t="s">
        <v>2153</v>
      </c>
      <c r="H11" s="59" t="s">
        <v>1184</v>
      </c>
      <c r="I11" s="59"/>
      <c r="J11" s="59"/>
      <c r="K11" s="59"/>
      <c r="L11" s="59"/>
      <c r="M11" s="59"/>
      <c r="N11" s="59"/>
      <c r="O11" s="59"/>
      <c r="P11" s="59"/>
      <c r="Q11" s="59"/>
    </row>
    <row r="12" spans="1:17" x14ac:dyDescent="0.3">
      <c r="A12" s="389" t="s">
        <v>55</v>
      </c>
      <c r="B12" s="355">
        <f>(+B11+B13)/2</f>
        <v>649.28717703349275</v>
      </c>
      <c r="C12" s="389"/>
      <c r="D12" s="389"/>
      <c r="E12" s="355">
        <f>B12*'indice PIL pro capite'!$C$19</f>
        <v>776.05853842245563</v>
      </c>
      <c r="F12" t="s">
        <v>2154</v>
      </c>
      <c r="H12" s="59" t="s">
        <v>1186</v>
      </c>
      <c r="I12" s="59"/>
      <c r="J12" s="59"/>
      <c r="K12" s="59"/>
      <c r="L12" s="59"/>
      <c r="M12" s="59"/>
      <c r="N12" s="59"/>
      <c r="O12" s="59"/>
      <c r="P12" s="59"/>
      <c r="Q12" s="59"/>
    </row>
    <row r="13" spans="1:17" x14ac:dyDescent="0.3">
      <c r="A13" s="389" t="s">
        <v>1179</v>
      </c>
      <c r="B13" s="355">
        <v>910</v>
      </c>
      <c r="C13" s="389">
        <f>B13/B11</f>
        <v>2.3418941329389096</v>
      </c>
      <c r="D13" s="389"/>
      <c r="E13" s="355">
        <f>B13*'indice PIL pro capite'!$C$19</f>
        <v>1087.674753090042</v>
      </c>
      <c r="H13" s="59" t="s">
        <v>1187</v>
      </c>
      <c r="I13" s="59"/>
      <c r="J13" s="59"/>
      <c r="K13" s="59"/>
      <c r="L13" s="59"/>
      <c r="M13" s="59"/>
      <c r="N13" s="59"/>
      <c r="O13" s="59"/>
      <c r="P13" s="59"/>
      <c r="Q13" s="59"/>
    </row>
    <row r="14" spans="1:17" x14ac:dyDescent="0.3">
      <c r="A14" s="442" t="s">
        <v>57</v>
      </c>
      <c r="B14" s="442" t="s">
        <v>1180</v>
      </c>
      <c r="C14" s="443"/>
      <c r="D14" s="443"/>
      <c r="E14" s="442" t="s">
        <v>2007</v>
      </c>
      <c r="H14" s="59" t="s">
        <v>1183</v>
      </c>
      <c r="I14" s="59"/>
      <c r="J14" s="59"/>
      <c r="K14" s="59"/>
      <c r="L14" s="59"/>
      <c r="M14" s="59"/>
      <c r="N14" s="59"/>
      <c r="O14" s="59"/>
      <c r="P14" s="59"/>
      <c r="Q14" s="59"/>
    </row>
    <row r="15" spans="1:17" x14ac:dyDescent="0.3">
      <c r="A15" s="443" t="s">
        <v>1178</v>
      </c>
      <c r="B15" s="443">
        <v>234.9</v>
      </c>
      <c r="C15" s="443"/>
      <c r="D15" s="443"/>
      <c r="E15" s="191">
        <f>B15*'indice PIL pro capite'!$C$19</f>
        <v>280.76351593500095</v>
      </c>
      <c r="H15" s="59" t="s">
        <v>1182</v>
      </c>
      <c r="I15" s="59"/>
      <c r="J15" s="59"/>
      <c r="K15" s="59"/>
      <c r="L15" s="59"/>
      <c r="M15" s="59"/>
      <c r="N15" s="59"/>
      <c r="O15" s="59"/>
      <c r="P15" s="59"/>
      <c r="Q15" s="59"/>
    </row>
    <row r="16" spans="1:17" x14ac:dyDescent="0.3">
      <c r="A16" s="443" t="s">
        <v>55</v>
      </c>
      <c r="B16" s="191">
        <f>(+B15+B17)/2</f>
        <v>464.3</v>
      </c>
      <c r="C16" s="443"/>
      <c r="D16" s="443"/>
      <c r="E16" s="191">
        <f>B16*'indice PIL pro capite'!$C$19</f>
        <v>554.95317347220498</v>
      </c>
      <c r="H16" s="59" t="s">
        <v>1188</v>
      </c>
      <c r="I16" s="59"/>
      <c r="J16" s="59"/>
      <c r="K16" s="59"/>
      <c r="L16" s="59"/>
      <c r="M16" s="59"/>
      <c r="N16" s="59"/>
      <c r="O16" s="59"/>
      <c r="P16" s="59"/>
      <c r="Q16" s="59"/>
    </row>
    <row r="17" spans="1:15" x14ac:dyDescent="0.3">
      <c r="A17" s="443" t="s">
        <v>1179</v>
      </c>
      <c r="B17" s="443">
        <v>693.7</v>
      </c>
      <c r="C17" s="443">
        <f>B17/B15</f>
        <v>2.9531715623669648</v>
      </c>
      <c r="D17" s="443"/>
      <c r="E17" s="191">
        <f>B17*'indice PIL pro capite'!$C$19</f>
        <v>829.14283100940895</v>
      </c>
      <c r="H17" s="59" t="s">
        <v>1483</v>
      </c>
    </row>
    <row r="18" spans="1:15" ht="43.8" thickBot="1" x14ac:dyDescent="0.35">
      <c r="A18" s="86" t="s">
        <v>1181</v>
      </c>
      <c r="B18" s="32" t="s">
        <v>1180</v>
      </c>
      <c r="C18" s="21"/>
      <c r="D18" s="21"/>
      <c r="E18" s="32" t="s">
        <v>2008</v>
      </c>
      <c r="F18" t="s">
        <v>12</v>
      </c>
      <c r="H18" s="547" t="s">
        <v>1484</v>
      </c>
      <c r="I18" s="59"/>
      <c r="J18" s="59"/>
      <c r="K18" s="59"/>
      <c r="L18" s="59"/>
      <c r="M18" s="59"/>
      <c r="N18" s="59"/>
      <c r="O18" s="59"/>
    </row>
    <row r="19" spans="1:15" ht="15" thickBot="1" x14ac:dyDescent="0.35">
      <c r="A19" s="21" t="s">
        <v>1178</v>
      </c>
      <c r="B19" s="78">
        <f>B11+B15</f>
        <v>623.4743540669856</v>
      </c>
      <c r="C19" s="21"/>
      <c r="D19" s="21"/>
      <c r="E19" s="78">
        <f>B19*'indice PIL pro capite'!$C$19</f>
        <v>745.20583968987023</v>
      </c>
      <c r="F19" s="1">
        <f>E11+E15</f>
        <v>745.20583968987023</v>
      </c>
      <c r="H19" s="484">
        <f>31356/22990</f>
        <v>1.3638973466724662</v>
      </c>
      <c r="I19" s="19" t="s">
        <v>1256</v>
      </c>
    </row>
    <row r="20" spans="1:15" x14ac:dyDescent="0.3">
      <c r="A20" s="443" t="s">
        <v>55</v>
      </c>
      <c r="B20" s="191">
        <f>B12+B16</f>
        <v>1113.5871770334927</v>
      </c>
      <c r="C20" s="443"/>
      <c r="D20" s="443"/>
      <c r="E20" s="191">
        <f>B20*'indice PIL pro capite'!$C$19</f>
        <v>1331.0117118946605</v>
      </c>
      <c r="F20" s="1">
        <f>E12+E16</f>
        <v>1331.0117118946605</v>
      </c>
    </row>
    <row r="21" spans="1:15" x14ac:dyDescent="0.3">
      <c r="A21" s="443" t="s">
        <v>1179</v>
      </c>
      <c r="B21" s="191">
        <f>B13+B17</f>
        <v>1603.7</v>
      </c>
      <c r="C21" s="443"/>
      <c r="D21" s="443"/>
      <c r="E21" s="191">
        <f>B21*'indice PIL pro capite'!$C$19</f>
        <v>1916.8175840994509</v>
      </c>
      <c r="F21" s="1">
        <f>E13+E17</f>
        <v>1916.8175840994509</v>
      </c>
    </row>
    <row r="22" spans="1:15" ht="15.6" x14ac:dyDescent="0.3">
      <c r="A22" s="253" t="s">
        <v>2009</v>
      </c>
    </row>
    <row r="23" spans="1:15" ht="73.5" customHeight="1" x14ac:dyDescent="0.3">
      <c r="A23" s="428" t="s">
        <v>174</v>
      </c>
      <c r="B23" s="429" t="s">
        <v>129</v>
      </c>
      <c r="C23" s="430" t="s">
        <v>1168</v>
      </c>
      <c r="D23" s="430" t="s">
        <v>1140</v>
      </c>
      <c r="E23" s="430" t="s">
        <v>1141</v>
      </c>
      <c r="F23" s="549" t="s">
        <v>1142</v>
      </c>
      <c r="G23" s="429" t="s">
        <v>133</v>
      </c>
      <c r="H23" s="429" t="s">
        <v>134</v>
      </c>
      <c r="I23" s="430" t="s">
        <v>1165</v>
      </c>
      <c r="J23" s="430" t="s">
        <v>1166</v>
      </c>
    </row>
    <row r="24" spans="1:15" x14ac:dyDescent="0.3">
      <c r="A24" s="431" t="s">
        <v>1167</v>
      </c>
      <c r="B24" s="546"/>
      <c r="C24" s="432"/>
      <c r="D24" s="432"/>
      <c r="E24" s="432"/>
      <c r="F24" s="708">
        <f t="shared" ref="F24:F31" si="0">$E$11</f>
        <v>464.44232375486928</v>
      </c>
      <c r="G24" s="432"/>
      <c r="H24" s="432"/>
      <c r="I24" s="432"/>
      <c r="J24" s="432"/>
    </row>
    <row r="25" spans="1:15" ht="28.2" x14ac:dyDescent="0.3">
      <c r="A25" s="431" t="s">
        <v>1168</v>
      </c>
      <c r="B25" s="432"/>
      <c r="C25" s="546"/>
      <c r="D25" s="432"/>
      <c r="E25" s="432"/>
      <c r="F25" s="708">
        <f t="shared" si="0"/>
        <v>464.44232375486928</v>
      </c>
      <c r="G25" s="432"/>
      <c r="H25" s="432"/>
      <c r="I25" s="432"/>
      <c r="J25" s="432"/>
    </row>
    <row r="26" spans="1:15" ht="28.2" x14ac:dyDescent="0.3">
      <c r="A26" s="431" t="s">
        <v>1140</v>
      </c>
      <c r="B26" s="432"/>
      <c r="C26" s="432"/>
      <c r="D26" s="546"/>
      <c r="E26" s="432"/>
      <c r="F26" s="708">
        <f t="shared" si="0"/>
        <v>464.44232375486928</v>
      </c>
      <c r="G26" s="432"/>
      <c r="H26" s="432"/>
      <c r="I26" s="432"/>
      <c r="J26" s="432"/>
    </row>
    <row r="27" spans="1:15" ht="28.2" x14ac:dyDescent="0.3">
      <c r="A27" s="431" t="s">
        <v>1141</v>
      </c>
      <c r="B27" s="432"/>
      <c r="C27" s="432"/>
      <c r="D27" s="432"/>
      <c r="E27" s="546"/>
      <c r="F27" s="708">
        <f t="shared" si="0"/>
        <v>464.44232375486928</v>
      </c>
      <c r="G27" s="432"/>
      <c r="H27" s="432"/>
      <c r="I27" s="432"/>
      <c r="J27" s="432"/>
    </row>
    <row r="28" spans="1:15" ht="28.2" x14ac:dyDescent="0.3">
      <c r="A28" s="548" t="s">
        <v>1142</v>
      </c>
      <c r="B28" s="708">
        <f>-$E$11</f>
        <v>-464.44232375486928</v>
      </c>
      <c r="C28" s="708">
        <f t="shared" ref="C28:E28" si="1">-$E$11</f>
        <v>-464.44232375486928</v>
      </c>
      <c r="D28" s="708">
        <f t="shared" si="1"/>
        <v>-464.44232375486928</v>
      </c>
      <c r="E28" s="708">
        <f t="shared" si="1"/>
        <v>-464.44232375486928</v>
      </c>
      <c r="F28" s="708">
        <f t="shared" si="0"/>
        <v>464.44232375486928</v>
      </c>
      <c r="G28" s="708">
        <f>-$E$11</f>
        <v>-464.44232375486928</v>
      </c>
      <c r="H28" s="708">
        <f t="shared" ref="H28:J28" si="2">-$E$11</f>
        <v>-464.44232375486928</v>
      </c>
      <c r="I28" s="708">
        <f t="shared" si="2"/>
        <v>-464.44232375486928</v>
      </c>
      <c r="J28" s="708">
        <f t="shared" si="2"/>
        <v>-464.44232375486928</v>
      </c>
    </row>
    <row r="29" spans="1:15" x14ac:dyDescent="0.3">
      <c r="A29" s="431" t="s">
        <v>133</v>
      </c>
      <c r="B29" s="432"/>
      <c r="C29" s="432"/>
      <c r="D29" s="432"/>
      <c r="E29" s="432"/>
      <c r="F29" s="708">
        <f t="shared" si="0"/>
        <v>464.44232375486928</v>
      </c>
      <c r="G29" s="546"/>
      <c r="H29" s="432"/>
      <c r="I29" s="432"/>
      <c r="J29" s="432"/>
    </row>
    <row r="30" spans="1:15" x14ac:dyDescent="0.3">
      <c r="A30" s="431" t="s">
        <v>134</v>
      </c>
      <c r="B30" s="432"/>
      <c r="C30" s="432"/>
      <c r="D30" s="432"/>
      <c r="E30" s="432"/>
      <c r="F30" s="708">
        <f t="shared" si="0"/>
        <v>464.44232375486928</v>
      </c>
      <c r="G30" s="432"/>
      <c r="H30" s="546"/>
      <c r="I30" s="432"/>
      <c r="J30" s="432"/>
    </row>
    <row r="31" spans="1:15" ht="28.2" x14ac:dyDescent="0.3">
      <c r="A31" s="431" t="s">
        <v>1165</v>
      </c>
      <c r="B31" s="432"/>
      <c r="C31" s="432"/>
      <c r="D31" s="432"/>
      <c r="E31" s="432"/>
      <c r="F31" s="708">
        <f t="shared" si="0"/>
        <v>464.44232375486928</v>
      </c>
      <c r="G31" s="432"/>
      <c r="H31" s="432"/>
      <c r="I31" s="546"/>
      <c r="J31" s="432"/>
    </row>
    <row r="32" spans="1:15" ht="28.2" x14ac:dyDescent="0.3">
      <c r="A32" s="431" t="s">
        <v>1166</v>
      </c>
      <c r="B32" s="432"/>
      <c r="C32" s="432"/>
      <c r="D32" s="432"/>
      <c r="E32" s="432"/>
      <c r="F32" s="708">
        <f>$E$11</f>
        <v>464.44232375486928</v>
      </c>
      <c r="G32" s="432"/>
      <c r="H32" s="432"/>
      <c r="I32" s="432"/>
      <c r="J32" s="546"/>
    </row>
    <row r="35" spans="1:9" x14ac:dyDescent="0.3">
      <c r="A35" s="1273" t="s">
        <v>2116</v>
      </c>
      <c r="B35" s="1186"/>
      <c r="C35" s="1186"/>
      <c r="D35" s="1186"/>
      <c r="E35" s="1186"/>
      <c r="F35" s="1186"/>
      <c r="G35" s="1186"/>
      <c r="H35" s="1186"/>
      <c r="I35" s="1186"/>
    </row>
    <row r="36" spans="1:9" x14ac:dyDescent="0.3">
      <c r="A36" s="1186"/>
      <c r="B36" s="1186"/>
      <c r="C36" s="1186"/>
      <c r="D36" s="1186"/>
      <c r="E36" s="1186"/>
      <c r="F36" s="1186"/>
      <c r="G36" s="1186"/>
      <c r="H36" s="1186"/>
      <c r="I36" s="1186"/>
    </row>
    <row r="37" spans="1:9" ht="72" x14ac:dyDescent="0.3">
      <c r="A37" s="787" t="s">
        <v>2102</v>
      </c>
      <c r="B37" s="789" t="s">
        <v>2101</v>
      </c>
      <c r="C37" s="310" t="s">
        <v>2099</v>
      </c>
      <c r="D37" s="789" t="s">
        <v>2090</v>
      </c>
      <c r="E37" s="310" t="s">
        <v>2100</v>
      </c>
      <c r="F37" s="785"/>
      <c r="G37" s="785"/>
      <c r="H37" s="785"/>
      <c r="I37" s="785"/>
    </row>
    <row r="38" spans="1:9" ht="100.95" customHeight="1" x14ac:dyDescent="0.3">
      <c r="A38" s="788" t="s">
        <v>2083</v>
      </c>
      <c r="B38" t="s">
        <v>2090</v>
      </c>
      <c r="C38" s="873" t="s">
        <v>2098</v>
      </c>
      <c r="D38" s="785" t="s">
        <v>2092</v>
      </c>
      <c r="E38" s="785"/>
      <c r="F38" s="785"/>
    </row>
    <row r="39" spans="1:9" ht="28.8" x14ac:dyDescent="0.3">
      <c r="A39" s="788" t="s">
        <v>2084</v>
      </c>
      <c r="B39" t="s">
        <v>2090</v>
      </c>
      <c r="C39" s="873" t="s">
        <v>2097</v>
      </c>
      <c r="D39" s="785"/>
      <c r="E39" s="785"/>
      <c r="F39" s="785"/>
    </row>
    <row r="40" spans="1:9" ht="28.8" x14ac:dyDescent="0.3">
      <c r="A40" s="788" t="s">
        <v>2085</v>
      </c>
      <c r="B40" t="s">
        <v>2090</v>
      </c>
      <c r="C40" s="873" t="s">
        <v>2096</v>
      </c>
      <c r="D40" s="785"/>
      <c r="E40" s="785"/>
      <c r="F40" s="785"/>
    </row>
    <row r="41" spans="1:9" ht="43.2" x14ac:dyDescent="0.3">
      <c r="A41" s="788" t="s">
        <v>2086</v>
      </c>
      <c r="B41" t="s">
        <v>2090</v>
      </c>
      <c r="C41" s="873" t="s">
        <v>2095</v>
      </c>
      <c r="D41" s="785"/>
      <c r="E41" s="785"/>
      <c r="F41" s="785"/>
    </row>
    <row r="42" spans="1:9" ht="28.8" x14ac:dyDescent="0.3">
      <c r="A42" s="788" t="s">
        <v>2087</v>
      </c>
      <c r="B42" t="s">
        <v>2090</v>
      </c>
      <c r="C42" s="873" t="s">
        <v>2094</v>
      </c>
      <c r="D42" s="785"/>
      <c r="E42" s="785"/>
      <c r="F42" s="785"/>
    </row>
    <row r="43" spans="1:9" ht="100.8" x14ac:dyDescent="0.3">
      <c r="A43" s="373" t="s">
        <v>2088</v>
      </c>
      <c r="B43" t="s">
        <v>2090</v>
      </c>
      <c r="C43" s="785" t="s">
        <v>2091</v>
      </c>
    </row>
    <row r="44" spans="1:9" x14ac:dyDescent="0.3">
      <c r="A44" s="373" t="s">
        <v>2089</v>
      </c>
      <c r="B44" t="s">
        <v>2090</v>
      </c>
      <c r="C44" t="s">
        <v>2093</v>
      </c>
    </row>
    <row r="46" spans="1:9" ht="19.95" customHeight="1" x14ac:dyDescent="0.3">
      <c r="A46" s="1274" t="s">
        <v>2119</v>
      </c>
      <c r="B46" s="1278" t="s">
        <v>2156</v>
      </c>
      <c r="C46" s="1279"/>
      <c r="D46" s="1275" t="s">
        <v>2157</v>
      </c>
      <c r="E46" s="1284" t="s">
        <v>2155</v>
      </c>
    </row>
    <row r="47" spans="1:9" ht="19.95" customHeight="1" x14ac:dyDescent="0.3">
      <c r="A47" s="1274"/>
      <c r="B47" s="1280"/>
      <c r="C47" s="1281"/>
      <c r="D47" s="1276"/>
      <c r="E47" s="1284"/>
    </row>
    <row r="48" spans="1:9" ht="19.95" customHeight="1" x14ac:dyDescent="0.3">
      <c r="A48" s="1274"/>
      <c r="B48" s="1282"/>
      <c r="C48" s="1283"/>
      <c r="D48" s="1277"/>
      <c r="E48" s="1284"/>
    </row>
    <row r="49" spans="1:7" x14ac:dyDescent="0.3">
      <c r="A49" s="1274"/>
      <c r="B49" s="903" t="s">
        <v>2146</v>
      </c>
      <c r="C49" s="903" t="s">
        <v>1981</v>
      </c>
      <c r="D49" s="903" t="s">
        <v>2146</v>
      </c>
      <c r="E49" s="904" t="s">
        <v>2015</v>
      </c>
    </row>
    <row r="50" spans="1:7" x14ac:dyDescent="0.3">
      <c r="A50" s="895" t="s">
        <v>1584</v>
      </c>
      <c r="B50" s="896">
        <f>'INF2005'!AV7</f>
        <v>420986.30000000005</v>
      </c>
      <c r="C50" s="897">
        <f>'INF2005'!AW7</f>
        <v>0.48449295874172282</v>
      </c>
      <c r="D50" s="896">
        <f>'INF2005'!AX7</f>
        <v>868921.4</v>
      </c>
      <c r="E50" s="898">
        <f t="shared" ref="E50:E70" si="3">$E$11*C50</f>
        <v>225.01903560087774</v>
      </c>
      <c r="F50" s="84">
        <f>$E$11*C50/$C$71</f>
        <v>331.50040270983385</v>
      </c>
      <c r="G50">
        <f>E71*C50/C71</f>
        <v>225.01903560087777</v>
      </c>
    </row>
    <row r="51" spans="1:7" x14ac:dyDescent="0.3">
      <c r="A51" s="895" t="s">
        <v>2148</v>
      </c>
      <c r="B51" s="896">
        <f>'INF2005'!AV8</f>
        <v>41348.9</v>
      </c>
      <c r="C51" s="897">
        <f>'INF2005'!AW8</f>
        <v>0.40929535974406239</v>
      </c>
      <c r="D51" s="896">
        <f>'INF2005'!AX8</f>
        <v>101024.59999999999</v>
      </c>
      <c r="E51" s="898">
        <f t="shared" si="3"/>
        <v>190.09408798161752</v>
      </c>
      <c r="F51" s="84">
        <f t="shared" ref="F51:F71" si="4">$E$11*C51/$C$71</f>
        <v>280.04860366764001</v>
      </c>
    </row>
    <row r="52" spans="1:7" x14ac:dyDescent="0.3">
      <c r="A52" s="895" t="s">
        <v>1460</v>
      </c>
      <c r="B52" s="896">
        <f>'INF2005'!AV9</f>
        <v>312476.10000000003</v>
      </c>
      <c r="C52" s="897">
        <f>'INF2005'!AW9</f>
        <v>0.51296614952440711</v>
      </c>
      <c r="D52" s="896">
        <f>'INF2005'!AX9</f>
        <v>609155.4</v>
      </c>
      <c r="E52" s="898">
        <f t="shared" si="3"/>
        <v>238.24319049270338</v>
      </c>
      <c r="F52" s="84">
        <f t="shared" si="4"/>
        <v>350.98236635984745</v>
      </c>
    </row>
    <row r="53" spans="1:7" x14ac:dyDescent="0.3">
      <c r="A53" s="895" t="s">
        <v>2149</v>
      </c>
      <c r="B53" s="896">
        <f>'INF2005'!AV10</f>
        <v>225728.7</v>
      </c>
      <c r="C53" s="897">
        <f>'INF2005'!AW10</f>
        <v>0.63049803570505836</v>
      </c>
      <c r="D53" s="896">
        <f>'INF2005'!AX10</f>
        <v>358016.5</v>
      </c>
      <c r="E53" s="898">
        <f t="shared" si="3"/>
        <v>292.82997282573785</v>
      </c>
      <c r="F53" s="84">
        <f t="shared" si="4"/>
        <v>431.40018646877155</v>
      </c>
    </row>
    <row r="54" spans="1:7" x14ac:dyDescent="0.3">
      <c r="A54" s="895" t="s">
        <v>2150</v>
      </c>
      <c r="B54" s="896">
        <f>'INF2005'!AV11</f>
        <v>250621.1</v>
      </c>
      <c r="C54" s="897">
        <f>'INF2005'!AW11</f>
        <v>0.63422609294198184</v>
      </c>
      <c r="D54" s="896">
        <f>'INF2005'!AX11</f>
        <v>395160.5</v>
      </c>
      <c r="E54" s="898">
        <f t="shared" si="3"/>
        <v>294.56144039194572</v>
      </c>
      <c r="F54" s="84">
        <f t="shared" si="4"/>
        <v>433.95100264280853</v>
      </c>
    </row>
    <row r="55" spans="1:7" x14ac:dyDescent="0.3">
      <c r="A55" s="895" t="s">
        <v>1461</v>
      </c>
      <c r="B55" s="896">
        <f>'INF2005'!AV12</f>
        <v>225174.00000000006</v>
      </c>
      <c r="C55" s="897">
        <f>'INF2005'!AW12</f>
        <v>0.53862728907149271</v>
      </c>
      <c r="D55" s="896">
        <f>'INF2005'!AX12</f>
        <v>418051.60000000003</v>
      </c>
      <c r="E55" s="898">
        <f t="shared" si="3"/>
        <v>250.16130977414977</v>
      </c>
      <c r="F55" s="84">
        <f t="shared" si="4"/>
        <v>368.54026465406582</v>
      </c>
    </row>
    <row r="56" spans="1:7" x14ac:dyDescent="0.3">
      <c r="A56" s="895" t="s">
        <v>2151</v>
      </c>
      <c r="B56" s="896">
        <f>'INF2005'!AV13</f>
        <v>198433.3</v>
      </c>
      <c r="C56" s="897">
        <f>'INF2005'!AW13</f>
        <v>0.60084491749004032</v>
      </c>
      <c r="D56" s="896">
        <f>'INF2005'!AX13</f>
        <v>330257.09999999998</v>
      </c>
      <c r="E56" s="898">
        <f t="shared" si="3"/>
        <v>279.05780969537705</v>
      </c>
      <c r="F56" s="84">
        <f t="shared" si="4"/>
        <v>411.11089133554538</v>
      </c>
    </row>
    <row r="57" spans="1:7" x14ac:dyDescent="0.3">
      <c r="A57" s="895" t="s">
        <v>1581</v>
      </c>
      <c r="B57" s="896">
        <f>'INF2005'!AV14</f>
        <v>261541.2</v>
      </c>
      <c r="C57" s="897">
        <f>'INF2005'!AW14</f>
        <v>0.75795773725411553</v>
      </c>
      <c r="D57" s="896">
        <f>'INF2005'!AX14</f>
        <v>345060.4</v>
      </c>
      <c r="E57" s="898">
        <f t="shared" si="3"/>
        <v>352.02765279828407</v>
      </c>
      <c r="F57" s="84">
        <f t="shared" si="4"/>
        <v>518.61082932831448</v>
      </c>
    </row>
    <row r="58" spans="1:7" x14ac:dyDescent="0.3">
      <c r="A58" s="905" t="s">
        <v>504</v>
      </c>
      <c r="B58" s="906">
        <f>'INF2005'!AV15</f>
        <v>348362.6</v>
      </c>
      <c r="C58" s="907">
        <f>'INF2005'!AW15</f>
        <v>0.61905299246696532</v>
      </c>
      <c r="D58" s="906">
        <f>'INF2005'!AX15</f>
        <v>562734.69999999995</v>
      </c>
      <c r="E58" s="908">
        <f t="shared" si="3"/>
        <v>287.51441034876296</v>
      </c>
      <c r="F58" s="84">
        <f t="shared" si="4"/>
        <v>423.56924409075884</v>
      </c>
    </row>
    <row r="59" spans="1:7" x14ac:dyDescent="0.3">
      <c r="A59" s="895" t="s">
        <v>1466</v>
      </c>
      <c r="B59" s="896">
        <f>'INF2005'!AV16</f>
        <v>842004.10000000009</v>
      </c>
      <c r="C59" s="897">
        <f>'INF2005'!AW16</f>
        <v>0.80387010973441875</v>
      </c>
      <c r="D59" s="896">
        <f>'INF2005'!AX16</f>
        <v>1047438</v>
      </c>
      <c r="E59" s="898">
        <f t="shared" si="3"/>
        <v>373.35130176213522</v>
      </c>
      <c r="F59" s="84">
        <f t="shared" si="4"/>
        <v>550.02505257339988</v>
      </c>
    </row>
    <row r="60" spans="1:7" x14ac:dyDescent="0.3">
      <c r="A60" s="895" t="s">
        <v>1570</v>
      </c>
      <c r="B60" s="896">
        <f>'INF2005'!AV17</f>
        <v>290130.3</v>
      </c>
      <c r="C60" s="897">
        <f>'INF2005'!AW17</f>
        <v>0.7716182130752357</v>
      </c>
      <c r="D60" s="896">
        <f>'INF2005'!AX17</f>
        <v>376002.39999999997</v>
      </c>
      <c r="E60" s="898">
        <f t="shared" si="3"/>
        <v>358.37215593224232</v>
      </c>
      <c r="F60" s="84">
        <f t="shared" si="4"/>
        <v>527.95761787126901</v>
      </c>
    </row>
    <row r="61" spans="1:7" x14ac:dyDescent="0.3">
      <c r="A61" s="895" t="s">
        <v>1467</v>
      </c>
      <c r="B61" s="896">
        <f>'INF2005'!AV18</f>
        <v>131518.9</v>
      </c>
      <c r="C61" s="897">
        <f>'INF2005'!AW18</f>
        <v>0.44806848909510322</v>
      </c>
      <c r="D61" s="896">
        <f>'INF2005'!AX18</f>
        <v>293524.10000000003</v>
      </c>
      <c r="E61" s="898">
        <f t="shared" si="3"/>
        <v>208.10197027666305</v>
      </c>
      <c r="F61" s="84">
        <f t="shared" si="4"/>
        <v>306.57800468839349</v>
      </c>
    </row>
    <row r="62" spans="1:7" x14ac:dyDescent="0.3">
      <c r="A62" s="895" t="s">
        <v>1465</v>
      </c>
      <c r="B62" s="896">
        <f>'INF2005'!AV19</f>
        <v>391175.1</v>
      </c>
      <c r="C62" s="897">
        <f>'INF2005'!AW19</f>
        <v>0.68465152309655808</v>
      </c>
      <c r="D62" s="896">
        <f>'INF2005'!AX19</f>
        <v>571349.19999999995</v>
      </c>
      <c r="E62" s="898">
        <f t="shared" si="3"/>
        <v>317.98114434927601</v>
      </c>
      <c r="F62" s="84">
        <f t="shared" si="4"/>
        <v>468.45315608270977</v>
      </c>
    </row>
    <row r="63" spans="1:7" x14ac:dyDescent="0.3">
      <c r="A63" s="895" t="s">
        <v>1464</v>
      </c>
      <c r="B63" s="896">
        <f>'INF2005'!AV20</f>
        <v>273263.5</v>
      </c>
      <c r="C63" s="897">
        <f>'INF2005'!AW20</f>
        <v>0.65992063472897144</v>
      </c>
      <c r="D63" s="896">
        <f>'INF2005'!AX20</f>
        <v>414085.39999999997</v>
      </c>
      <c r="E63" s="898">
        <f t="shared" si="3"/>
        <v>306.49507308731177</v>
      </c>
      <c r="F63" s="84">
        <f t="shared" si="4"/>
        <v>451.53175546108099</v>
      </c>
    </row>
    <row r="64" spans="1:7" x14ac:dyDescent="0.3">
      <c r="A64" s="895" t="s">
        <v>1463</v>
      </c>
      <c r="B64" s="896">
        <f>'INF2005'!AV21</f>
        <v>108776</v>
      </c>
      <c r="C64" s="897">
        <f>'INF2005'!AW21</f>
        <v>0.78432107729502387</v>
      </c>
      <c r="D64" s="896">
        <f>'INF2005'!AX21</f>
        <v>138688.1</v>
      </c>
      <c r="E64" s="898">
        <f t="shared" si="3"/>
        <v>364.27190370882334</v>
      </c>
      <c r="F64" s="84">
        <f t="shared" si="4"/>
        <v>536.64918815820272</v>
      </c>
    </row>
    <row r="65" spans="1:6" x14ac:dyDescent="0.3">
      <c r="A65" s="895" t="s">
        <v>1569</v>
      </c>
      <c r="B65" s="896">
        <f>'INF2005'!AV22</f>
        <v>305241.5</v>
      </c>
      <c r="C65" s="897">
        <f>'INF2005'!AW22</f>
        <v>0.74749841251649618</v>
      </c>
      <c r="D65" s="896">
        <f>'INF2005'!AX22</f>
        <v>408350.7</v>
      </c>
      <c r="E65" s="898">
        <f t="shared" si="3"/>
        <v>347.16989971223734</v>
      </c>
      <c r="F65" s="84">
        <f t="shared" si="4"/>
        <v>511.4543365454295</v>
      </c>
    </row>
    <row r="66" spans="1:6" x14ac:dyDescent="0.3">
      <c r="A66" s="895" t="s">
        <v>1469</v>
      </c>
      <c r="B66" s="896">
        <f>'INF2005'!AV23</f>
        <v>131906.19999999998</v>
      </c>
      <c r="C66" s="897">
        <f>'INF2005'!AW23</f>
        <v>0.8171295507609353</v>
      </c>
      <c r="D66" s="896">
        <f>'INF2005'!AX23</f>
        <v>161426.30000000002</v>
      </c>
      <c r="E66" s="898">
        <f t="shared" si="3"/>
        <v>379.50954736418117</v>
      </c>
      <c r="F66" s="84">
        <f t="shared" si="4"/>
        <v>559.09744456731676</v>
      </c>
    </row>
    <row r="67" spans="1:6" x14ac:dyDescent="0.3">
      <c r="A67" s="905" t="s">
        <v>498</v>
      </c>
      <c r="B67" s="906">
        <f>'INF2005'!AV24</f>
        <v>248622.30000000002</v>
      </c>
      <c r="C67" s="907">
        <f>'INF2005'!AW24</f>
        <v>0.79126157665255725</v>
      </c>
      <c r="D67" s="906">
        <f>'INF2005'!AX24</f>
        <v>314210</v>
      </c>
      <c r="E67" s="908">
        <f t="shared" si="3"/>
        <v>367.49536535845533</v>
      </c>
      <c r="F67" s="84">
        <f t="shared" si="4"/>
        <v>541.39802566041328</v>
      </c>
    </row>
    <row r="68" spans="1:6" x14ac:dyDescent="0.3">
      <c r="A68" s="895" t="s">
        <v>1468</v>
      </c>
      <c r="B68" s="896">
        <f>'INF2005'!AV25</f>
        <v>398745.8</v>
      </c>
      <c r="C68" s="897">
        <f>'INF2005'!AW25</f>
        <v>0.82335941199026286</v>
      </c>
      <c r="D68" s="896">
        <f>'INF2005'!AX25</f>
        <v>484291.3</v>
      </c>
      <c r="E68" s="898">
        <f t="shared" si="3"/>
        <v>382.40295859020046</v>
      </c>
      <c r="F68" s="84">
        <f t="shared" si="4"/>
        <v>563.36004832467995</v>
      </c>
    </row>
    <row r="69" spans="1:6" x14ac:dyDescent="0.3">
      <c r="A69" s="895" t="s">
        <v>1568</v>
      </c>
      <c r="B69" s="896">
        <f>'INF2005'!AV26</f>
        <v>210559.59999999998</v>
      </c>
      <c r="C69" s="897">
        <f>'INF2005'!AW26</f>
        <v>0.69032652546026496</v>
      </c>
      <c r="D69" s="896">
        <f>'INF2005'!AX26</f>
        <v>305014.5</v>
      </c>
      <c r="E69" s="898">
        <f t="shared" si="3"/>
        <v>320.61685563439039</v>
      </c>
      <c r="F69" s="84">
        <f t="shared" si="4"/>
        <v>472.3361135849899</v>
      </c>
    </row>
    <row r="70" spans="1:6" x14ac:dyDescent="0.3">
      <c r="A70" s="895" t="s">
        <v>1567</v>
      </c>
      <c r="B70" s="896">
        <f>'INF2005'!AV27</f>
        <v>882037.2</v>
      </c>
      <c r="C70" s="897">
        <f>'INF2005'!AW27</f>
        <v>0.8234710342275956</v>
      </c>
      <c r="D70" s="896">
        <f>'INF2005'!AX27</f>
        <v>1071121.1000000001</v>
      </c>
      <c r="E70" s="898">
        <f t="shared" si="3"/>
        <v>382.45480068148998</v>
      </c>
      <c r="F70" s="84">
        <f t="shared" si="4"/>
        <v>563.43642263716379</v>
      </c>
    </row>
    <row r="71" spans="1:6" x14ac:dyDescent="0.3">
      <c r="A71" s="899" t="s">
        <v>429</v>
      </c>
      <c r="B71" s="900">
        <f>'INF2005'!AV28</f>
        <v>6498652.6999999993</v>
      </c>
      <c r="C71" s="901">
        <f>'INF2005'!AW28</f>
        <v>0.6787896297002074</v>
      </c>
      <c r="D71" s="900">
        <f>'INF2005'!AX28</f>
        <v>9573883.2999999989</v>
      </c>
      <c r="E71" s="902">
        <f>$E$11*C71</f>
        <v>315.25863295867157</v>
      </c>
      <c r="F71" s="84">
        <f t="shared" si="4"/>
        <v>464.44232375486928</v>
      </c>
    </row>
  </sheetData>
  <mergeCells count="5">
    <mergeCell ref="A35:I36"/>
    <mergeCell ref="A46:A49"/>
    <mergeCell ref="D46:D48"/>
    <mergeCell ref="B46:C48"/>
    <mergeCell ref="E46:E48"/>
  </mergeCells>
  <hyperlinks>
    <hyperlink ref="C37" r:id="rId1" xr:uid="{5A8DB4C6-720D-4E28-9923-9728552BAA95}"/>
    <hyperlink ref="E37" r:id="rId2" xr:uid="{38E8DA51-DB40-4820-817E-A23CB8F787A3}"/>
  </hyperlinks>
  <pageMargins left="0.7" right="0.7" top="0.75" bottom="0.75" header="0.3" footer="0.3"/>
  <pageSetup paperSize="9"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20219-A0F6-4798-A336-37E9AAA7BFC4}">
  <dimension ref="A1:AX53"/>
  <sheetViews>
    <sheetView workbookViewId="0">
      <selection activeCell="AU3" sqref="AU3:AX28"/>
    </sheetView>
  </sheetViews>
  <sheetFormatPr defaultColWidth="9.109375" defaultRowHeight="19.5" customHeight="1" x14ac:dyDescent="0.3"/>
  <cols>
    <col min="1" max="1" width="27.6640625" style="819" customWidth="1"/>
    <col min="2" max="2" width="11" style="819" bestFit="1" customWidth="1"/>
    <col min="3" max="3" width="12.6640625" style="819" bestFit="1" customWidth="1"/>
    <col min="4" max="4" width="13" style="819" customWidth="1"/>
    <col min="5" max="5" width="12.5546875" style="819" customWidth="1"/>
    <col min="6" max="6" width="12.6640625" style="819" bestFit="1" customWidth="1"/>
    <col min="7" max="8" width="9.33203125" style="819" bestFit="1" customWidth="1"/>
    <col min="9" max="9" width="11.109375" style="819" bestFit="1" customWidth="1"/>
    <col min="10" max="10" width="9.33203125" style="819" bestFit="1" customWidth="1"/>
    <col min="11" max="11" width="11.33203125" style="819" customWidth="1"/>
    <col min="12" max="12" width="11.6640625" style="819" bestFit="1" customWidth="1"/>
    <col min="13" max="13" width="10.44140625" style="819" customWidth="1"/>
    <col min="14" max="14" width="11" style="819" customWidth="1"/>
    <col min="15" max="15" width="11.44140625" style="819" customWidth="1"/>
    <col min="16" max="16" width="9.88671875" style="819" customWidth="1"/>
    <col min="17" max="17" width="9.44140625" style="819" bestFit="1" customWidth="1"/>
    <col min="18" max="18" width="12.6640625" style="819" bestFit="1" customWidth="1"/>
    <col min="19" max="19" width="9.44140625" style="819" bestFit="1" customWidth="1"/>
    <col min="20" max="20" width="9.6640625" style="819" bestFit="1" customWidth="1"/>
    <col min="21" max="21" width="12.6640625" style="819" bestFit="1" customWidth="1"/>
    <col min="22" max="22" width="9.44140625" style="819" bestFit="1" customWidth="1"/>
    <col min="23" max="23" width="9.33203125" style="819" bestFit="1" customWidth="1"/>
    <col min="24" max="24" width="12.109375" style="819" bestFit="1" customWidth="1"/>
    <col min="25" max="25" width="9.33203125" style="819" bestFit="1" customWidth="1"/>
    <col min="26" max="26" width="12.109375" style="819" bestFit="1" customWidth="1"/>
    <col min="27" max="27" width="9.6640625" style="819" bestFit="1" customWidth="1"/>
    <col min="28" max="28" width="11.109375" style="819" customWidth="1"/>
    <col min="29" max="29" width="12.109375" style="819" bestFit="1" customWidth="1"/>
    <col min="30" max="30" width="12" style="819" customWidth="1"/>
    <col min="31" max="31" width="9.33203125" style="819" bestFit="1" customWidth="1"/>
    <col min="32" max="32" width="12.109375" style="819" bestFit="1" customWidth="1"/>
    <col min="33" max="34" width="9.33203125" style="819" bestFit="1" customWidth="1"/>
    <col min="35" max="35" width="12.33203125" style="819" bestFit="1" customWidth="1"/>
    <col min="36" max="36" width="9.33203125" style="819" bestFit="1" customWidth="1"/>
    <col min="37" max="37" width="12" style="819" bestFit="1" customWidth="1"/>
    <col min="38" max="38" width="9.109375" style="819"/>
    <col min="39" max="39" width="14.6640625" style="819" customWidth="1"/>
    <col min="40" max="40" width="12" style="819" bestFit="1" customWidth="1"/>
    <col min="41" max="42" width="9.109375" style="819"/>
    <col min="43" max="43" width="12.5546875" style="819" bestFit="1" customWidth="1"/>
    <col min="44" max="45" width="9.109375" style="819"/>
    <col min="46" max="46" width="12" style="819" bestFit="1" customWidth="1"/>
    <col min="47" max="47" width="12" style="819" customWidth="1"/>
    <col min="48" max="49" width="10.88671875" style="819" customWidth="1"/>
    <col min="50" max="50" width="12" style="819" bestFit="1" customWidth="1"/>
    <col min="51" max="51" width="9.5546875" style="819" customWidth="1"/>
    <col min="52" max="52" width="9.109375" style="819"/>
    <col min="53" max="53" width="12.5546875" style="819" bestFit="1" customWidth="1"/>
    <col min="54" max="257" width="9.109375" style="819"/>
    <col min="258" max="258" width="27.6640625" style="819" customWidth="1"/>
    <col min="259" max="259" width="11" style="819" bestFit="1" customWidth="1"/>
    <col min="260" max="260" width="12.6640625" style="819" bestFit="1" customWidth="1"/>
    <col min="261" max="261" width="13" style="819" customWidth="1"/>
    <col min="262" max="262" width="12.5546875" style="819" customWidth="1"/>
    <col min="263" max="263" width="12.6640625" style="819" bestFit="1" customWidth="1"/>
    <col min="264" max="265" width="9.33203125" style="819" bestFit="1" customWidth="1"/>
    <col min="266" max="266" width="11.109375" style="819" bestFit="1" customWidth="1"/>
    <col min="267" max="267" width="9.33203125" style="819" bestFit="1" customWidth="1"/>
    <col min="268" max="268" width="11.33203125" style="819" customWidth="1"/>
    <col min="269" max="269" width="11.6640625" style="819" bestFit="1" customWidth="1"/>
    <col min="270" max="270" width="10.44140625" style="819" customWidth="1"/>
    <col min="271" max="271" width="11" style="819" customWidth="1"/>
    <col min="272" max="272" width="11.44140625" style="819" customWidth="1"/>
    <col min="273" max="273" width="9.88671875" style="819" customWidth="1"/>
    <col min="274" max="274" width="9.44140625" style="819" bestFit="1" customWidth="1"/>
    <col min="275" max="275" width="12.6640625" style="819" bestFit="1" customWidth="1"/>
    <col min="276" max="276" width="9.44140625" style="819" bestFit="1" customWidth="1"/>
    <col min="277" max="277" width="9.6640625" style="819" bestFit="1" customWidth="1"/>
    <col min="278" max="278" width="12.6640625" style="819" bestFit="1" customWidth="1"/>
    <col min="279" max="279" width="9.44140625" style="819" bestFit="1" customWidth="1"/>
    <col min="280" max="280" width="9.33203125" style="819" bestFit="1" customWidth="1"/>
    <col min="281" max="281" width="12.109375" style="819" bestFit="1" customWidth="1"/>
    <col min="282" max="282" width="9.33203125" style="819" bestFit="1" customWidth="1"/>
    <col min="283" max="283" width="12.109375" style="819" bestFit="1" customWidth="1"/>
    <col min="284" max="284" width="9.6640625" style="819" bestFit="1" customWidth="1"/>
    <col min="285" max="285" width="11.109375" style="819" customWidth="1"/>
    <col min="286" max="286" width="12.109375" style="819" bestFit="1" customWidth="1"/>
    <col min="287" max="287" width="12" style="819" customWidth="1"/>
    <col min="288" max="288" width="9.33203125" style="819" bestFit="1" customWidth="1"/>
    <col min="289" max="289" width="12.109375" style="819" bestFit="1" customWidth="1"/>
    <col min="290" max="291" width="9.33203125" style="819" bestFit="1" customWidth="1"/>
    <col min="292" max="292" width="12.33203125" style="819" bestFit="1" customWidth="1"/>
    <col min="293" max="293" width="9.33203125" style="819" bestFit="1" customWidth="1"/>
    <col min="294" max="294" width="12" style="819" bestFit="1" customWidth="1"/>
    <col min="295" max="295" width="9.109375" style="819"/>
    <col min="296" max="296" width="14.6640625" style="819" customWidth="1"/>
    <col min="297" max="297" width="12" style="819" bestFit="1" customWidth="1"/>
    <col min="298" max="299" width="9.109375" style="819"/>
    <col min="300" max="300" width="12.5546875" style="819" bestFit="1" customWidth="1"/>
    <col min="301" max="302" width="9.109375" style="819"/>
    <col min="303" max="303" width="12" style="819" bestFit="1" customWidth="1"/>
    <col min="304" max="304" width="12" style="819" customWidth="1"/>
    <col min="305" max="305" width="10.88671875" style="819" customWidth="1"/>
    <col min="306" max="306" width="12" style="819" bestFit="1" customWidth="1"/>
    <col min="307" max="307" width="9.5546875" style="819" customWidth="1"/>
    <col min="308" max="308" width="9.109375" style="819"/>
    <col min="309" max="309" width="12.5546875" style="819" bestFit="1" customWidth="1"/>
    <col min="310" max="513" width="9.109375" style="819"/>
    <col min="514" max="514" width="27.6640625" style="819" customWidth="1"/>
    <col min="515" max="515" width="11" style="819" bestFit="1" customWidth="1"/>
    <col min="516" max="516" width="12.6640625" style="819" bestFit="1" customWidth="1"/>
    <col min="517" max="517" width="13" style="819" customWidth="1"/>
    <col min="518" max="518" width="12.5546875" style="819" customWidth="1"/>
    <col min="519" max="519" width="12.6640625" style="819" bestFit="1" customWidth="1"/>
    <col min="520" max="521" width="9.33203125" style="819" bestFit="1" customWidth="1"/>
    <col min="522" max="522" width="11.109375" style="819" bestFit="1" customWidth="1"/>
    <col min="523" max="523" width="9.33203125" style="819" bestFit="1" customWidth="1"/>
    <col min="524" max="524" width="11.33203125" style="819" customWidth="1"/>
    <col min="525" max="525" width="11.6640625" style="819" bestFit="1" customWidth="1"/>
    <col min="526" max="526" width="10.44140625" style="819" customWidth="1"/>
    <col min="527" max="527" width="11" style="819" customWidth="1"/>
    <col min="528" max="528" width="11.44140625" style="819" customWidth="1"/>
    <col min="529" max="529" width="9.88671875" style="819" customWidth="1"/>
    <col min="530" max="530" width="9.44140625" style="819" bestFit="1" customWidth="1"/>
    <col min="531" max="531" width="12.6640625" style="819" bestFit="1" customWidth="1"/>
    <col min="532" max="532" width="9.44140625" style="819" bestFit="1" customWidth="1"/>
    <col min="533" max="533" width="9.6640625" style="819" bestFit="1" customWidth="1"/>
    <col min="534" max="534" width="12.6640625" style="819" bestFit="1" customWidth="1"/>
    <col min="535" max="535" width="9.44140625" style="819" bestFit="1" customWidth="1"/>
    <col min="536" max="536" width="9.33203125" style="819" bestFit="1" customWidth="1"/>
    <col min="537" max="537" width="12.109375" style="819" bestFit="1" customWidth="1"/>
    <col min="538" max="538" width="9.33203125" style="819" bestFit="1" customWidth="1"/>
    <col min="539" max="539" width="12.109375" style="819" bestFit="1" customWidth="1"/>
    <col min="540" max="540" width="9.6640625" style="819" bestFit="1" customWidth="1"/>
    <col min="541" max="541" width="11.109375" style="819" customWidth="1"/>
    <col min="542" max="542" width="12.109375" style="819" bestFit="1" customWidth="1"/>
    <col min="543" max="543" width="12" style="819" customWidth="1"/>
    <col min="544" max="544" width="9.33203125" style="819" bestFit="1" customWidth="1"/>
    <col min="545" max="545" width="12.109375" style="819" bestFit="1" customWidth="1"/>
    <col min="546" max="547" width="9.33203125" style="819" bestFit="1" customWidth="1"/>
    <col min="548" max="548" width="12.33203125" style="819" bestFit="1" customWidth="1"/>
    <col min="549" max="549" width="9.33203125" style="819" bestFit="1" customWidth="1"/>
    <col min="550" max="550" width="12" style="819" bestFit="1" customWidth="1"/>
    <col min="551" max="551" width="9.109375" style="819"/>
    <col min="552" max="552" width="14.6640625" style="819" customWidth="1"/>
    <col min="553" max="553" width="12" style="819" bestFit="1" customWidth="1"/>
    <col min="554" max="555" width="9.109375" style="819"/>
    <col min="556" max="556" width="12.5546875" style="819" bestFit="1" customWidth="1"/>
    <col min="557" max="558" width="9.109375" style="819"/>
    <col min="559" max="559" width="12" style="819" bestFit="1" customWidth="1"/>
    <col min="560" max="560" width="12" style="819" customWidth="1"/>
    <col min="561" max="561" width="10.88671875" style="819" customWidth="1"/>
    <col min="562" max="562" width="12" style="819" bestFit="1" customWidth="1"/>
    <col min="563" max="563" width="9.5546875" style="819" customWidth="1"/>
    <col min="564" max="564" width="9.109375" style="819"/>
    <col min="565" max="565" width="12.5546875" style="819" bestFit="1" customWidth="1"/>
    <col min="566" max="769" width="9.109375" style="819"/>
    <col min="770" max="770" width="27.6640625" style="819" customWidth="1"/>
    <col min="771" max="771" width="11" style="819" bestFit="1" customWidth="1"/>
    <col min="772" max="772" width="12.6640625" style="819" bestFit="1" customWidth="1"/>
    <col min="773" max="773" width="13" style="819" customWidth="1"/>
    <col min="774" max="774" width="12.5546875" style="819" customWidth="1"/>
    <col min="775" max="775" width="12.6640625" style="819" bestFit="1" customWidth="1"/>
    <col min="776" max="777" width="9.33203125" style="819" bestFit="1" customWidth="1"/>
    <col min="778" max="778" width="11.109375" style="819" bestFit="1" customWidth="1"/>
    <col min="779" max="779" width="9.33203125" style="819" bestFit="1" customWidth="1"/>
    <col min="780" max="780" width="11.33203125" style="819" customWidth="1"/>
    <col min="781" max="781" width="11.6640625" style="819" bestFit="1" customWidth="1"/>
    <col min="782" max="782" width="10.44140625" style="819" customWidth="1"/>
    <col min="783" max="783" width="11" style="819" customWidth="1"/>
    <col min="784" max="784" width="11.44140625" style="819" customWidth="1"/>
    <col min="785" max="785" width="9.88671875" style="819" customWidth="1"/>
    <col min="786" max="786" width="9.44140625" style="819" bestFit="1" customWidth="1"/>
    <col min="787" max="787" width="12.6640625" style="819" bestFit="1" customWidth="1"/>
    <col min="788" max="788" width="9.44140625" style="819" bestFit="1" customWidth="1"/>
    <col min="789" max="789" width="9.6640625" style="819" bestFit="1" customWidth="1"/>
    <col min="790" max="790" width="12.6640625" style="819" bestFit="1" customWidth="1"/>
    <col min="791" max="791" width="9.44140625" style="819" bestFit="1" customWidth="1"/>
    <col min="792" max="792" width="9.33203125" style="819" bestFit="1" customWidth="1"/>
    <col min="793" max="793" width="12.109375" style="819" bestFit="1" customWidth="1"/>
    <col min="794" max="794" width="9.33203125" style="819" bestFit="1" customWidth="1"/>
    <col min="795" max="795" width="12.109375" style="819" bestFit="1" customWidth="1"/>
    <col min="796" max="796" width="9.6640625" style="819" bestFit="1" customWidth="1"/>
    <col min="797" max="797" width="11.109375" style="819" customWidth="1"/>
    <col min="798" max="798" width="12.109375" style="819" bestFit="1" customWidth="1"/>
    <col min="799" max="799" width="12" style="819" customWidth="1"/>
    <col min="800" max="800" width="9.33203125" style="819" bestFit="1" customWidth="1"/>
    <col min="801" max="801" width="12.109375" style="819" bestFit="1" customWidth="1"/>
    <col min="802" max="803" width="9.33203125" style="819" bestFit="1" customWidth="1"/>
    <col min="804" max="804" width="12.33203125" style="819" bestFit="1" customWidth="1"/>
    <col min="805" max="805" width="9.33203125" style="819" bestFit="1" customWidth="1"/>
    <col min="806" max="806" width="12" style="819" bestFit="1" customWidth="1"/>
    <col min="807" max="807" width="9.109375" style="819"/>
    <col min="808" max="808" width="14.6640625" style="819" customWidth="1"/>
    <col min="809" max="809" width="12" style="819" bestFit="1" customWidth="1"/>
    <col min="810" max="811" width="9.109375" style="819"/>
    <col min="812" max="812" width="12.5546875" style="819" bestFit="1" customWidth="1"/>
    <col min="813" max="814" width="9.109375" style="819"/>
    <col min="815" max="815" width="12" style="819" bestFit="1" customWidth="1"/>
    <col min="816" max="816" width="12" style="819" customWidth="1"/>
    <col min="817" max="817" width="10.88671875" style="819" customWidth="1"/>
    <col min="818" max="818" width="12" style="819" bestFit="1" customWidth="1"/>
    <col min="819" max="819" width="9.5546875" style="819" customWidth="1"/>
    <col min="820" max="820" width="9.109375" style="819"/>
    <col min="821" max="821" width="12.5546875" style="819" bestFit="1" customWidth="1"/>
    <col min="822" max="1025" width="9.109375" style="819"/>
    <col min="1026" max="1026" width="27.6640625" style="819" customWidth="1"/>
    <col min="1027" max="1027" width="11" style="819" bestFit="1" customWidth="1"/>
    <col min="1028" max="1028" width="12.6640625" style="819" bestFit="1" customWidth="1"/>
    <col min="1029" max="1029" width="13" style="819" customWidth="1"/>
    <col min="1030" max="1030" width="12.5546875" style="819" customWidth="1"/>
    <col min="1031" max="1031" width="12.6640625" style="819" bestFit="1" customWidth="1"/>
    <col min="1032" max="1033" width="9.33203125" style="819" bestFit="1" customWidth="1"/>
    <col min="1034" max="1034" width="11.109375" style="819" bestFit="1" customWidth="1"/>
    <col min="1035" max="1035" width="9.33203125" style="819" bestFit="1" customWidth="1"/>
    <col min="1036" max="1036" width="11.33203125" style="819" customWidth="1"/>
    <col min="1037" max="1037" width="11.6640625" style="819" bestFit="1" customWidth="1"/>
    <col min="1038" max="1038" width="10.44140625" style="819" customWidth="1"/>
    <col min="1039" max="1039" width="11" style="819" customWidth="1"/>
    <col min="1040" max="1040" width="11.44140625" style="819" customWidth="1"/>
    <col min="1041" max="1041" width="9.88671875" style="819" customWidth="1"/>
    <col min="1042" max="1042" width="9.44140625" style="819" bestFit="1" customWidth="1"/>
    <col min="1043" max="1043" width="12.6640625" style="819" bestFit="1" customWidth="1"/>
    <col min="1044" max="1044" width="9.44140625" style="819" bestFit="1" customWidth="1"/>
    <col min="1045" max="1045" width="9.6640625" style="819" bestFit="1" customWidth="1"/>
    <col min="1046" max="1046" width="12.6640625" style="819" bestFit="1" customWidth="1"/>
    <col min="1047" max="1047" width="9.44140625" style="819" bestFit="1" customWidth="1"/>
    <col min="1048" max="1048" width="9.33203125" style="819" bestFit="1" customWidth="1"/>
    <col min="1049" max="1049" width="12.109375" style="819" bestFit="1" customWidth="1"/>
    <col min="1050" max="1050" width="9.33203125" style="819" bestFit="1" customWidth="1"/>
    <col min="1051" max="1051" width="12.109375" style="819" bestFit="1" customWidth="1"/>
    <col min="1052" max="1052" width="9.6640625" style="819" bestFit="1" customWidth="1"/>
    <col min="1053" max="1053" width="11.109375" style="819" customWidth="1"/>
    <col min="1054" max="1054" width="12.109375" style="819" bestFit="1" customWidth="1"/>
    <col min="1055" max="1055" width="12" style="819" customWidth="1"/>
    <col min="1056" max="1056" width="9.33203125" style="819" bestFit="1" customWidth="1"/>
    <col min="1057" max="1057" width="12.109375" style="819" bestFit="1" customWidth="1"/>
    <col min="1058" max="1059" width="9.33203125" style="819" bestFit="1" customWidth="1"/>
    <col min="1060" max="1060" width="12.33203125" style="819" bestFit="1" customWidth="1"/>
    <col min="1061" max="1061" width="9.33203125" style="819" bestFit="1" customWidth="1"/>
    <col min="1062" max="1062" width="12" style="819" bestFit="1" customWidth="1"/>
    <col min="1063" max="1063" width="9.109375" style="819"/>
    <col min="1064" max="1064" width="14.6640625" style="819" customWidth="1"/>
    <col min="1065" max="1065" width="12" style="819" bestFit="1" customWidth="1"/>
    <col min="1066" max="1067" width="9.109375" style="819"/>
    <col min="1068" max="1068" width="12.5546875" style="819" bestFit="1" customWidth="1"/>
    <col min="1069" max="1070" width="9.109375" style="819"/>
    <col min="1071" max="1071" width="12" style="819" bestFit="1" customWidth="1"/>
    <col min="1072" max="1072" width="12" style="819" customWidth="1"/>
    <col min="1073" max="1073" width="10.88671875" style="819" customWidth="1"/>
    <col min="1074" max="1074" width="12" style="819" bestFit="1" customWidth="1"/>
    <col min="1075" max="1075" width="9.5546875" style="819" customWidth="1"/>
    <col min="1076" max="1076" width="9.109375" style="819"/>
    <col min="1077" max="1077" width="12.5546875" style="819" bestFit="1" customWidth="1"/>
    <col min="1078" max="1281" width="9.109375" style="819"/>
    <col min="1282" max="1282" width="27.6640625" style="819" customWidth="1"/>
    <col min="1283" max="1283" width="11" style="819" bestFit="1" customWidth="1"/>
    <col min="1284" max="1284" width="12.6640625" style="819" bestFit="1" customWidth="1"/>
    <col min="1285" max="1285" width="13" style="819" customWidth="1"/>
    <col min="1286" max="1286" width="12.5546875" style="819" customWidth="1"/>
    <col min="1287" max="1287" width="12.6640625" style="819" bestFit="1" customWidth="1"/>
    <col min="1288" max="1289" width="9.33203125" style="819" bestFit="1" customWidth="1"/>
    <col min="1290" max="1290" width="11.109375" style="819" bestFit="1" customWidth="1"/>
    <col min="1291" max="1291" width="9.33203125" style="819" bestFit="1" customWidth="1"/>
    <col min="1292" max="1292" width="11.33203125" style="819" customWidth="1"/>
    <col min="1293" max="1293" width="11.6640625" style="819" bestFit="1" customWidth="1"/>
    <col min="1294" max="1294" width="10.44140625" style="819" customWidth="1"/>
    <col min="1295" max="1295" width="11" style="819" customWidth="1"/>
    <col min="1296" max="1296" width="11.44140625" style="819" customWidth="1"/>
    <col min="1297" max="1297" width="9.88671875" style="819" customWidth="1"/>
    <col min="1298" max="1298" width="9.44140625" style="819" bestFit="1" customWidth="1"/>
    <col min="1299" max="1299" width="12.6640625" style="819" bestFit="1" customWidth="1"/>
    <col min="1300" max="1300" width="9.44140625" style="819" bestFit="1" customWidth="1"/>
    <col min="1301" max="1301" width="9.6640625" style="819" bestFit="1" customWidth="1"/>
    <col min="1302" max="1302" width="12.6640625" style="819" bestFit="1" customWidth="1"/>
    <col min="1303" max="1303" width="9.44140625" style="819" bestFit="1" customWidth="1"/>
    <col min="1304" max="1304" width="9.33203125" style="819" bestFit="1" customWidth="1"/>
    <col min="1305" max="1305" width="12.109375" style="819" bestFit="1" customWidth="1"/>
    <col min="1306" max="1306" width="9.33203125" style="819" bestFit="1" customWidth="1"/>
    <col min="1307" max="1307" width="12.109375" style="819" bestFit="1" customWidth="1"/>
    <col min="1308" max="1308" width="9.6640625" style="819" bestFit="1" customWidth="1"/>
    <col min="1309" max="1309" width="11.109375" style="819" customWidth="1"/>
    <col min="1310" max="1310" width="12.109375" style="819" bestFit="1" customWidth="1"/>
    <col min="1311" max="1311" width="12" style="819" customWidth="1"/>
    <col min="1312" max="1312" width="9.33203125" style="819" bestFit="1" customWidth="1"/>
    <col min="1313" max="1313" width="12.109375" style="819" bestFit="1" customWidth="1"/>
    <col min="1314" max="1315" width="9.33203125" style="819" bestFit="1" customWidth="1"/>
    <col min="1316" max="1316" width="12.33203125" style="819" bestFit="1" customWidth="1"/>
    <col min="1317" max="1317" width="9.33203125" style="819" bestFit="1" customWidth="1"/>
    <col min="1318" max="1318" width="12" style="819" bestFit="1" customWidth="1"/>
    <col min="1319" max="1319" width="9.109375" style="819"/>
    <col min="1320" max="1320" width="14.6640625" style="819" customWidth="1"/>
    <col min="1321" max="1321" width="12" style="819" bestFit="1" customWidth="1"/>
    <col min="1322" max="1323" width="9.109375" style="819"/>
    <col min="1324" max="1324" width="12.5546875" style="819" bestFit="1" customWidth="1"/>
    <col min="1325" max="1326" width="9.109375" style="819"/>
    <col min="1327" max="1327" width="12" style="819" bestFit="1" customWidth="1"/>
    <col min="1328" max="1328" width="12" style="819" customWidth="1"/>
    <col min="1329" max="1329" width="10.88671875" style="819" customWidth="1"/>
    <col min="1330" max="1330" width="12" style="819" bestFit="1" customWidth="1"/>
    <col min="1331" max="1331" width="9.5546875" style="819" customWidth="1"/>
    <col min="1332" max="1332" width="9.109375" style="819"/>
    <col min="1333" max="1333" width="12.5546875" style="819" bestFit="1" customWidth="1"/>
    <col min="1334" max="1537" width="9.109375" style="819"/>
    <col min="1538" max="1538" width="27.6640625" style="819" customWidth="1"/>
    <col min="1539" max="1539" width="11" style="819" bestFit="1" customWidth="1"/>
    <col min="1540" max="1540" width="12.6640625" style="819" bestFit="1" customWidth="1"/>
    <col min="1541" max="1541" width="13" style="819" customWidth="1"/>
    <col min="1542" max="1542" width="12.5546875" style="819" customWidth="1"/>
    <col min="1543" max="1543" width="12.6640625" style="819" bestFit="1" customWidth="1"/>
    <col min="1544" max="1545" width="9.33203125" style="819" bestFit="1" customWidth="1"/>
    <col min="1546" max="1546" width="11.109375" style="819" bestFit="1" customWidth="1"/>
    <col min="1547" max="1547" width="9.33203125" style="819" bestFit="1" customWidth="1"/>
    <col min="1548" max="1548" width="11.33203125" style="819" customWidth="1"/>
    <col min="1549" max="1549" width="11.6640625" style="819" bestFit="1" customWidth="1"/>
    <col min="1550" max="1550" width="10.44140625" style="819" customWidth="1"/>
    <col min="1551" max="1551" width="11" style="819" customWidth="1"/>
    <col min="1552" max="1552" width="11.44140625" style="819" customWidth="1"/>
    <col min="1553" max="1553" width="9.88671875" style="819" customWidth="1"/>
    <col min="1554" max="1554" width="9.44140625" style="819" bestFit="1" customWidth="1"/>
    <col min="1555" max="1555" width="12.6640625" style="819" bestFit="1" customWidth="1"/>
    <col min="1556" max="1556" width="9.44140625" style="819" bestFit="1" customWidth="1"/>
    <col min="1557" max="1557" width="9.6640625" style="819" bestFit="1" customWidth="1"/>
    <col min="1558" max="1558" width="12.6640625" style="819" bestFit="1" customWidth="1"/>
    <col min="1559" max="1559" width="9.44140625" style="819" bestFit="1" customWidth="1"/>
    <col min="1560" max="1560" width="9.33203125" style="819" bestFit="1" customWidth="1"/>
    <col min="1561" max="1561" width="12.109375" style="819" bestFit="1" customWidth="1"/>
    <col min="1562" max="1562" width="9.33203125" style="819" bestFit="1" customWidth="1"/>
    <col min="1563" max="1563" width="12.109375" style="819" bestFit="1" customWidth="1"/>
    <col min="1564" max="1564" width="9.6640625" style="819" bestFit="1" customWidth="1"/>
    <col min="1565" max="1565" width="11.109375" style="819" customWidth="1"/>
    <col min="1566" max="1566" width="12.109375" style="819" bestFit="1" customWidth="1"/>
    <col min="1567" max="1567" width="12" style="819" customWidth="1"/>
    <col min="1568" max="1568" width="9.33203125" style="819" bestFit="1" customWidth="1"/>
    <col min="1569" max="1569" width="12.109375" style="819" bestFit="1" customWidth="1"/>
    <col min="1570" max="1571" width="9.33203125" style="819" bestFit="1" customWidth="1"/>
    <col min="1572" max="1572" width="12.33203125" style="819" bestFit="1" customWidth="1"/>
    <col min="1573" max="1573" width="9.33203125" style="819" bestFit="1" customWidth="1"/>
    <col min="1574" max="1574" width="12" style="819" bestFit="1" customWidth="1"/>
    <col min="1575" max="1575" width="9.109375" style="819"/>
    <col min="1576" max="1576" width="14.6640625" style="819" customWidth="1"/>
    <col min="1577" max="1577" width="12" style="819" bestFit="1" customWidth="1"/>
    <col min="1578" max="1579" width="9.109375" style="819"/>
    <col min="1580" max="1580" width="12.5546875" style="819" bestFit="1" customWidth="1"/>
    <col min="1581" max="1582" width="9.109375" style="819"/>
    <col min="1583" max="1583" width="12" style="819" bestFit="1" customWidth="1"/>
    <col min="1584" max="1584" width="12" style="819" customWidth="1"/>
    <col min="1585" max="1585" width="10.88671875" style="819" customWidth="1"/>
    <col min="1586" max="1586" width="12" style="819" bestFit="1" customWidth="1"/>
    <col min="1587" max="1587" width="9.5546875" style="819" customWidth="1"/>
    <col min="1588" max="1588" width="9.109375" style="819"/>
    <col min="1589" max="1589" width="12.5546875" style="819" bestFit="1" customWidth="1"/>
    <col min="1590" max="1793" width="9.109375" style="819"/>
    <col min="1794" max="1794" width="27.6640625" style="819" customWidth="1"/>
    <col min="1795" max="1795" width="11" style="819" bestFit="1" customWidth="1"/>
    <col min="1796" max="1796" width="12.6640625" style="819" bestFit="1" customWidth="1"/>
    <col min="1797" max="1797" width="13" style="819" customWidth="1"/>
    <col min="1798" max="1798" width="12.5546875" style="819" customWidth="1"/>
    <col min="1799" max="1799" width="12.6640625" style="819" bestFit="1" customWidth="1"/>
    <col min="1800" max="1801" width="9.33203125" style="819" bestFit="1" customWidth="1"/>
    <col min="1802" max="1802" width="11.109375" style="819" bestFit="1" customWidth="1"/>
    <col min="1803" max="1803" width="9.33203125" style="819" bestFit="1" customWidth="1"/>
    <col min="1804" max="1804" width="11.33203125" style="819" customWidth="1"/>
    <col min="1805" max="1805" width="11.6640625" style="819" bestFit="1" customWidth="1"/>
    <col min="1806" max="1806" width="10.44140625" style="819" customWidth="1"/>
    <col min="1807" max="1807" width="11" style="819" customWidth="1"/>
    <col min="1808" max="1808" width="11.44140625" style="819" customWidth="1"/>
    <col min="1809" max="1809" width="9.88671875" style="819" customWidth="1"/>
    <col min="1810" max="1810" width="9.44140625" style="819" bestFit="1" customWidth="1"/>
    <col min="1811" max="1811" width="12.6640625" style="819" bestFit="1" customWidth="1"/>
    <col min="1812" max="1812" width="9.44140625" style="819" bestFit="1" customWidth="1"/>
    <col min="1813" max="1813" width="9.6640625" style="819" bestFit="1" customWidth="1"/>
    <col min="1814" max="1814" width="12.6640625" style="819" bestFit="1" customWidth="1"/>
    <col min="1815" max="1815" width="9.44140625" style="819" bestFit="1" customWidth="1"/>
    <col min="1816" max="1816" width="9.33203125" style="819" bestFit="1" customWidth="1"/>
    <col min="1817" max="1817" width="12.109375" style="819" bestFit="1" customWidth="1"/>
    <col min="1818" max="1818" width="9.33203125" style="819" bestFit="1" customWidth="1"/>
    <col min="1819" max="1819" width="12.109375" style="819" bestFit="1" customWidth="1"/>
    <col min="1820" max="1820" width="9.6640625" style="819" bestFit="1" customWidth="1"/>
    <col min="1821" max="1821" width="11.109375" style="819" customWidth="1"/>
    <col min="1822" max="1822" width="12.109375" style="819" bestFit="1" customWidth="1"/>
    <col min="1823" max="1823" width="12" style="819" customWidth="1"/>
    <col min="1824" max="1824" width="9.33203125" style="819" bestFit="1" customWidth="1"/>
    <col min="1825" max="1825" width="12.109375" style="819" bestFit="1" customWidth="1"/>
    <col min="1826" max="1827" width="9.33203125" style="819" bestFit="1" customWidth="1"/>
    <col min="1828" max="1828" width="12.33203125" style="819" bestFit="1" customWidth="1"/>
    <col min="1829" max="1829" width="9.33203125" style="819" bestFit="1" customWidth="1"/>
    <col min="1830" max="1830" width="12" style="819" bestFit="1" customWidth="1"/>
    <col min="1831" max="1831" width="9.109375" style="819"/>
    <col min="1832" max="1832" width="14.6640625" style="819" customWidth="1"/>
    <col min="1833" max="1833" width="12" style="819" bestFit="1" customWidth="1"/>
    <col min="1834" max="1835" width="9.109375" style="819"/>
    <col min="1836" max="1836" width="12.5546875" style="819" bestFit="1" customWidth="1"/>
    <col min="1837" max="1838" width="9.109375" style="819"/>
    <col min="1839" max="1839" width="12" style="819" bestFit="1" customWidth="1"/>
    <col min="1840" max="1840" width="12" style="819" customWidth="1"/>
    <col min="1841" max="1841" width="10.88671875" style="819" customWidth="1"/>
    <col min="1842" max="1842" width="12" style="819" bestFit="1" customWidth="1"/>
    <col min="1843" max="1843" width="9.5546875" style="819" customWidth="1"/>
    <col min="1844" max="1844" width="9.109375" style="819"/>
    <col min="1845" max="1845" width="12.5546875" style="819" bestFit="1" customWidth="1"/>
    <col min="1846" max="2049" width="9.109375" style="819"/>
    <col min="2050" max="2050" width="27.6640625" style="819" customWidth="1"/>
    <col min="2051" max="2051" width="11" style="819" bestFit="1" customWidth="1"/>
    <col min="2052" max="2052" width="12.6640625" style="819" bestFit="1" customWidth="1"/>
    <col min="2053" max="2053" width="13" style="819" customWidth="1"/>
    <col min="2054" max="2054" width="12.5546875" style="819" customWidth="1"/>
    <col min="2055" max="2055" width="12.6640625" style="819" bestFit="1" customWidth="1"/>
    <col min="2056" max="2057" width="9.33203125" style="819" bestFit="1" customWidth="1"/>
    <col min="2058" max="2058" width="11.109375" style="819" bestFit="1" customWidth="1"/>
    <col min="2059" max="2059" width="9.33203125" style="819" bestFit="1" customWidth="1"/>
    <col min="2060" max="2060" width="11.33203125" style="819" customWidth="1"/>
    <col min="2061" max="2061" width="11.6640625" style="819" bestFit="1" customWidth="1"/>
    <col min="2062" max="2062" width="10.44140625" style="819" customWidth="1"/>
    <col min="2063" max="2063" width="11" style="819" customWidth="1"/>
    <col min="2064" max="2064" width="11.44140625" style="819" customWidth="1"/>
    <col min="2065" max="2065" width="9.88671875" style="819" customWidth="1"/>
    <col min="2066" max="2066" width="9.44140625" style="819" bestFit="1" customWidth="1"/>
    <col min="2067" max="2067" width="12.6640625" style="819" bestFit="1" customWidth="1"/>
    <col min="2068" max="2068" width="9.44140625" style="819" bestFit="1" customWidth="1"/>
    <col min="2069" max="2069" width="9.6640625" style="819" bestFit="1" customWidth="1"/>
    <col min="2070" max="2070" width="12.6640625" style="819" bestFit="1" customWidth="1"/>
    <col min="2071" max="2071" width="9.44140625" style="819" bestFit="1" customWidth="1"/>
    <col min="2072" max="2072" width="9.33203125" style="819" bestFit="1" customWidth="1"/>
    <col min="2073" max="2073" width="12.109375" style="819" bestFit="1" customWidth="1"/>
    <col min="2074" max="2074" width="9.33203125" style="819" bestFit="1" customWidth="1"/>
    <col min="2075" max="2075" width="12.109375" style="819" bestFit="1" customWidth="1"/>
    <col min="2076" max="2076" width="9.6640625" style="819" bestFit="1" customWidth="1"/>
    <col min="2077" max="2077" width="11.109375" style="819" customWidth="1"/>
    <col min="2078" max="2078" width="12.109375" style="819" bestFit="1" customWidth="1"/>
    <col min="2079" max="2079" width="12" style="819" customWidth="1"/>
    <col min="2080" max="2080" width="9.33203125" style="819" bestFit="1" customWidth="1"/>
    <col min="2081" max="2081" width="12.109375" style="819" bestFit="1" customWidth="1"/>
    <col min="2082" max="2083" width="9.33203125" style="819" bestFit="1" customWidth="1"/>
    <col min="2084" max="2084" width="12.33203125" style="819" bestFit="1" customWidth="1"/>
    <col min="2085" max="2085" width="9.33203125" style="819" bestFit="1" customWidth="1"/>
    <col min="2086" max="2086" width="12" style="819" bestFit="1" customWidth="1"/>
    <col min="2087" max="2087" width="9.109375" style="819"/>
    <col min="2088" max="2088" width="14.6640625" style="819" customWidth="1"/>
    <col min="2089" max="2089" width="12" style="819" bestFit="1" customWidth="1"/>
    <col min="2090" max="2091" width="9.109375" style="819"/>
    <col min="2092" max="2092" width="12.5546875" style="819" bestFit="1" customWidth="1"/>
    <col min="2093" max="2094" width="9.109375" style="819"/>
    <col min="2095" max="2095" width="12" style="819" bestFit="1" customWidth="1"/>
    <col min="2096" max="2096" width="12" style="819" customWidth="1"/>
    <col min="2097" max="2097" width="10.88671875" style="819" customWidth="1"/>
    <col min="2098" max="2098" width="12" style="819" bestFit="1" customWidth="1"/>
    <col min="2099" max="2099" width="9.5546875" style="819" customWidth="1"/>
    <col min="2100" max="2100" width="9.109375" style="819"/>
    <col min="2101" max="2101" width="12.5546875" style="819" bestFit="1" customWidth="1"/>
    <col min="2102" max="2305" width="9.109375" style="819"/>
    <col min="2306" max="2306" width="27.6640625" style="819" customWidth="1"/>
    <col min="2307" max="2307" width="11" style="819" bestFit="1" customWidth="1"/>
    <col min="2308" max="2308" width="12.6640625" style="819" bestFit="1" customWidth="1"/>
    <col min="2309" max="2309" width="13" style="819" customWidth="1"/>
    <col min="2310" max="2310" width="12.5546875" style="819" customWidth="1"/>
    <col min="2311" max="2311" width="12.6640625" style="819" bestFit="1" customWidth="1"/>
    <col min="2312" max="2313" width="9.33203125" style="819" bestFit="1" customWidth="1"/>
    <col min="2314" max="2314" width="11.109375" style="819" bestFit="1" customWidth="1"/>
    <col min="2315" max="2315" width="9.33203125" style="819" bestFit="1" customWidth="1"/>
    <col min="2316" max="2316" width="11.33203125" style="819" customWidth="1"/>
    <col min="2317" max="2317" width="11.6640625" style="819" bestFit="1" customWidth="1"/>
    <col min="2318" max="2318" width="10.44140625" style="819" customWidth="1"/>
    <col min="2319" max="2319" width="11" style="819" customWidth="1"/>
    <col min="2320" max="2320" width="11.44140625" style="819" customWidth="1"/>
    <col min="2321" max="2321" width="9.88671875" style="819" customWidth="1"/>
    <col min="2322" max="2322" width="9.44140625" style="819" bestFit="1" customWidth="1"/>
    <col min="2323" max="2323" width="12.6640625" style="819" bestFit="1" customWidth="1"/>
    <col min="2324" max="2324" width="9.44140625" style="819" bestFit="1" customWidth="1"/>
    <col min="2325" max="2325" width="9.6640625" style="819" bestFit="1" customWidth="1"/>
    <col min="2326" max="2326" width="12.6640625" style="819" bestFit="1" customWidth="1"/>
    <col min="2327" max="2327" width="9.44140625" style="819" bestFit="1" customWidth="1"/>
    <col min="2328" max="2328" width="9.33203125" style="819" bestFit="1" customWidth="1"/>
    <col min="2329" max="2329" width="12.109375" style="819" bestFit="1" customWidth="1"/>
    <col min="2330" max="2330" width="9.33203125" style="819" bestFit="1" customWidth="1"/>
    <col min="2331" max="2331" width="12.109375" style="819" bestFit="1" customWidth="1"/>
    <col min="2332" max="2332" width="9.6640625" style="819" bestFit="1" customWidth="1"/>
    <col min="2333" max="2333" width="11.109375" style="819" customWidth="1"/>
    <col min="2334" max="2334" width="12.109375" style="819" bestFit="1" customWidth="1"/>
    <col min="2335" max="2335" width="12" style="819" customWidth="1"/>
    <col min="2336" max="2336" width="9.33203125" style="819" bestFit="1" customWidth="1"/>
    <col min="2337" max="2337" width="12.109375" style="819" bestFit="1" customWidth="1"/>
    <col min="2338" max="2339" width="9.33203125" style="819" bestFit="1" customWidth="1"/>
    <col min="2340" max="2340" width="12.33203125" style="819" bestFit="1" customWidth="1"/>
    <col min="2341" max="2341" width="9.33203125" style="819" bestFit="1" customWidth="1"/>
    <col min="2342" max="2342" width="12" style="819" bestFit="1" customWidth="1"/>
    <col min="2343" max="2343" width="9.109375" style="819"/>
    <col min="2344" max="2344" width="14.6640625" style="819" customWidth="1"/>
    <col min="2345" max="2345" width="12" style="819" bestFit="1" customWidth="1"/>
    <col min="2346" max="2347" width="9.109375" style="819"/>
    <col min="2348" max="2348" width="12.5546875" style="819" bestFit="1" customWidth="1"/>
    <col min="2349" max="2350" width="9.109375" style="819"/>
    <col min="2351" max="2351" width="12" style="819" bestFit="1" customWidth="1"/>
    <col min="2352" max="2352" width="12" style="819" customWidth="1"/>
    <col min="2353" max="2353" width="10.88671875" style="819" customWidth="1"/>
    <col min="2354" max="2354" width="12" style="819" bestFit="1" customWidth="1"/>
    <col min="2355" max="2355" width="9.5546875" style="819" customWidth="1"/>
    <col min="2356" max="2356" width="9.109375" style="819"/>
    <col min="2357" max="2357" width="12.5546875" style="819" bestFit="1" customWidth="1"/>
    <col min="2358" max="2561" width="9.109375" style="819"/>
    <col min="2562" max="2562" width="27.6640625" style="819" customWidth="1"/>
    <col min="2563" max="2563" width="11" style="819" bestFit="1" customWidth="1"/>
    <col min="2564" max="2564" width="12.6640625" style="819" bestFit="1" customWidth="1"/>
    <col min="2565" max="2565" width="13" style="819" customWidth="1"/>
    <col min="2566" max="2566" width="12.5546875" style="819" customWidth="1"/>
    <col min="2567" max="2567" width="12.6640625" style="819" bestFit="1" customWidth="1"/>
    <col min="2568" max="2569" width="9.33203125" style="819" bestFit="1" customWidth="1"/>
    <col min="2570" max="2570" width="11.109375" style="819" bestFit="1" customWidth="1"/>
    <col min="2571" max="2571" width="9.33203125" style="819" bestFit="1" customWidth="1"/>
    <col min="2572" max="2572" width="11.33203125" style="819" customWidth="1"/>
    <col min="2573" max="2573" width="11.6640625" style="819" bestFit="1" customWidth="1"/>
    <col min="2574" max="2574" width="10.44140625" style="819" customWidth="1"/>
    <col min="2575" max="2575" width="11" style="819" customWidth="1"/>
    <col min="2576" max="2576" width="11.44140625" style="819" customWidth="1"/>
    <col min="2577" max="2577" width="9.88671875" style="819" customWidth="1"/>
    <col min="2578" max="2578" width="9.44140625" style="819" bestFit="1" customWidth="1"/>
    <col min="2579" max="2579" width="12.6640625" style="819" bestFit="1" customWidth="1"/>
    <col min="2580" max="2580" width="9.44140625" style="819" bestFit="1" customWidth="1"/>
    <col min="2581" max="2581" width="9.6640625" style="819" bestFit="1" customWidth="1"/>
    <col min="2582" max="2582" width="12.6640625" style="819" bestFit="1" customWidth="1"/>
    <col min="2583" max="2583" width="9.44140625" style="819" bestFit="1" customWidth="1"/>
    <col min="2584" max="2584" width="9.33203125" style="819" bestFit="1" customWidth="1"/>
    <col min="2585" max="2585" width="12.109375" style="819" bestFit="1" customWidth="1"/>
    <col min="2586" max="2586" width="9.33203125" style="819" bestFit="1" customWidth="1"/>
    <col min="2587" max="2587" width="12.109375" style="819" bestFit="1" customWidth="1"/>
    <col min="2588" max="2588" width="9.6640625" style="819" bestFit="1" customWidth="1"/>
    <col min="2589" max="2589" width="11.109375" style="819" customWidth="1"/>
    <col min="2590" max="2590" width="12.109375" style="819" bestFit="1" customWidth="1"/>
    <col min="2591" max="2591" width="12" style="819" customWidth="1"/>
    <col min="2592" max="2592" width="9.33203125" style="819" bestFit="1" customWidth="1"/>
    <col min="2593" max="2593" width="12.109375" style="819" bestFit="1" customWidth="1"/>
    <col min="2594" max="2595" width="9.33203125" style="819" bestFit="1" customWidth="1"/>
    <col min="2596" max="2596" width="12.33203125" style="819" bestFit="1" customWidth="1"/>
    <col min="2597" max="2597" width="9.33203125" style="819" bestFit="1" customWidth="1"/>
    <col min="2598" max="2598" width="12" style="819" bestFit="1" customWidth="1"/>
    <col min="2599" max="2599" width="9.109375" style="819"/>
    <col min="2600" max="2600" width="14.6640625" style="819" customWidth="1"/>
    <col min="2601" max="2601" width="12" style="819" bestFit="1" customWidth="1"/>
    <col min="2602" max="2603" width="9.109375" style="819"/>
    <col min="2604" max="2604" width="12.5546875" style="819" bestFit="1" customWidth="1"/>
    <col min="2605" max="2606" width="9.109375" style="819"/>
    <col min="2607" max="2607" width="12" style="819" bestFit="1" customWidth="1"/>
    <col min="2608" max="2608" width="12" style="819" customWidth="1"/>
    <col min="2609" max="2609" width="10.88671875" style="819" customWidth="1"/>
    <col min="2610" max="2610" width="12" style="819" bestFit="1" customWidth="1"/>
    <col min="2611" max="2611" width="9.5546875" style="819" customWidth="1"/>
    <col min="2612" max="2612" width="9.109375" style="819"/>
    <col min="2613" max="2613" width="12.5546875" style="819" bestFit="1" customWidth="1"/>
    <col min="2614" max="2817" width="9.109375" style="819"/>
    <col min="2818" max="2818" width="27.6640625" style="819" customWidth="1"/>
    <col min="2819" max="2819" width="11" style="819" bestFit="1" customWidth="1"/>
    <col min="2820" max="2820" width="12.6640625" style="819" bestFit="1" customWidth="1"/>
    <col min="2821" max="2821" width="13" style="819" customWidth="1"/>
    <col min="2822" max="2822" width="12.5546875" style="819" customWidth="1"/>
    <col min="2823" max="2823" width="12.6640625" style="819" bestFit="1" customWidth="1"/>
    <col min="2824" max="2825" width="9.33203125" style="819" bestFit="1" customWidth="1"/>
    <col min="2826" max="2826" width="11.109375" style="819" bestFit="1" customWidth="1"/>
    <col min="2827" max="2827" width="9.33203125" style="819" bestFit="1" customWidth="1"/>
    <col min="2828" max="2828" width="11.33203125" style="819" customWidth="1"/>
    <col min="2829" max="2829" width="11.6640625" style="819" bestFit="1" customWidth="1"/>
    <col min="2830" max="2830" width="10.44140625" style="819" customWidth="1"/>
    <col min="2831" max="2831" width="11" style="819" customWidth="1"/>
    <col min="2832" max="2832" width="11.44140625" style="819" customWidth="1"/>
    <col min="2833" max="2833" width="9.88671875" style="819" customWidth="1"/>
    <col min="2834" max="2834" width="9.44140625" style="819" bestFit="1" customWidth="1"/>
    <col min="2835" max="2835" width="12.6640625" style="819" bestFit="1" customWidth="1"/>
    <col min="2836" max="2836" width="9.44140625" style="819" bestFit="1" customWidth="1"/>
    <col min="2837" max="2837" width="9.6640625" style="819" bestFit="1" customWidth="1"/>
    <col min="2838" max="2838" width="12.6640625" style="819" bestFit="1" customWidth="1"/>
    <col min="2839" max="2839" width="9.44140625" style="819" bestFit="1" customWidth="1"/>
    <col min="2840" max="2840" width="9.33203125" style="819" bestFit="1" customWidth="1"/>
    <col min="2841" max="2841" width="12.109375" style="819" bestFit="1" customWidth="1"/>
    <col min="2842" max="2842" width="9.33203125" style="819" bestFit="1" customWidth="1"/>
    <col min="2843" max="2843" width="12.109375" style="819" bestFit="1" customWidth="1"/>
    <col min="2844" max="2844" width="9.6640625" style="819" bestFit="1" customWidth="1"/>
    <col min="2845" max="2845" width="11.109375" style="819" customWidth="1"/>
    <col min="2846" max="2846" width="12.109375" style="819" bestFit="1" customWidth="1"/>
    <col min="2847" max="2847" width="12" style="819" customWidth="1"/>
    <col min="2848" max="2848" width="9.33203125" style="819" bestFit="1" customWidth="1"/>
    <col min="2849" max="2849" width="12.109375" style="819" bestFit="1" customWidth="1"/>
    <col min="2850" max="2851" width="9.33203125" style="819" bestFit="1" customWidth="1"/>
    <col min="2852" max="2852" width="12.33203125" style="819" bestFit="1" customWidth="1"/>
    <col min="2853" max="2853" width="9.33203125" style="819" bestFit="1" customWidth="1"/>
    <col min="2854" max="2854" width="12" style="819" bestFit="1" customWidth="1"/>
    <col min="2855" max="2855" width="9.109375" style="819"/>
    <col min="2856" max="2856" width="14.6640625" style="819" customWidth="1"/>
    <col min="2857" max="2857" width="12" style="819" bestFit="1" customWidth="1"/>
    <col min="2858" max="2859" width="9.109375" style="819"/>
    <col min="2860" max="2860" width="12.5546875" style="819" bestFit="1" customWidth="1"/>
    <col min="2861" max="2862" width="9.109375" style="819"/>
    <col min="2863" max="2863" width="12" style="819" bestFit="1" customWidth="1"/>
    <col min="2864" max="2864" width="12" style="819" customWidth="1"/>
    <col min="2865" max="2865" width="10.88671875" style="819" customWidth="1"/>
    <col min="2866" max="2866" width="12" style="819" bestFit="1" customWidth="1"/>
    <col min="2867" max="2867" width="9.5546875" style="819" customWidth="1"/>
    <col min="2868" max="2868" width="9.109375" style="819"/>
    <col min="2869" max="2869" width="12.5546875" style="819" bestFit="1" customWidth="1"/>
    <col min="2870" max="3073" width="9.109375" style="819"/>
    <col min="3074" max="3074" width="27.6640625" style="819" customWidth="1"/>
    <col min="3075" max="3075" width="11" style="819" bestFit="1" customWidth="1"/>
    <col min="3076" max="3076" width="12.6640625" style="819" bestFit="1" customWidth="1"/>
    <col min="3077" max="3077" width="13" style="819" customWidth="1"/>
    <col min="3078" max="3078" width="12.5546875" style="819" customWidth="1"/>
    <col min="3079" max="3079" width="12.6640625" style="819" bestFit="1" customWidth="1"/>
    <col min="3080" max="3081" width="9.33203125" style="819" bestFit="1" customWidth="1"/>
    <col min="3082" max="3082" width="11.109375" style="819" bestFit="1" customWidth="1"/>
    <col min="3083" max="3083" width="9.33203125" style="819" bestFit="1" customWidth="1"/>
    <col min="3084" max="3084" width="11.33203125" style="819" customWidth="1"/>
    <col min="3085" max="3085" width="11.6640625" style="819" bestFit="1" customWidth="1"/>
    <col min="3086" max="3086" width="10.44140625" style="819" customWidth="1"/>
    <col min="3087" max="3087" width="11" style="819" customWidth="1"/>
    <col min="3088" max="3088" width="11.44140625" style="819" customWidth="1"/>
    <col min="3089" max="3089" width="9.88671875" style="819" customWidth="1"/>
    <col min="3090" max="3090" width="9.44140625" style="819" bestFit="1" customWidth="1"/>
    <col min="3091" max="3091" width="12.6640625" style="819" bestFit="1" customWidth="1"/>
    <col min="3092" max="3092" width="9.44140625" style="819" bestFit="1" customWidth="1"/>
    <col min="3093" max="3093" width="9.6640625" style="819" bestFit="1" customWidth="1"/>
    <col min="3094" max="3094" width="12.6640625" style="819" bestFit="1" customWidth="1"/>
    <col min="3095" max="3095" width="9.44140625" style="819" bestFit="1" customWidth="1"/>
    <col min="3096" max="3096" width="9.33203125" style="819" bestFit="1" customWidth="1"/>
    <col min="3097" max="3097" width="12.109375" style="819" bestFit="1" customWidth="1"/>
    <col min="3098" max="3098" width="9.33203125" style="819" bestFit="1" customWidth="1"/>
    <col min="3099" max="3099" width="12.109375" style="819" bestFit="1" customWidth="1"/>
    <col min="3100" max="3100" width="9.6640625" style="819" bestFit="1" customWidth="1"/>
    <col min="3101" max="3101" width="11.109375" style="819" customWidth="1"/>
    <col min="3102" max="3102" width="12.109375" style="819" bestFit="1" customWidth="1"/>
    <col min="3103" max="3103" width="12" style="819" customWidth="1"/>
    <col min="3104" max="3104" width="9.33203125" style="819" bestFit="1" customWidth="1"/>
    <col min="3105" max="3105" width="12.109375" style="819" bestFit="1" customWidth="1"/>
    <col min="3106" max="3107" width="9.33203125" style="819" bestFit="1" customWidth="1"/>
    <col min="3108" max="3108" width="12.33203125" style="819" bestFit="1" customWidth="1"/>
    <col min="3109" max="3109" width="9.33203125" style="819" bestFit="1" customWidth="1"/>
    <col min="3110" max="3110" width="12" style="819" bestFit="1" customWidth="1"/>
    <col min="3111" max="3111" width="9.109375" style="819"/>
    <col min="3112" max="3112" width="14.6640625" style="819" customWidth="1"/>
    <col min="3113" max="3113" width="12" style="819" bestFit="1" customWidth="1"/>
    <col min="3114" max="3115" width="9.109375" style="819"/>
    <col min="3116" max="3116" width="12.5546875" style="819" bestFit="1" customWidth="1"/>
    <col min="3117" max="3118" width="9.109375" style="819"/>
    <col min="3119" max="3119" width="12" style="819" bestFit="1" customWidth="1"/>
    <col min="3120" max="3120" width="12" style="819" customWidth="1"/>
    <col min="3121" max="3121" width="10.88671875" style="819" customWidth="1"/>
    <col min="3122" max="3122" width="12" style="819" bestFit="1" customWidth="1"/>
    <col min="3123" max="3123" width="9.5546875" style="819" customWidth="1"/>
    <col min="3124" max="3124" width="9.109375" style="819"/>
    <col min="3125" max="3125" width="12.5546875" style="819" bestFit="1" customWidth="1"/>
    <col min="3126" max="3329" width="9.109375" style="819"/>
    <col min="3330" max="3330" width="27.6640625" style="819" customWidth="1"/>
    <col min="3331" max="3331" width="11" style="819" bestFit="1" customWidth="1"/>
    <col min="3332" max="3332" width="12.6640625" style="819" bestFit="1" customWidth="1"/>
    <col min="3333" max="3333" width="13" style="819" customWidth="1"/>
    <col min="3334" max="3334" width="12.5546875" style="819" customWidth="1"/>
    <col min="3335" max="3335" width="12.6640625" style="819" bestFit="1" customWidth="1"/>
    <col min="3336" max="3337" width="9.33203125" style="819" bestFit="1" customWidth="1"/>
    <col min="3338" max="3338" width="11.109375" style="819" bestFit="1" customWidth="1"/>
    <col min="3339" max="3339" width="9.33203125" style="819" bestFit="1" customWidth="1"/>
    <col min="3340" max="3340" width="11.33203125" style="819" customWidth="1"/>
    <col min="3341" max="3341" width="11.6640625" style="819" bestFit="1" customWidth="1"/>
    <col min="3342" max="3342" width="10.44140625" style="819" customWidth="1"/>
    <col min="3343" max="3343" width="11" style="819" customWidth="1"/>
    <col min="3344" max="3344" width="11.44140625" style="819" customWidth="1"/>
    <col min="3345" max="3345" width="9.88671875" style="819" customWidth="1"/>
    <col min="3346" max="3346" width="9.44140625" style="819" bestFit="1" customWidth="1"/>
    <col min="3347" max="3347" width="12.6640625" style="819" bestFit="1" customWidth="1"/>
    <col min="3348" max="3348" width="9.44140625" style="819" bestFit="1" customWidth="1"/>
    <col min="3349" max="3349" width="9.6640625" style="819" bestFit="1" customWidth="1"/>
    <col min="3350" max="3350" width="12.6640625" style="819" bestFit="1" customWidth="1"/>
    <col min="3351" max="3351" width="9.44140625" style="819" bestFit="1" customWidth="1"/>
    <col min="3352" max="3352" width="9.33203125" style="819" bestFit="1" customWidth="1"/>
    <col min="3353" max="3353" width="12.109375" style="819" bestFit="1" customWidth="1"/>
    <col min="3354" max="3354" width="9.33203125" style="819" bestFit="1" customWidth="1"/>
    <col min="3355" max="3355" width="12.109375" style="819" bestFit="1" customWidth="1"/>
    <col min="3356" max="3356" width="9.6640625" style="819" bestFit="1" customWidth="1"/>
    <col min="3357" max="3357" width="11.109375" style="819" customWidth="1"/>
    <col min="3358" max="3358" width="12.109375" style="819" bestFit="1" customWidth="1"/>
    <col min="3359" max="3359" width="12" style="819" customWidth="1"/>
    <col min="3360" max="3360" width="9.33203125" style="819" bestFit="1" customWidth="1"/>
    <col min="3361" max="3361" width="12.109375" style="819" bestFit="1" customWidth="1"/>
    <col min="3362" max="3363" width="9.33203125" style="819" bestFit="1" customWidth="1"/>
    <col min="3364" max="3364" width="12.33203125" style="819" bestFit="1" customWidth="1"/>
    <col min="3365" max="3365" width="9.33203125" style="819" bestFit="1" customWidth="1"/>
    <col min="3366" max="3366" width="12" style="819" bestFit="1" customWidth="1"/>
    <col min="3367" max="3367" width="9.109375" style="819"/>
    <col min="3368" max="3368" width="14.6640625" style="819" customWidth="1"/>
    <col min="3369" max="3369" width="12" style="819" bestFit="1" customWidth="1"/>
    <col min="3370" max="3371" width="9.109375" style="819"/>
    <col min="3372" max="3372" width="12.5546875" style="819" bestFit="1" customWidth="1"/>
    <col min="3373" max="3374" width="9.109375" style="819"/>
    <col min="3375" max="3375" width="12" style="819" bestFit="1" customWidth="1"/>
    <col min="3376" max="3376" width="12" style="819" customWidth="1"/>
    <col min="3377" max="3377" width="10.88671875" style="819" customWidth="1"/>
    <col min="3378" max="3378" width="12" style="819" bestFit="1" customWidth="1"/>
    <col min="3379" max="3379" width="9.5546875" style="819" customWidth="1"/>
    <col min="3380" max="3380" width="9.109375" style="819"/>
    <col min="3381" max="3381" width="12.5546875" style="819" bestFit="1" customWidth="1"/>
    <col min="3382" max="3585" width="9.109375" style="819"/>
    <col min="3586" max="3586" width="27.6640625" style="819" customWidth="1"/>
    <col min="3587" max="3587" width="11" style="819" bestFit="1" customWidth="1"/>
    <col min="3588" max="3588" width="12.6640625" style="819" bestFit="1" customWidth="1"/>
    <col min="3589" max="3589" width="13" style="819" customWidth="1"/>
    <col min="3590" max="3590" width="12.5546875" style="819" customWidth="1"/>
    <col min="3591" max="3591" width="12.6640625" style="819" bestFit="1" customWidth="1"/>
    <col min="3592" max="3593" width="9.33203125" style="819" bestFit="1" customWidth="1"/>
    <col min="3594" max="3594" width="11.109375" style="819" bestFit="1" customWidth="1"/>
    <col min="3595" max="3595" width="9.33203125" style="819" bestFit="1" customWidth="1"/>
    <col min="3596" max="3596" width="11.33203125" style="819" customWidth="1"/>
    <col min="3597" max="3597" width="11.6640625" style="819" bestFit="1" customWidth="1"/>
    <col min="3598" max="3598" width="10.44140625" style="819" customWidth="1"/>
    <col min="3599" max="3599" width="11" style="819" customWidth="1"/>
    <col min="3600" max="3600" width="11.44140625" style="819" customWidth="1"/>
    <col min="3601" max="3601" width="9.88671875" style="819" customWidth="1"/>
    <col min="3602" max="3602" width="9.44140625" style="819" bestFit="1" customWidth="1"/>
    <col min="3603" max="3603" width="12.6640625" style="819" bestFit="1" customWidth="1"/>
    <col min="3604" max="3604" width="9.44140625" style="819" bestFit="1" customWidth="1"/>
    <col min="3605" max="3605" width="9.6640625" style="819" bestFit="1" customWidth="1"/>
    <col min="3606" max="3606" width="12.6640625" style="819" bestFit="1" customWidth="1"/>
    <col min="3607" max="3607" width="9.44140625" style="819" bestFit="1" customWidth="1"/>
    <col min="3608" max="3608" width="9.33203125" style="819" bestFit="1" customWidth="1"/>
    <col min="3609" max="3609" width="12.109375" style="819" bestFit="1" customWidth="1"/>
    <col min="3610" max="3610" width="9.33203125" style="819" bestFit="1" customWidth="1"/>
    <col min="3611" max="3611" width="12.109375" style="819" bestFit="1" customWidth="1"/>
    <col min="3612" max="3612" width="9.6640625" style="819" bestFit="1" customWidth="1"/>
    <col min="3613" max="3613" width="11.109375" style="819" customWidth="1"/>
    <col min="3614" max="3614" width="12.109375" style="819" bestFit="1" customWidth="1"/>
    <col min="3615" max="3615" width="12" style="819" customWidth="1"/>
    <col min="3616" max="3616" width="9.33203125" style="819" bestFit="1" customWidth="1"/>
    <col min="3617" max="3617" width="12.109375" style="819" bestFit="1" customWidth="1"/>
    <col min="3618" max="3619" width="9.33203125" style="819" bestFit="1" customWidth="1"/>
    <col min="3620" max="3620" width="12.33203125" style="819" bestFit="1" customWidth="1"/>
    <col min="3621" max="3621" width="9.33203125" style="819" bestFit="1" customWidth="1"/>
    <col min="3622" max="3622" width="12" style="819" bestFit="1" customWidth="1"/>
    <col min="3623" max="3623" width="9.109375" style="819"/>
    <col min="3624" max="3624" width="14.6640625" style="819" customWidth="1"/>
    <col min="3625" max="3625" width="12" style="819" bestFit="1" customWidth="1"/>
    <col min="3626" max="3627" width="9.109375" style="819"/>
    <col min="3628" max="3628" width="12.5546875" style="819" bestFit="1" customWidth="1"/>
    <col min="3629" max="3630" width="9.109375" style="819"/>
    <col min="3631" max="3631" width="12" style="819" bestFit="1" customWidth="1"/>
    <col min="3632" max="3632" width="12" style="819" customWidth="1"/>
    <col min="3633" max="3633" width="10.88671875" style="819" customWidth="1"/>
    <col min="3634" max="3634" width="12" style="819" bestFit="1" customWidth="1"/>
    <col min="3635" max="3635" width="9.5546875" style="819" customWidth="1"/>
    <col min="3636" max="3636" width="9.109375" style="819"/>
    <col min="3637" max="3637" width="12.5546875" style="819" bestFit="1" customWidth="1"/>
    <col min="3638" max="3841" width="9.109375" style="819"/>
    <col min="3842" max="3842" width="27.6640625" style="819" customWidth="1"/>
    <col min="3843" max="3843" width="11" style="819" bestFit="1" customWidth="1"/>
    <col min="3844" max="3844" width="12.6640625" style="819" bestFit="1" customWidth="1"/>
    <col min="3845" max="3845" width="13" style="819" customWidth="1"/>
    <col min="3846" max="3846" width="12.5546875" style="819" customWidth="1"/>
    <col min="3847" max="3847" width="12.6640625" style="819" bestFit="1" customWidth="1"/>
    <col min="3848" max="3849" width="9.33203125" style="819" bestFit="1" customWidth="1"/>
    <col min="3850" max="3850" width="11.109375" style="819" bestFit="1" customWidth="1"/>
    <col min="3851" max="3851" width="9.33203125" style="819" bestFit="1" customWidth="1"/>
    <col min="3852" max="3852" width="11.33203125" style="819" customWidth="1"/>
    <col min="3853" max="3853" width="11.6640625" style="819" bestFit="1" customWidth="1"/>
    <col min="3854" max="3854" width="10.44140625" style="819" customWidth="1"/>
    <col min="3855" max="3855" width="11" style="819" customWidth="1"/>
    <col min="3856" max="3856" width="11.44140625" style="819" customWidth="1"/>
    <col min="3857" max="3857" width="9.88671875" style="819" customWidth="1"/>
    <col min="3858" max="3858" width="9.44140625" style="819" bestFit="1" customWidth="1"/>
    <col min="3859" max="3859" width="12.6640625" style="819" bestFit="1" customWidth="1"/>
    <col min="3860" max="3860" width="9.44140625" style="819" bestFit="1" customWidth="1"/>
    <col min="3861" max="3861" width="9.6640625" style="819" bestFit="1" customWidth="1"/>
    <col min="3862" max="3862" width="12.6640625" style="819" bestFit="1" customWidth="1"/>
    <col min="3863" max="3863" width="9.44140625" style="819" bestFit="1" customWidth="1"/>
    <col min="3864" max="3864" width="9.33203125" style="819" bestFit="1" customWidth="1"/>
    <col min="3865" max="3865" width="12.109375" style="819" bestFit="1" customWidth="1"/>
    <col min="3866" max="3866" width="9.33203125" style="819" bestFit="1" customWidth="1"/>
    <col min="3867" max="3867" width="12.109375" style="819" bestFit="1" customWidth="1"/>
    <col min="3868" max="3868" width="9.6640625" style="819" bestFit="1" customWidth="1"/>
    <col min="3869" max="3869" width="11.109375" style="819" customWidth="1"/>
    <col min="3870" max="3870" width="12.109375" style="819" bestFit="1" customWidth="1"/>
    <col min="3871" max="3871" width="12" style="819" customWidth="1"/>
    <col min="3872" max="3872" width="9.33203125" style="819" bestFit="1" customWidth="1"/>
    <col min="3873" max="3873" width="12.109375" style="819" bestFit="1" customWidth="1"/>
    <col min="3874" max="3875" width="9.33203125" style="819" bestFit="1" customWidth="1"/>
    <col min="3876" max="3876" width="12.33203125" style="819" bestFit="1" customWidth="1"/>
    <col min="3877" max="3877" width="9.33203125" style="819" bestFit="1" customWidth="1"/>
    <col min="3878" max="3878" width="12" style="819" bestFit="1" customWidth="1"/>
    <col min="3879" max="3879" width="9.109375" style="819"/>
    <col min="3880" max="3880" width="14.6640625" style="819" customWidth="1"/>
    <col min="3881" max="3881" width="12" style="819" bestFit="1" customWidth="1"/>
    <col min="3882" max="3883" width="9.109375" style="819"/>
    <col min="3884" max="3884" width="12.5546875" style="819" bestFit="1" customWidth="1"/>
    <col min="3885" max="3886" width="9.109375" style="819"/>
    <col min="3887" max="3887" width="12" style="819" bestFit="1" customWidth="1"/>
    <col min="3888" max="3888" width="12" style="819" customWidth="1"/>
    <col min="3889" max="3889" width="10.88671875" style="819" customWidth="1"/>
    <col min="3890" max="3890" width="12" style="819" bestFit="1" customWidth="1"/>
    <col min="3891" max="3891" width="9.5546875" style="819" customWidth="1"/>
    <col min="3892" max="3892" width="9.109375" style="819"/>
    <col min="3893" max="3893" width="12.5546875" style="819" bestFit="1" customWidth="1"/>
    <col min="3894" max="4097" width="9.109375" style="819"/>
    <col min="4098" max="4098" width="27.6640625" style="819" customWidth="1"/>
    <col min="4099" max="4099" width="11" style="819" bestFit="1" customWidth="1"/>
    <col min="4100" max="4100" width="12.6640625" style="819" bestFit="1" customWidth="1"/>
    <col min="4101" max="4101" width="13" style="819" customWidth="1"/>
    <col min="4102" max="4102" width="12.5546875" style="819" customWidth="1"/>
    <col min="4103" max="4103" width="12.6640625" style="819" bestFit="1" customWidth="1"/>
    <col min="4104" max="4105" width="9.33203125" style="819" bestFit="1" customWidth="1"/>
    <col min="4106" max="4106" width="11.109375" style="819" bestFit="1" customWidth="1"/>
    <col min="4107" max="4107" width="9.33203125" style="819" bestFit="1" customWidth="1"/>
    <col min="4108" max="4108" width="11.33203125" style="819" customWidth="1"/>
    <col min="4109" max="4109" width="11.6640625" style="819" bestFit="1" customWidth="1"/>
    <col min="4110" max="4110" width="10.44140625" style="819" customWidth="1"/>
    <col min="4111" max="4111" width="11" style="819" customWidth="1"/>
    <col min="4112" max="4112" width="11.44140625" style="819" customWidth="1"/>
    <col min="4113" max="4113" width="9.88671875" style="819" customWidth="1"/>
    <col min="4114" max="4114" width="9.44140625" style="819" bestFit="1" customWidth="1"/>
    <col min="4115" max="4115" width="12.6640625" style="819" bestFit="1" customWidth="1"/>
    <col min="4116" max="4116" width="9.44140625" style="819" bestFit="1" customWidth="1"/>
    <col min="4117" max="4117" width="9.6640625" style="819" bestFit="1" customWidth="1"/>
    <col min="4118" max="4118" width="12.6640625" style="819" bestFit="1" customWidth="1"/>
    <col min="4119" max="4119" width="9.44140625" style="819" bestFit="1" customWidth="1"/>
    <col min="4120" max="4120" width="9.33203125" style="819" bestFit="1" customWidth="1"/>
    <col min="4121" max="4121" width="12.109375" style="819" bestFit="1" customWidth="1"/>
    <col min="4122" max="4122" width="9.33203125" style="819" bestFit="1" customWidth="1"/>
    <col min="4123" max="4123" width="12.109375" style="819" bestFit="1" customWidth="1"/>
    <col min="4124" max="4124" width="9.6640625" style="819" bestFit="1" customWidth="1"/>
    <col min="4125" max="4125" width="11.109375" style="819" customWidth="1"/>
    <col min="4126" max="4126" width="12.109375" style="819" bestFit="1" customWidth="1"/>
    <col min="4127" max="4127" width="12" style="819" customWidth="1"/>
    <col min="4128" max="4128" width="9.33203125" style="819" bestFit="1" customWidth="1"/>
    <col min="4129" max="4129" width="12.109375" style="819" bestFit="1" customWidth="1"/>
    <col min="4130" max="4131" width="9.33203125" style="819" bestFit="1" customWidth="1"/>
    <col min="4132" max="4132" width="12.33203125" style="819" bestFit="1" customWidth="1"/>
    <col min="4133" max="4133" width="9.33203125" style="819" bestFit="1" customWidth="1"/>
    <col min="4134" max="4134" width="12" style="819" bestFit="1" customWidth="1"/>
    <col min="4135" max="4135" width="9.109375" style="819"/>
    <col min="4136" max="4136" width="14.6640625" style="819" customWidth="1"/>
    <col min="4137" max="4137" width="12" style="819" bestFit="1" customWidth="1"/>
    <col min="4138" max="4139" width="9.109375" style="819"/>
    <col min="4140" max="4140" width="12.5546875" style="819" bestFit="1" customWidth="1"/>
    <col min="4141" max="4142" width="9.109375" style="819"/>
    <col min="4143" max="4143" width="12" style="819" bestFit="1" customWidth="1"/>
    <col min="4144" max="4144" width="12" style="819" customWidth="1"/>
    <col min="4145" max="4145" width="10.88671875" style="819" customWidth="1"/>
    <col min="4146" max="4146" width="12" style="819" bestFit="1" customWidth="1"/>
    <col min="4147" max="4147" width="9.5546875" style="819" customWidth="1"/>
    <col min="4148" max="4148" width="9.109375" style="819"/>
    <col min="4149" max="4149" width="12.5546875" style="819" bestFit="1" customWidth="1"/>
    <col min="4150" max="4353" width="9.109375" style="819"/>
    <col min="4354" max="4354" width="27.6640625" style="819" customWidth="1"/>
    <col min="4355" max="4355" width="11" style="819" bestFit="1" customWidth="1"/>
    <col min="4356" max="4356" width="12.6640625" style="819" bestFit="1" customWidth="1"/>
    <col min="4357" max="4357" width="13" style="819" customWidth="1"/>
    <col min="4358" max="4358" width="12.5546875" style="819" customWidth="1"/>
    <col min="4359" max="4359" width="12.6640625" style="819" bestFit="1" customWidth="1"/>
    <col min="4360" max="4361" width="9.33203125" style="819" bestFit="1" customWidth="1"/>
    <col min="4362" max="4362" width="11.109375" style="819" bestFit="1" customWidth="1"/>
    <col min="4363" max="4363" width="9.33203125" style="819" bestFit="1" customWidth="1"/>
    <col min="4364" max="4364" width="11.33203125" style="819" customWidth="1"/>
    <col min="4365" max="4365" width="11.6640625" style="819" bestFit="1" customWidth="1"/>
    <col min="4366" max="4366" width="10.44140625" style="819" customWidth="1"/>
    <col min="4367" max="4367" width="11" style="819" customWidth="1"/>
    <col min="4368" max="4368" width="11.44140625" style="819" customWidth="1"/>
    <col min="4369" max="4369" width="9.88671875" style="819" customWidth="1"/>
    <col min="4370" max="4370" width="9.44140625" style="819" bestFit="1" customWidth="1"/>
    <col min="4371" max="4371" width="12.6640625" style="819" bestFit="1" customWidth="1"/>
    <col min="4372" max="4372" width="9.44140625" style="819" bestFit="1" customWidth="1"/>
    <col min="4373" max="4373" width="9.6640625" style="819" bestFit="1" customWidth="1"/>
    <col min="4374" max="4374" width="12.6640625" style="819" bestFit="1" customWidth="1"/>
    <col min="4375" max="4375" width="9.44140625" style="819" bestFit="1" customWidth="1"/>
    <col min="4376" max="4376" width="9.33203125" style="819" bestFit="1" customWidth="1"/>
    <col min="4377" max="4377" width="12.109375" style="819" bestFit="1" customWidth="1"/>
    <col min="4378" max="4378" width="9.33203125" style="819" bestFit="1" customWidth="1"/>
    <col min="4379" max="4379" width="12.109375" style="819" bestFit="1" customWidth="1"/>
    <col min="4380" max="4380" width="9.6640625" style="819" bestFit="1" customWidth="1"/>
    <col min="4381" max="4381" width="11.109375" style="819" customWidth="1"/>
    <col min="4382" max="4382" width="12.109375" style="819" bestFit="1" customWidth="1"/>
    <col min="4383" max="4383" width="12" style="819" customWidth="1"/>
    <col min="4384" max="4384" width="9.33203125" style="819" bestFit="1" customWidth="1"/>
    <col min="4385" max="4385" width="12.109375" style="819" bestFit="1" customWidth="1"/>
    <col min="4386" max="4387" width="9.33203125" style="819" bestFit="1" customWidth="1"/>
    <col min="4388" max="4388" width="12.33203125" style="819" bestFit="1" customWidth="1"/>
    <col min="4389" max="4389" width="9.33203125" style="819" bestFit="1" customWidth="1"/>
    <col min="4390" max="4390" width="12" style="819" bestFit="1" customWidth="1"/>
    <col min="4391" max="4391" width="9.109375" style="819"/>
    <col min="4392" max="4392" width="14.6640625" style="819" customWidth="1"/>
    <col min="4393" max="4393" width="12" style="819" bestFit="1" customWidth="1"/>
    <col min="4394" max="4395" width="9.109375" style="819"/>
    <col min="4396" max="4396" width="12.5546875" style="819" bestFit="1" customWidth="1"/>
    <col min="4397" max="4398" width="9.109375" style="819"/>
    <col min="4399" max="4399" width="12" style="819" bestFit="1" customWidth="1"/>
    <col min="4400" max="4400" width="12" style="819" customWidth="1"/>
    <col min="4401" max="4401" width="10.88671875" style="819" customWidth="1"/>
    <col min="4402" max="4402" width="12" style="819" bestFit="1" customWidth="1"/>
    <col min="4403" max="4403" width="9.5546875" style="819" customWidth="1"/>
    <col min="4404" max="4404" width="9.109375" style="819"/>
    <col min="4405" max="4405" width="12.5546875" style="819" bestFit="1" customWidth="1"/>
    <col min="4406" max="4609" width="9.109375" style="819"/>
    <col min="4610" max="4610" width="27.6640625" style="819" customWidth="1"/>
    <col min="4611" max="4611" width="11" style="819" bestFit="1" customWidth="1"/>
    <col min="4612" max="4612" width="12.6640625" style="819" bestFit="1" customWidth="1"/>
    <col min="4613" max="4613" width="13" style="819" customWidth="1"/>
    <col min="4614" max="4614" width="12.5546875" style="819" customWidth="1"/>
    <col min="4615" max="4615" width="12.6640625" style="819" bestFit="1" customWidth="1"/>
    <col min="4616" max="4617" width="9.33203125" style="819" bestFit="1" customWidth="1"/>
    <col min="4618" max="4618" width="11.109375" style="819" bestFit="1" customWidth="1"/>
    <col min="4619" max="4619" width="9.33203125" style="819" bestFit="1" customWidth="1"/>
    <col min="4620" max="4620" width="11.33203125" style="819" customWidth="1"/>
    <col min="4621" max="4621" width="11.6640625" style="819" bestFit="1" customWidth="1"/>
    <col min="4622" max="4622" width="10.44140625" style="819" customWidth="1"/>
    <col min="4623" max="4623" width="11" style="819" customWidth="1"/>
    <col min="4624" max="4624" width="11.44140625" style="819" customWidth="1"/>
    <col min="4625" max="4625" width="9.88671875" style="819" customWidth="1"/>
    <col min="4626" max="4626" width="9.44140625" style="819" bestFit="1" customWidth="1"/>
    <col min="4627" max="4627" width="12.6640625" style="819" bestFit="1" customWidth="1"/>
    <col min="4628" max="4628" width="9.44140625" style="819" bestFit="1" customWidth="1"/>
    <col min="4629" max="4629" width="9.6640625" style="819" bestFit="1" customWidth="1"/>
    <col min="4630" max="4630" width="12.6640625" style="819" bestFit="1" customWidth="1"/>
    <col min="4631" max="4631" width="9.44140625" style="819" bestFit="1" customWidth="1"/>
    <col min="4632" max="4632" width="9.33203125" style="819" bestFit="1" customWidth="1"/>
    <col min="4633" max="4633" width="12.109375" style="819" bestFit="1" customWidth="1"/>
    <col min="4634" max="4634" width="9.33203125" style="819" bestFit="1" customWidth="1"/>
    <col min="4635" max="4635" width="12.109375" style="819" bestFit="1" customWidth="1"/>
    <col min="4636" max="4636" width="9.6640625" style="819" bestFit="1" customWidth="1"/>
    <col min="4637" max="4637" width="11.109375" style="819" customWidth="1"/>
    <col min="4638" max="4638" width="12.109375" style="819" bestFit="1" customWidth="1"/>
    <col min="4639" max="4639" width="12" style="819" customWidth="1"/>
    <col min="4640" max="4640" width="9.33203125" style="819" bestFit="1" customWidth="1"/>
    <col min="4641" max="4641" width="12.109375" style="819" bestFit="1" customWidth="1"/>
    <col min="4642" max="4643" width="9.33203125" style="819" bestFit="1" customWidth="1"/>
    <col min="4644" max="4644" width="12.33203125" style="819" bestFit="1" customWidth="1"/>
    <col min="4645" max="4645" width="9.33203125" style="819" bestFit="1" customWidth="1"/>
    <col min="4646" max="4646" width="12" style="819" bestFit="1" customWidth="1"/>
    <col min="4647" max="4647" width="9.109375" style="819"/>
    <col min="4648" max="4648" width="14.6640625" style="819" customWidth="1"/>
    <col min="4649" max="4649" width="12" style="819" bestFit="1" customWidth="1"/>
    <col min="4650" max="4651" width="9.109375" style="819"/>
    <col min="4652" max="4652" width="12.5546875" style="819" bestFit="1" customWidth="1"/>
    <col min="4653" max="4654" width="9.109375" style="819"/>
    <col min="4655" max="4655" width="12" style="819" bestFit="1" customWidth="1"/>
    <col min="4656" max="4656" width="12" style="819" customWidth="1"/>
    <col min="4657" max="4657" width="10.88671875" style="819" customWidth="1"/>
    <col min="4658" max="4658" width="12" style="819" bestFit="1" customWidth="1"/>
    <col min="4659" max="4659" width="9.5546875" style="819" customWidth="1"/>
    <col min="4660" max="4660" width="9.109375" style="819"/>
    <col min="4661" max="4661" width="12.5546875" style="819" bestFit="1" customWidth="1"/>
    <col min="4662" max="4865" width="9.109375" style="819"/>
    <col min="4866" max="4866" width="27.6640625" style="819" customWidth="1"/>
    <col min="4867" max="4867" width="11" style="819" bestFit="1" customWidth="1"/>
    <col min="4868" max="4868" width="12.6640625" style="819" bestFit="1" customWidth="1"/>
    <col min="4869" max="4869" width="13" style="819" customWidth="1"/>
    <col min="4870" max="4870" width="12.5546875" style="819" customWidth="1"/>
    <col min="4871" max="4871" width="12.6640625" style="819" bestFit="1" customWidth="1"/>
    <col min="4872" max="4873" width="9.33203125" style="819" bestFit="1" customWidth="1"/>
    <col min="4874" max="4874" width="11.109375" style="819" bestFit="1" customWidth="1"/>
    <col min="4875" max="4875" width="9.33203125" style="819" bestFit="1" customWidth="1"/>
    <col min="4876" max="4876" width="11.33203125" style="819" customWidth="1"/>
    <col min="4877" max="4877" width="11.6640625" style="819" bestFit="1" customWidth="1"/>
    <col min="4878" max="4878" width="10.44140625" style="819" customWidth="1"/>
    <col min="4879" max="4879" width="11" style="819" customWidth="1"/>
    <col min="4880" max="4880" width="11.44140625" style="819" customWidth="1"/>
    <col min="4881" max="4881" width="9.88671875" style="819" customWidth="1"/>
    <col min="4882" max="4882" width="9.44140625" style="819" bestFit="1" customWidth="1"/>
    <col min="4883" max="4883" width="12.6640625" style="819" bestFit="1" customWidth="1"/>
    <col min="4884" max="4884" width="9.44140625" style="819" bestFit="1" customWidth="1"/>
    <col min="4885" max="4885" width="9.6640625" style="819" bestFit="1" customWidth="1"/>
    <col min="4886" max="4886" width="12.6640625" style="819" bestFit="1" customWidth="1"/>
    <col min="4887" max="4887" width="9.44140625" style="819" bestFit="1" customWidth="1"/>
    <col min="4888" max="4888" width="9.33203125" style="819" bestFit="1" customWidth="1"/>
    <col min="4889" max="4889" width="12.109375" style="819" bestFit="1" customWidth="1"/>
    <col min="4890" max="4890" width="9.33203125" style="819" bestFit="1" customWidth="1"/>
    <col min="4891" max="4891" width="12.109375" style="819" bestFit="1" customWidth="1"/>
    <col min="4892" max="4892" width="9.6640625" style="819" bestFit="1" customWidth="1"/>
    <col min="4893" max="4893" width="11.109375" style="819" customWidth="1"/>
    <col min="4894" max="4894" width="12.109375" style="819" bestFit="1" customWidth="1"/>
    <col min="4895" max="4895" width="12" style="819" customWidth="1"/>
    <col min="4896" max="4896" width="9.33203125" style="819" bestFit="1" customWidth="1"/>
    <col min="4897" max="4897" width="12.109375" style="819" bestFit="1" customWidth="1"/>
    <col min="4898" max="4899" width="9.33203125" style="819" bestFit="1" customWidth="1"/>
    <col min="4900" max="4900" width="12.33203125" style="819" bestFit="1" customWidth="1"/>
    <col min="4901" max="4901" width="9.33203125" style="819" bestFit="1" customWidth="1"/>
    <col min="4902" max="4902" width="12" style="819" bestFit="1" customWidth="1"/>
    <col min="4903" max="4903" width="9.109375" style="819"/>
    <col min="4904" max="4904" width="14.6640625" style="819" customWidth="1"/>
    <col min="4905" max="4905" width="12" style="819" bestFit="1" customWidth="1"/>
    <col min="4906" max="4907" width="9.109375" style="819"/>
    <col min="4908" max="4908" width="12.5546875" style="819" bestFit="1" customWidth="1"/>
    <col min="4909" max="4910" width="9.109375" style="819"/>
    <col min="4911" max="4911" width="12" style="819" bestFit="1" customWidth="1"/>
    <col min="4912" max="4912" width="12" style="819" customWidth="1"/>
    <col min="4913" max="4913" width="10.88671875" style="819" customWidth="1"/>
    <col min="4914" max="4914" width="12" style="819" bestFit="1" customWidth="1"/>
    <col min="4915" max="4915" width="9.5546875" style="819" customWidth="1"/>
    <col min="4916" max="4916" width="9.109375" style="819"/>
    <col min="4917" max="4917" width="12.5546875" style="819" bestFit="1" customWidth="1"/>
    <col min="4918" max="5121" width="9.109375" style="819"/>
    <col min="5122" max="5122" width="27.6640625" style="819" customWidth="1"/>
    <col min="5123" max="5123" width="11" style="819" bestFit="1" customWidth="1"/>
    <col min="5124" max="5124" width="12.6640625" style="819" bestFit="1" customWidth="1"/>
    <col min="5125" max="5125" width="13" style="819" customWidth="1"/>
    <col min="5126" max="5126" width="12.5546875" style="819" customWidth="1"/>
    <col min="5127" max="5127" width="12.6640625" style="819" bestFit="1" customWidth="1"/>
    <col min="5128" max="5129" width="9.33203125" style="819" bestFit="1" customWidth="1"/>
    <col min="5130" max="5130" width="11.109375" style="819" bestFit="1" customWidth="1"/>
    <col min="5131" max="5131" width="9.33203125" style="819" bestFit="1" customWidth="1"/>
    <col min="5132" max="5132" width="11.33203125" style="819" customWidth="1"/>
    <col min="5133" max="5133" width="11.6640625" style="819" bestFit="1" customWidth="1"/>
    <col min="5134" max="5134" width="10.44140625" style="819" customWidth="1"/>
    <col min="5135" max="5135" width="11" style="819" customWidth="1"/>
    <col min="5136" max="5136" width="11.44140625" style="819" customWidth="1"/>
    <col min="5137" max="5137" width="9.88671875" style="819" customWidth="1"/>
    <col min="5138" max="5138" width="9.44140625" style="819" bestFit="1" customWidth="1"/>
    <col min="5139" max="5139" width="12.6640625" style="819" bestFit="1" customWidth="1"/>
    <col min="5140" max="5140" width="9.44140625" style="819" bestFit="1" customWidth="1"/>
    <col min="5141" max="5141" width="9.6640625" style="819" bestFit="1" customWidth="1"/>
    <col min="5142" max="5142" width="12.6640625" style="819" bestFit="1" customWidth="1"/>
    <col min="5143" max="5143" width="9.44140625" style="819" bestFit="1" customWidth="1"/>
    <col min="5144" max="5144" width="9.33203125" style="819" bestFit="1" customWidth="1"/>
    <col min="5145" max="5145" width="12.109375" style="819" bestFit="1" customWidth="1"/>
    <col min="5146" max="5146" width="9.33203125" style="819" bestFit="1" customWidth="1"/>
    <col min="5147" max="5147" width="12.109375" style="819" bestFit="1" customWidth="1"/>
    <col min="5148" max="5148" width="9.6640625" style="819" bestFit="1" customWidth="1"/>
    <col min="5149" max="5149" width="11.109375" style="819" customWidth="1"/>
    <col min="5150" max="5150" width="12.109375" style="819" bestFit="1" customWidth="1"/>
    <col min="5151" max="5151" width="12" style="819" customWidth="1"/>
    <col min="5152" max="5152" width="9.33203125" style="819" bestFit="1" customWidth="1"/>
    <col min="5153" max="5153" width="12.109375" style="819" bestFit="1" customWidth="1"/>
    <col min="5154" max="5155" width="9.33203125" style="819" bestFit="1" customWidth="1"/>
    <col min="5156" max="5156" width="12.33203125" style="819" bestFit="1" customWidth="1"/>
    <col min="5157" max="5157" width="9.33203125" style="819" bestFit="1" customWidth="1"/>
    <col min="5158" max="5158" width="12" style="819" bestFit="1" customWidth="1"/>
    <col min="5159" max="5159" width="9.109375" style="819"/>
    <col min="5160" max="5160" width="14.6640625" style="819" customWidth="1"/>
    <col min="5161" max="5161" width="12" style="819" bestFit="1" customWidth="1"/>
    <col min="5162" max="5163" width="9.109375" style="819"/>
    <col min="5164" max="5164" width="12.5546875" style="819" bestFit="1" customWidth="1"/>
    <col min="5165" max="5166" width="9.109375" style="819"/>
    <col min="5167" max="5167" width="12" style="819" bestFit="1" customWidth="1"/>
    <col min="5168" max="5168" width="12" style="819" customWidth="1"/>
    <col min="5169" max="5169" width="10.88671875" style="819" customWidth="1"/>
    <col min="5170" max="5170" width="12" style="819" bestFit="1" customWidth="1"/>
    <col min="5171" max="5171" width="9.5546875" style="819" customWidth="1"/>
    <col min="5172" max="5172" width="9.109375" style="819"/>
    <col min="5173" max="5173" width="12.5546875" style="819" bestFit="1" customWidth="1"/>
    <col min="5174" max="5377" width="9.109375" style="819"/>
    <col min="5378" max="5378" width="27.6640625" style="819" customWidth="1"/>
    <col min="5379" max="5379" width="11" style="819" bestFit="1" customWidth="1"/>
    <col min="5380" max="5380" width="12.6640625" style="819" bestFit="1" customWidth="1"/>
    <col min="5381" max="5381" width="13" style="819" customWidth="1"/>
    <col min="5382" max="5382" width="12.5546875" style="819" customWidth="1"/>
    <col min="5383" max="5383" width="12.6640625" style="819" bestFit="1" customWidth="1"/>
    <col min="5384" max="5385" width="9.33203125" style="819" bestFit="1" customWidth="1"/>
    <col min="5386" max="5386" width="11.109375" style="819" bestFit="1" customWidth="1"/>
    <col min="5387" max="5387" width="9.33203125" style="819" bestFit="1" customWidth="1"/>
    <col min="5388" max="5388" width="11.33203125" style="819" customWidth="1"/>
    <col min="5389" max="5389" width="11.6640625" style="819" bestFit="1" customWidth="1"/>
    <col min="5390" max="5390" width="10.44140625" style="819" customWidth="1"/>
    <col min="5391" max="5391" width="11" style="819" customWidth="1"/>
    <col min="5392" max="5392" width="11.44140625" style="819" customWidth="1"/>
    <col min="5393" max="5393" width="9.88671875" style="819" customWidth="1"/>
    <col min="5394" max="5394" width="9.44140625" style="819" bestFit="1" customWidth="1"/>
    <col min="5395" max="5395" width="12.6640625" style="819" bestFit="1" customWidth="1"/>
    <col min="5396" max="5396" width="9.44140625" style="819" bestFit="1" customWidth="1"/>
    <col min="5397" max="5397" width="9.6640625" style="819" bestFit="1" customWidth="1"/>
    <col min="5398" max="5398" width="12.6640625" style="819" bestFit="1" customWidth="1"/>
    <col min="5399" max="5399" width="9.44140625" style="819" bestFit="1" customWidth="1"/>
    <col min="5400" max="5400" width="9.33203125" style="819" bestFit="1" customWidth="1"/>
    <col min="5401" max="5401" width="12.109375" style="819" bestFit="1" customWidth="1"/>
    <col min="5402" max="5402" width="9.33203125" style="819" bestFit="1" customWidth="1"/>
    <col min="5403" max="5403" width="12.109375" style="819" bestFit="1" customWidth="1"/>
    <col min="5404" max="5404" width="9.6640625" style="819" bestFit="1" customWidth="1"/>
    <col min="5405" max="5405" width="11.109375" style="819" customWidth="1"/>
    <col min="5406" max="5406" width="12.109375" style="819" bestFit="1" customWidth="1"/>
    <col min="5407" max="5407" width="12" style="819" customWidth="1"/>
    <col min="5408" max="5408" width="9.33203125" style="819" bestFit="1" customWidth="1"/>
    <col min="5409" max="5409" width="12.109375" style="819" bestFit="1" customWidth="1"/>
    <col min="5410" max="5411" width="9.33203125" style="819" bestFit="1" customWidth="1"/>
    <col min="5412" max="5412" width="12.33203125" style="819" bestFit="1" customWidth="1"/>
    <col min="5413" max="5413" width="9.33203125" style="819" bestFit="1" customWidth="1"/>
    <col min="5414" max="5414" width="12" style="819" bestFit="1" customWidth="1"/>
    <col min="5415" max="5415" width="9.109375" style="819"/>
    <col min="5416" max="5416" width="14.6640625" style="819" customWidth="1"/>
    <col min="5417" max="5417" width="12" style="819" bestFit="1" customWidth="1"/>
    <col min="5418" max="5419" width="9.109375" style="819"/>
    <col min="5420" max="5420" width="12.5546875" style="819" bestFit="1" customWidth="1"/>
    <col min="5421" max="5422" width="9.109375" style="819"/>
    <col min="5423" max="5423" width="12" style="819" bestFit="1" customWidth="1"/>
    <col min="5424" max="5424" width="12" style="819" customWidth="1"/>
    <col min="5425" max="5425" width="10.88671875" style="819" customWidth="1"/>
    <col min="5426" max="5426" width="12" style="819" bestFit="1" customWidth="1"/>
    <col min="5427" max="5427" width="9.5546875" style="819" customWidth="1"/>
    <col min="5428" max="5428" width="9.109375" style="819"/>
    <col min="5429" max="5429" width="12.5546875" style="819" bestFit="1" customWidth="1"/>
    <col min="5430" max="5633" width="9.109375" style="819"/>
    <col min="5634" max="5634" width="27.6640625" style="819" customWidth="1"/>
    <col min="5635" max="5635" width="11" style="819" bestFit="1" customWidth="1"/>
    <col min="5636" max="5636" width="12.6640625" style="819" bestFit="1" customWidth="1"/>
    <col min="5637" max="5637" width="13" style="819" customWidth="1"/>
    <col min="5638" max="5638" width="12.5546875" style="819" customWidth="1"/>
    <col min="5639" max="5639" width="12.6640625" style="819" bestFit="1" customWidth="1"/>
    <col min="5640" max="5641" width="9.33203125" style="819" bestFit="1" customWidth="1"/>
    <col min="5642" max="5642" width="11.109375" style="819" bestFit="1" customWidth="1"/>
    <col min="5643" max="5643" width="9.33203125" style="819" bestFit="1" customWidth="1"/>
    <col min="5644" max="5644" width="11.33203125" style="819" customWidth="1"/>
    <col min="5645" max="5645" width="11.6640625" style="819" bestFit="1" customWidth="1"/>
    <col min="5646" max="5646" width="10.44140625" style="819" customWidth="1"/>
    <col min="5647" max="5647" width="11" style="819" customWidth="1"/>
    <col min="5648" max="5648" width="11.44140625" style="819" customWidth="1"/>
    <col min="5649" max="5649" width="9.88671875" style="819" customWidth="1"/>
    <col min="5650" max="5650" width="9.44140625" style="819" bestFit="1" customWidth="1"/>
    <col min="5651" max="5651" width="12.6640625" style="819" bestFit="1" customWidth="1"/>
    <col min="5652" max="5652" width="9.44140625" style="819" bestFit="1" customWidth="1"/>
    <col min="5653" max="5653" width="9.6640625" style="819" bestFit="1" customWidth="1"/>
    <col min="5654" max="5654" width="12.6640625" style="819" bestFit="1" customWidth="1"/>
    <col min="5655" max="5655" width="9.44140625" style="819" bestFit="1" customWidth="1"/>
    <col min="5656" max="5656" width="9.33203125" style="819" bestFit="1" customWidth="1"/>
    <col min="5657" max="5657" width="12.109375" style="819" bestFit="1" customWidth="1"/>
    <col min="5658" max="5658" width="9.33203125" style="819" bestFit="1" customWidth="1"/>
    <col min="5659" max="5659" width="12.109375" style="819" bestFit="1" customWidth="1"/>
    <col min="5660" max="5660" width="9.6640625" style="819" bestFit="1" customWidth="1"/>
    <col min="5661" max="5661" width="11.109375" style="819" customWidth="1"/>
    <col min="5662" max="5662" width="12.109375" style="819" bestFit="1" customWidth="1"/>
    <col min="5663" max="5663" width="12" style="819" customWidth="1"/>
    <col min="5664" max="5664" width="9.33203125" style="819" bestFit="1" customWidth="1"/>
    <col min="5665" max="5665" width="12.109375" style="819" bestFit="1" customWidth="1"/>
    <col min="5666" max="5667" width="9.33203125" style="819" bestFit="1" customWidth="1"/>
    <col min="5668" max="5668" width="12.33203125" style="819" bestFit="1" customWidth="1"/>
    <col min="5669" max="5669" width="9.33203125" style="819" bestFit="1" customWidth="1"/>
    <col min="5670" max="5670" width="12" style="819" bestFit="1" customWidth="1"/>
    <col min="5671" max="5671" width="9.109375" style="819"/>
    <col min="5672" max="5672" width="14.6640625" style="819" customWidth="1"/>
    <col min="5673" max="5673" width="12" style="819" bestFit="1" customWidth="1"/>
    <col min="5674" max="5675" width="9.109375" style="819"/>
    <col min="5676" max="5676" width="12.5546875" style="819" bestFit="1" customWidth="1"/>
    <col min="5677" max="5678" width="9.109375" style="819"/>
    <col min="5679" max="5679" width="12" style="819" bestFit="1" customWidth="1"/>
    <col min="5680" max="5680" width="12" style="819" customWidth="1"/>
    <col min="5681" max="5681" width="10.88671875" style="819" customWidth="1"/>
    <col min="5682" max="5682" width="12" style="819" bestFit="1" customWidth="1"/>
    <col min="5683" max="5683" width="9.5546875" style="819" customWidth="1"/>
    <col min="5684" max="5684" width="9.109375" style="819"/>
    <col min="5685" max="5685" width="12.5546875" style="819" bestFit="1" customWidth="1"/>
    <col min="5686" max="5889" width="9.109375" style="819"/>
    <col min="5890" max="5890" width="27.6640625" style="819" customWidth="1"/>
    <col min="5891" max="5891" width="11" style="819" bestFit="1" customWidth="1"/>
    <col min="5892" max="5892" width="12.6640625" style="819" bestFit="1" customWidth="1"/>
    <col min="5893" max="5893" width="13" style="819" customWidth="1"/>
    <col min="5894" max="5894" width="12.5546875" style="819" customWidth="1"/>
    <col min="5895" max="5895" width="12.6640625" style="819" bestFit="1" customWidth="1"/>
    <col min="5896" max="5897" width="9.33203125" style="819" bestFit="1" customWidth="1"/>
    <col min="5898" max="5898" width="11.109375" style="819" bestFit="1" customWidth="1"/>
    <col min="5899" max="5899" width="9.33203125" style="819" bestFit="1" customWidth="1"/>
    <col min="5900" max="5900" width="11.33203125" style="819" customWidth="1"/>
    <col min="5901" max="5901" width="11.6640625" style="819" bestFit="1" customWidth="1"/>
    <col min="5902" max="5902" width="10.44140625" style="819" customWidth="1"/>
    <col min="5903" max="5903" width="11" style="819" customWidth="1"/>
    <col min="5904" max="5904" width="11.44140625" style="819" customWidth="1"/>
    <col min="5905" max="5905" width="9.88671875" style="819" customWidth="1"/>
    <col min="5906" max="5906" width="9.44140625" style="819" bestFit="1" customWidth="1"/>
    <col min="5907" max="5907" width="12.6640625" style="819" bestFit="1" customWidth="1"/>
    <col min="5908" max="5908" width="9.44140625" style="819" bestFit="1" customWidth="1"/>
    <col min="5909" max="5909" width="9.6640625" style="819" bestFit="1" customWidth="1"/>
    <col min="5910" max="5910" width="12.6640625" style="819" bestFit="1" customWidth="1"/>
    <col min="5911" max="5911" width="9.44140625" style="819" bestFit="1" customWidth="1"/>
    <col min="5912" max="5912" width="9.33203125" style="819" bestFit="1" customWidth="1"/>
    <col min="5913" max="5913" width="12.109375" style="819" bestFit="1" customWidth="1"/>
    <col min="5914" max="5914" width="9.33203125" style="819" bestFit="1" customWidth="1"/>
    <col min="5915" max="5915" width="12.109375" style="819" bestFit="1" customWidth="1"/>
    <col min="5916" max="5916" width="9.6640625" style="819" bestFit="1" customWidth="1"/>
    <col min="5917" max="5917" width="11.109375" style="819" customWidth="1"/>
    <col min="5918" max="5918" width="12.109375" style="819" bestFit="1" customWidth="1"/>
    <col min="5919" max="5919" width="12" style="819" customWidth="1"/>
    <col min="5920" max="5920" width="9.33203125" style="819" bestFit="1" customWidth="1"/>
    <col min="5921" max="5921" width="12.109375" style="819" bestFit="1" customWidth="1"/>
    <col min="5922" max="5923" width="9.33203125" style="819" bestFit="1" customWidth="1"/>
    <col min="5924" max="5924" width="12.33203125" style="819" bestFit="1" customWidth="1"/>
    <col min="5925" max="5925" width="9.33203125" style="819" bestFit="1" customWidth="1"/>
    <col min="5926" max="5926" width="12" style="819" bestFit="1" customWidth="1"/>
    <col min="5927" max="5927" width="9.109375" style="819"/>
    <col min="5928" max="5928" width="14.6640625" style="819" customWidth="1"/>
    <col min="5929" max="5929" width="12" style="819" bestFit="1" customWidth="1"/>
    <col min="5930" max="5931" width="9.109375" style="819"/>
    <col min="5932" max="5932" width="12.5546875" style="819" bestFit="1" customWidth="1"/>
    <col min="5933" max="5934" width="9.109375" style="819"/>
    <col min="5935" max="5935" width="12" style="819" bestFit="1" customWidth="1"/>
    <col min="5936" max="5936" width="12" style="819" customWidth="1"/>
    <col min="5937" max="5937" width="10.88671875" style="819" customWidth="1"/>
    <col min="5938" max="5938" width="12" style="819" bestFit="1" customWidth="1"/>
    <col min="5939" max="5939" width="9.5546875" style="819" customWidth="1"/>
    <col min="5940" max="5940" width="9.109375" style="819"/>
    <col min="5941" max="5941" width="12.5546875" style="819" bestFit="1" customWidth="1"/>
    <col min="5942" max="6145" width="9.109375" style="819"/>
    <col min="6146" max="6146" width="27.6640625" style="819" customWidth="1"/>
    <col min="6147" max="6147" width="11" style="819" bestFit="1" customWidth="1"/>
    <col min="6148" max="6148" width="12.6640625" style="819" bestFit="1" customWidth="1"/>
    <col min="6149" max="6149" width="13" style="819" customWidth="1"/>
    <col min="6150" max="6150" width="12.5546875" style="819" customWidth="1"/>
    <col min="6151" max="6151" width="12.6640625" style="819" bestFit="1" customWidth="1"/>
    <col min="6152" max="6153" width="9.33203125" style="819" bestFit="1" customWidth="1"/>
    <col min="6154" max="6154" width="11.109375" style="819" bestFit="1" customWidth="1"/>
    <col min="6155" max="6155" width="9.33203125" style="819" bestFit="1" customWidth="1"/>
    <col min="6156" max="6156" width="11.33203125" style="819" customWidth="1"/>
    <col min="6157" max="6157" width="11.6640625" style="819" bestFit="1" customWidth="1"/>
    <col min="6158" max="6158" width="10.44140625" style="819" customWidth="1"/>
    <col min="6159" max="6159" width="11" style="819" customWidth="1"/>
    <col min="6160" max="6160" width="11.44140625" style="819" customWidth="1"/>
    <col min="6161" max="6161" width="9.88671875" style="819" customWidth="1"/>
    <col min="6162" max="6162" width="9.44140625" style="819" bestFit="1" customWidth="1"/>
    <col min="6163" max="6163" width="12.6640625" style="819" bestFit="1" customWidth="1"/>
    <col min="6164" max="6164" width="9.44140625" style="819" bestFit="1" customWidth="1"/>
    <col min="6165" max="6165" width="9.6640625" style="819" bestFit="1" customWidth="1"/>
    <col min="6166" max="6166" width="12.6640625" style="819" bestFit="1" customWidth="1"/>
    <col min="6167" max="6167" width="9.44140625" style="819" bestFit="1" customWidth="1"/>
    <col min="6168" max="6168" width="9.33203125" style="819" bestFit="1" customWidth="1"/>
    <col min="6169" max="6169" width="12.109375" style="819" bestFit="1" customWidth="1"/>
    <col min="6170" max="6170" width="9.33203125" style="819" bestFit="1" customWidth="1"/>
    <col min="6171" max="6171" width="12.109375" style="819" bestFit="1" customWidth="1"/>
    <col min="6172" max="6172" width="9.6640625" style="819" bestFit="1" customWidth="1"/>
    <col min="6173" max="6173" width="11.109375" style="819" customWidth="1"/>
    <col min="6174" max="6174" width="12.109375" style="819" bestFit="1" customWidth="1"/>
    <col min="6175" max="6175" width="12" style="819" customWidth="1"/>
    <col min="6176" max="6176" width="9.33203125" style="819" bestFit="1" customWidth="1"/>
    <col min="6177" max="6177" width="12.109375" style="819" bestFit="1" customWidth="1"/>
    <col min="6178" max="6179" width="9.33203125" style="819" bestFit="1" customWidth="1"/>
    <col min="6180" max="6180" width="12.33203125" style="819" bestFit="1" customWidth="1"/>
    <col min="6181" max="6181" width="9.33203125" style="819" bestFit="1" customWidth="1"/>
    <col min="6182" max="6182" width="12" style="819" bestFit="1" customWidth="1"/>
    <col min="6183" max="6183" width="9.109375" style="819"/>
    <col min="6184" max="6184" width="14.6640625" style="819" customWidth="1"/>
    <col min="6185" max="6185" width="12" style="819" bestFit="1" customWidth="1"/>
    <col min="6186" max="6187" width="9.109375" style="819"/>
    <col min="6188" max="6188" width="12.5546875" style="819" bestFit="1" customWidth="1"/>
    <col min="6189" max="6190" width="9.109375" style="819"/>
    <col min="6191" max="6191" width="12" style="819" bestFit="1" customWidth="1"/>
    <col min="6192" max="6192" width="12" style="819" customWidth="1"/>
    <col min="6193" max="6193" width="10.88671875" style="819" customWidth="1"/>
    <col min="6194" max="6194" width="12" style="819" bestFit="1" customWidth="1"/>
    <col min="6195" max="6195" width="9.5546875" style="819" customWidth="1"/>
    <col min="6196" max="6196" width="9.109375" style="819"/>
    <col min="6197" max="6197" width="12.5546875" style="819" bestFit="1" customWidth="1"/>
    <col min="6198" max="6401" width="9.109375" style="819"/>
    <col min="6402" max="6402" width="27.6640625" style="819" customWidth="1"/>
    <col min="6403" max="6403" width="11" style="819" bestFit="1" customWidth="1"/>
    <col min="6404" max="6404" width="12.6640625" style="819" bestFit="1" customWidth="1"/>
    <col min="6405" max="6405" width="13" style="819" customWidth="1"/>
    <col min="6406" max="6406" width="12.5546875" style="819" customWidth="1"/>
    <col min="6407" max="6407" width="12.6640625" style="819" bestFit="1" customWidth="1"/>
    <col min="6408" max="6409" width="9.33203125" style="819" bestFit="1" customWidth="1"/>
    <col min="6410" max="6410" width="11.109375" style="819" bestFit="1" customWidth="1"/>
    <col min="6411" max="6411" width="9.33203125" style="819" bestFit="1" customWidth="1"/>
    <col min="6412" max="6412" width="11.33203125" style="819" customWidth="1"/>
    <col min="6413" max="6413" width="11.6640625" style="819" bestFit="1" customWidth="1"/>
    <col min="6414" max="6414" width="10.44140625" style="819" customWidth="1"/>
    <col min="6415" max="6415" width="11" style="819" customWidth="1"/>
    <col min="6416" max="6416" width="11.44140625" style="819" customWidth="1"/>
    <col min="6417" max="6417" width="9.88671875" style="819" customWidth="1"/>
    <col min="6418" max="6418" width="9.44140625" style="819" bestFit="1" customWidth="1"/>
    <col min="6419" max="6419" width="12.6640625" style="819" bestFit="1" customWidth="1"/>
    <col min="6420" max="6420" width="9.44140625" style="819" bestFit="1" customWidth="1"/>
    <col min="6421" max="6421" width="9.6640625" style="819" bestFit="1" customWidth="1"/>
    <col min="6422" max="6422" width="12.6640625" style="819" bestFit="1" customWidth="1"/>
    <col min="6423" max="6423" width="9.44140625" style="819" bestFit="1" customWidth="1"/>
    <col min="6424" max="6424" width="9.33203125" style="819" bestFit="1" customWidth="1"/>
    <col min="6425" max="6425" width="12.109375" style="819" bestFit="1" customWidth="1"/>
    <col min="6426" max="6426" width="9.33203125" style="819" bestFit="1" customWidth="1"/>
    <col min="6427" max="6427" width="12.109375" style="819" bestFit="1" customWidth="1"/>
    <col min="6428" max="6428" width="9.6640625" style="819" bestFit="1" customWidth="1"/>
    <col min="6429" max="6429" width="11.109375" style="819" customWidth="1"/>
    <col min="6430" max="6430" width="12.109375" style="819" bestFit="1" customWidth="1"/>
    <col min="6431" max="6431" width="12" style="819" customWidth="1"/>
    <col min="6432" max="6432" width="9.33203125" style="819" bestFit="1" customWidth="1"/>
    <col min="6433" max="6433" width="12.109375" style="819" bestFit="1" customWidth="1"/>
    <col min="6434" max="6435" width="9.33203125" style="819" bestFit="1" customWidth="1"/>
    <col min="6436" max="6436" width="12.33203125" style="819" bestFit="1" customWidth="1"/>
    <col min="6437" max="6437" width="9.33203125" style="819" bestFit="1" customWidth="1"/>
    <col min="6438" max="6438" width="12" style="819" bestFit="1" customWidth="1"/>
    <col min="6439" max="6439" width="9.109375" style="819"/>
    <col min="6440" max="6440" width="14.6640625" style="819" customWidth="1"/>
    <col min="6441" max="6441" width="12" style="819" bestFit="1" customWidth="1"/>
    <col min="6442" max="6443" width="9.109375" style="819"/>
    <col min="6444" max="6444" width="12.5546875" style="819" bestFit="1" customWidth="1"/>
    <col min="6445" max="6446" width="9.109375" style="819"/>
    <col min="6447" max="6447" width="12" style="819" bestFit="1" customWidth="1"/>
    <col min="6448" max="6448" width="12" style="819" customWidth="1"/>
    <col min="6449" max="6449" width="10.88671875" style="819" customWidth="1"/>
    <col min="6450" max="6450" width="12" style="819" bestFit="1" customWidth="1"/>
    <col min="6451" max="6451" width="9.5546875" style="819" customWidth="1"/>
    <col min="6452" max="6452" width="9.109375" style="819"/>
    <col min="6453" max="6453" width="12.5546875" style="819" bestFit="1" customWidth="1"/>
    <col min="6454" max="6657" width="9.109375" style="819"/>
    <col min="6658" max="6658" width="27.6640625" style="819" customWidth="1"/>
    <col min="6659" max="6659" width="11" style="819" bestFit="1" customWidth="1"/>
    <col min="6660" max="6660" width="12.6640625" style="819" bestFit="1" customWidth="1"/>
    <col min="6661" max="6661" width="13" style="819" customWidth="1"/>
    <col min="6662" max="6662" width="12.5546875" style="819" customWidth="1"/>
    <col min="6663" max="6663" width="12.6640625" style="819" bestFit="1" customWidth="1"/>
    <col min="6664" max="6665" width="9.33203125" style="819" bestFit="1" customWidth="1"/>
    <col min="6666" max="6666" width="11.109375" style="819" bestFit="1" customWidth="1"/>
    <col min="6667" max="6667" width="9.33203125" style="819" bestFit="1" customWidth="1"/>
    <col min="6668" max="6668" width="11.33203125" style="819" customWidth="1"/>
    <col min="6669" max="6669" width="11.6640625" style="819" bestFit="1" customWidth="1"/>
    <col min="6670" max="6670" width="10.44140625" style="819" customWidth="1"/>
    <col min="6671" max="6671" width="11" style="819" customWidth="1"/>
    <col min="6672" max="6672" width="11.44140625" style="819" customWidth="1"/>
    <col min="6673" max="6673" width="9.88671875" style="819" customWidth="1"/>
    <col min="6674" max="6674" width="9.44140625" style="819" bestFit="1" customWidth="1"/>
    <col min="6675" max="6675" width="12.6640625" style="819" bestFit="1" customWidth="1"/>
    <col min="6676" max="6676" width="9.44140625" style="819" bestFit="1" customWidth="1"/>
    <col min="6677" max="6677" width="9.6640625" style="819" bestFit="1" customWidth="1"/>
    <col min="6678" max="6678" width="12.6640625" style="819" bestFit="1" customWidth="1"/>
    <col min="6679" max="6679" width="9.44140625" style="819" bestFit="1" customWidth="1"/>
    <col min="6680" max="6680" width="9.33203125" style="819" bestFit="1" customWidth="1"/>
    <col min="6681" max="6681" width="12.109375" style="819" bestFit="1" customWidth="1"/>
    <col min="6682" max="6682" width="9.33203125" style="819" bestFit="1" customWidth="1"/>
    <col min="6683" max="6683" width="12.109375" style="819" bestFit="1" customWidth="1"/>
    <col min="6684" max="6684" width="9.6640625" style="819" bestFit="1" customWidth="1"/>
    <col min="6685" max="6685" width="11.109375" style="819" customWidth="1"/>
    <col min="6686" max="6686" width="12.109375" style="819" bestFit="1" customWidth="1"/>
    <col min="6687" max="6687" width="12" style="819" customWidth="1"/>
    <col min="6688" max="6688" width="9.33203125" style="819" bestFit="1" customWidth="1"/>
    <col min="6689" max="6689" width="12.109375" style="819" bestFit="1" customWidth="1"/>
    <col min="6690" max="6691" width="9.33203125" style="819" bestFit="1" customWidth="1"/>
    <col min="6692" max="6692" width="12.33203125" style="819" bestFit="1" customWidth="1"/>
    <col min="6693" max="6693" width="9.33203125" style="819" bestFit="1" customWidth="1"/>
    <col min="6694" max="6694" width="12" style="819" bestFit="1" customWidth="1"/>
    <col min="6695" max="6695" width="9.109375" style="819"/>
    <col min="6696" max="6696" width="14.6640625" style="819" customWidth="1"/>
    <col min="6697" max="6697" width="12" style="819" bestFit="1" customWidth="1"/>
    <col min="6698" max="6699" width="9.109375" style="819"/>
    <col min="6700" max="6700" width="12.5546875" style="819" bestFit="1" customWidth="1"/>
    <col min="6701" max="6702" width="9.109375" style="819"/>
    <col min="6703" max="6703" width="12" style="819" bestFit="1" customWidth="1"/>
    <col min="6704" max="6704" width="12" style="819" customWidth="1"/>
    <col min="6705" max="6705" width="10.88671875" style="819" customWidth="1"/>
    <col min="6706" max="6706" width="12" style="819" bestFit="1" customWidth="1"/>
    <col min="6707" max="6707" width="9.5546875" style="819" customWidth="1"/>
    <col min="6708" max="6708" width="9.109375" style="819"/>
    <col min="6709" max="6709" width="12.5546875" style="819" bestFit="1" customWidth="1"/>
    <col min="6710" max="6913" width="9.109375" style="819"/>
    <col min="6914" max="6914" width="27.6640625" style="819" customWidth="1"/>
    <col min="6915" max="6915" width="11" style="819" bestFit="1" customWidth="1"/>
    <col min="6916" max="6916" width="12.6640625" style="819" bestFit="1" customWidth="1"/>
    <col min="6917" max="6917" width="13" style="819" customWidth="1"/>
    <col min="6918" max="6918" width="12.5546875" style="819" customWidth="1"/>
    <col min="6919" max="6919" width="12.6640625" style="819" bestFit="1" customWidth="1"/>
    <col min="6920" max="6921" width="9.33203125" style="819" bestFit="1" customWidth="1"/>
    <col min="6922" max="6922" width="11.109375" style="819" bestFit="1" customWidth="1"/>
    <col min="6923" max="6923" width="9.33203125" style="819" bestFit="1" customWidth="1"/>
    <col min="6924" max="6924" width="11.33203125" style="819" customWidth="1"/>
    <col min="6925" max="6925" width="11.6640625" style="819" bestFit="1" customWidth="1"/>
    <col min="6926" max="6926" width="10.44140625" style="819" customWidth="1"/>
    <col min="6927" max="6927" width="11" style="819" customWidth="1"/>
    <col min="6928" max="6928" width="11.44140625" style="819" customWidth="1"/>
    <col min="6929" max="6929" width="9.88671875" style="819" customWidth="1"/>
    <col min="6930" max="6930" width="9.44140625" style="819" bestFit="1" customWidth="1"/>
    <col min="6931" max="6931" width="12.6640625" style="819" bestFit="1" customWidth="1"/>
    <col min="6932" max="6932" width="9.44140625" style="819" bestFit="1" customWidth="1"/>
    <col min="6933" max="6933" width="9.6640625" style="819" bestFit="1" customWidth="1"/>
    <col min="6934" max="6934" width="12.6640625" style="819" bestFit="1" customWidth="1"/>
    <col min="6935" max="6935" width="9.44140625" style="819" bestFit="1" customWidth="1"/>
    <col min="6936" max="6936" width="9.33203125" style="819" bestFit="1" customWidth="1"/>
    <col min="6937" max="6937" width="12.109375" style="819" bestFit="1" customWidth="1"/>
    <col min="6938" max="6938" width="9.33203125" style="819" bestFit="1" customWidth="1"/>
    <col min="6939" max="6939" width="12.109375" style="819" bestFit="1" customWidth="1"/>
    <col min="6940" max="6940" width="9.6640625" style="819" bestFit="1" customWidth="1"/>
    <col min="6941" max="6941" width="11.109375" style="819" customWidth="1"/>
    <col min="6942" max="6942" width="12.109375" style="819" bestFit="1" customWidth="1"/>
    <col min="6943" max="6943" width="12" style="819" customWidth="1"/>
    <col min="6944" max="6944" width="9.33203125" style="819" bestFit="1" customWidth="1"/>
    <col min="6945" max="6945" width="12.109375" style="819" bestFit="1" customWidth="1"/>
    <col min="6946" max="6947" width="9.33203125" style="819" bestFit="1" customWidth="1"/>
    <col min="6948" max="6948" width="12.33203125" style="819" bestFit="1" customWidth="1"/>
    <col min="6949" max="6949" width="9.33203125" style="819" bestFit="1" customWidth="1"/>
    <col min="6950" max="6950" width="12" style="819" bestFit="1" customWidth="1"/>
    <col min="6951" max="6951" width="9.109375" style="819"/>
    <col min="6952" max="6952" width="14.6640625" style="819" customWidth="1"/>
    <col min="6953" max="6953" width="12" style="819" bestFit="1" customWidth="1"/>
    <col min="6954" max="6955" width="9.109375" style="819"/>
    <col min="6956" max="6956" width="12.5546875" style="819" bestFit="1" customWidth="1"/>
    <col min="6957" max="6958" width="9.109375" style="819"/>
    <col min="6959" max="6959" width="12" style="819" bestFit="1" customWidth="1"/>
    <col min="6960" max="6960" width="12" style="819" customWidth="1"/>
    <col min="6961" max="6961" width="10.88671875" style="819" customWidth="1"/>
    <col min="6962" max="6962" width="12" style="819" bestFit="1" customWidth="1"/>
    <col min="6963" max="6963" width="9.5546875" style="819" customWidth="1"/>
    <col min="6964" max="6964" width="9.109375" style="819"/>
    <col min="6965" max="6965" width="12.5546875" style="819" bestFit="1" customWidth="1"/>
    <col min="6966" max="7169" width="9.109375" style="819"/>
    <col min="7170" max="7170" width="27.6640625" style="819" customWidth="1"/>
    <col min="7171" max="7171" width="11" style="819" bestFit="1" customWidth="1"/>
    <col min="7172" max="7172" width="12.6640625" style="819" bestFit="1" customWidth="1"/>
    <col min="7173" max="7173" width="13" style="819" customWidth="1"/>
    <col min="7174" max="7174" width="12.5546875" style="819" customWidth="1"/>
    <col min="7175" max="7175" width="12.6640625" style="819" bestFit="1" customWidth="1"/>
    <col min="7176" max="7177" width="9.33203125" style="819" bestFit="1" customWidth="1"/>
    <col min="7178" max="7178" width="11.109375" style="819" bestFit="1" customWidth="1"/>
    <col min="7179" max="7179" width="9.33203125" style="819" bestFit="1" customWidth="1"/>
    <col min="7180" max="7180" width="11.33203125" style="819" customWidth="1"/>
    <col min="7181" max="7181" width="11.6640625" style="819" bestFit="1" customWidth="1"/>
    <col min="7182" max="7182" width="10.44140625" style="819" customWidth="1"/>
    <col min="7183" max="7183" width="11" style="819" customWidth="1"/>
    <col min="7184" max="7184" width="11.44140625" style="819" customWidth="1"/>
    <col min="7185" max="7185" width="9.88671875" style="819" customWidth="1"/>
    <col min="7186" max="7186" width="9.44140625" style="819" bestFit="1" customWidth="1"/>
    <col min="7187" max="7187" width="12.6640625" style="819" bestFit="1" customWidth="1"/>
    <col min="7188" max="7188" width="9.44140625" style="819" bestFit="1" customWidth="1"/>
    <col min="7189" max="7189" width="9.6640625" style="819" bestFit="1" customWidth="1"/>
    <col min="7190" max="7190" width="12.6640625" style="819" bestFit="1" customWidth="1"/>
    <col min="7191" max="7191" width="9.44140625" style="819" bestFit="1" customWidth="1"/>
    <col min="7192" max="7192" width="9.33203125" style="819" bestFit="1" customWidth="1"/>
    <col min="7193" max="7193" width="12.109375" style="819" bestFit="1" customWidth="1"/>
    <col min="7194" max="7194" width="9.33203125" style="819" bestFit="1" customWidth="1"/>
    <col min="7195" max="7195" width="12.109375" style="819" bestFit="1" customWidth="1"/>
    <col min="7196" max="7196" width="9.6640625" style="819" bestFit="1" customWidth="1"/>
    <col min="7197" max="7197" width="11.109375" style="819" customWidth="1"/>
    <col min="7198" max="7198" width="12.109375" style="819" bestFit="1" customWidth="1"/>
    <col min="7199" max="7199" width="12" style="819" customWidth="1"/>
    <col min="7200" max="7200" width="9.33203125" style="819" bestFit="1" customWidth="1"/>
    <col min="7201" max="7201" width="12.109375" style="819" bestFit="1" customWidth="1"/>
    <col min="7202" max="7203" width="9.33203125" style="819" bestFit="1" customWidth="1"/>
    <col min="7204" max="7204" width="12.33203125" style="819" bestFit="1" customWidth="1"/>
    <col min="7205" max="7205" width="9.33203125" style="819" bestFit="1" customWidth="1"/>
    <col min="7206" max="7206" width="12" style="819" bestFit="1" customWidth="1"/>
    <col min="7207" max="7207" width="9.109375" style="819"/>
    <col min="7208" max="7208" width="14.6640625" style="819" customWidth="1"/>
    <col min="7209" max="7209" width="12" style="819" bestFit="1" customWidth="1"/>
    <col min="7210" max="7211" width="9.109375" style="819"/>
    <col min="7212" max="7212" width="12.5546875" style="819" bestFit="1" customWidth="1"/>
    <col min="7213" max="7214" width="9.109375" style="819"/>
    <col min="7215" max="7215" width="12" style="819" bestFit="1" customWidth="1"/>
    <col min="7216" max="7216" width="12" style="819" customWidth="1"/>
    <col min="7217" max="7217" width="10.88671875" style="819" customWidth="1"/>
    <col min="7218" max="7218" width="12" style="819" bestFit="1" customWidth="1"/>
    <col min="7219" max="7219" width="9.5546875" style="819" customWidth="1"/>
    <col min="7220" max="7220" width="9.109375" style="819"/>
    <col min="7221" max="7221" width="12.5546875" style="819" bestFit="1" customWidth="1"/>
    <col min="7222" max="7425" width="9.109375" style="819"/>
    <col min="7426" max="7426" width="27.6640625" style="819" customWidth="1"/>
    <col min="7427" max="7427" width="11" style="819" bestFit="1" customWidth="1"/>
    <col min="7428" max="7428" width="12.6640625" style="819" bestFit="1" customWidth="1"/>
    <col min="7429" max="7429" width="13" style="819" customWidth="1"/>
    <col min="7430" max="7430" width="12.5546875" style="819" customWidth="1"/>
    <col min="7431" max="7431" width="12.6640625" style="819" bestFit="1" customWidth="1"/>
    <col min="7432" max="7433" width="9.33203125" style="819" bestFit="1" customWidth="1"/>
    <col min="7434" max="7434" width="11.109375" style="819" bestFit="1" customWidth="1"/>
    <col min="7435" max="7435" width="9.33203125" style="819" bestFit="1" customWidth="1"/>
    <col min="7436" max="7436" width="11.33203125" style="819" customWidth="1"/>
    <col min="7437" max="7437" width="11.6640625" style="819" bestFit="1" customWidth="1"/>
    <col min="7438" max="7438" width="10.44140625" style="819" customWidth="1"/>
    <col min="7439" max="7439" width="11" style="819" customWidth="1"/>
    <col min="7440" max="7440" width="11.44140625" style="819" customWidth="1"/>
    <col min="7441" max="7441" width="9.88671875" style="819" customWidth="1"/>
    <col min="7442" max="7442" width="9.44140625" style="819" bestFit="1" customWidth="1"/>
    <col min="7443" max="7443" width="12.6640625" style="819" bestFit="1" customWidth="1"/>
    <col min="7444" max="7444" width="9.44140625" style="819" bestFit="1" customWidth="1"/>
    <col min="7445" max="7445" width="9.6640625" style="819" bestFit="1" customWidth="1"/>
    <col min="7446" max="7446" width="12.6640625" style="819" bestFit="1" customWidth="1"/>
    <col min="7447" max="7447" width="9.44140625" style="819" bestFit="1" customWidth="1"/>
    <col min="7448" max="7448" width="9.33203125" style="819" bestFit="1" customWidth="1"/>
    <col min="7449" max="7449" width="12.109375" style="819" bestFit="1" customWidth="1"/>
    <col min="7450" max="7450" width="9.33203125" style="819" bestFit="1" customWidth="1"/>
    <col min="7451" max="7451" width="12.109375" style="819" bestFit="1" customWidth="1"/>
    <col min="7452" max="7452" width="9.6640625" style="819" bestFit="1" customWidth="1"/>
    <col min="7453" max="7453" width="11.109375" style="819" customWidth="1"/>
    <col min="7454" max="7454" width="12.109375" style="819" bestFit="1" customWidth="1"/>
    <col min="7455" max="7455" width="12" style="819" customWidth="1"/>
    <col min="7456" max="7456" width="9.33203125" style="819" bestFit="1" customWidth="1"/>
    <col min="7457" max="7457" width="12.109375" style="819" bestFit="1" customWidth="1"/>
    <col min="7458" max="7459" width="9.33203125" style="819" bestFit="1" customWidth="1"/>
    <col min="7460" max="7460" width="12.33203125" style="819" bestFit="1" customWidth="1"/>
    <col min="7461" max="7461" width="9.33203125" style="819" bestFit="1" customWidth="1"/>
    <col min="7462" max="7462" width="12" style="819" bestFit="1" customWidth="1"/>
    <col min="7463" max="7463" width="9.109375" style="819"/>
    <col min="7464" max="7464" width="14.6640625" style="819" customWidth="1"/>
    <col min="7465" max="7465" width="12" style="819" bestFit="1" customWidth="1"/>
    <col min="7466" max="7467" width="9.109375" style="819"/>
    <col min="7468" max="7468" width="12.5546875" style="819" bestFit="1" customWidth="1"/>
    <col min="7469" max="7470" width="9.109375" style="819"/>
    <col min="7471" max="7471" width="12" style="819" bestFit="1" customWidth="1"/>
    <col min="7472" max="7472" width="12" style="819" customWidth="1"/>
    <col min="7473" max="7473" width="10.88671875" style="819" customWidth="1"/>
    <col min="7474" max="7474" width="12" style="819" bestFit="1" customWidth="1"/>
    <col min="7475" max="7475" width="9.5546875" style="819" customWidth="1"/>
    <col min="7476" max="7476" width="9.109375" style="819"/>
    <col min="7477" max="7477" width="12.5546875" style="819" bestFit="1" customWidth="1"/>
    <col min="7478" max="7681" width="9.109375" style="819"/>
    <col min="7682" max="7682" width="27.6640625" style="819" customWidth="1"/>
    <col min="7683" max="7683" width="11" style="819" bestFit="1" customWidth="1"/>
    <col min="7684" max="7684" width="12.6640625" style="819" bestFit="1" customWidth="1"/>
    <col min="7685" max="7685" width="13" style="819" customWidth="1"/>
    <col min="7686" max="7686" width="12.5546875" style="819" customWidth="1"/>
    <col min="7687" max="7687" width="12.6640625" style="819" bestFit="1" customWidth="1"/>
    <col min="7688" max="7689" width="9.33203125" style="819" bestFit="1" customWidth="1"/>
    <col min="7690" max="7690" width="11.109375" style="819" bestFit="1" customWidth="1"/>
    <col min="7691" max="7691" width="9.33203125" style="819" bestFit="1" customWidth="1"/>
    <col min="7692" max="7692" width="11.33203125" style="819" customWidth="1"/>
    <col min="7693" max="7693" width="11.6640625" style="819" bestFit="1" customWidth="1"/>
    <col min="7694" max="7694" width="10.44140625" style="819" customWidth="1"/>
    <col min="7695" max="7695" width="11" style="819" customWidth="1"/>
    <col min="7696" max="7696" width="11.44140625" style="819" customWidth="1"/>
    <col min="7697" max="7697" width="9.88671875" style="819" customWidth="1"/>
    <col min="7698" max="7698" width="9.44140625" style="819" bestFit="1" customWidth="1"/>
    <col min="7699" max="7699" width="12.6640625" style="819" bestFit="1" customWidth="1"/>
    <col min="7700" max="7700" width="9.44140625" style="819" bestFit="1" customWidth="1"/>
    <col min="7701" max="7701" width="9.6640625" style="819" bestFit="1" customWidth="1"/>
    <col min="7702" max="7702" width="12.6640625" style="819" bestFit="1" customWidth="1"/>
    <col min="7703" max="7703" width="9.44140625" style="819" bestFit="1" customWidth="1"/>
    <col min="7704" max="7704" width="9.33203125" style="819" bestFit="1" customWidth="1"/>
    <col min="7705" max="7705" width="12.109375" style="819" bestFit="1" customWidth="1"/>
    <col min="7706" max="7706" width="9.33203125" style="819" bestFit="1" customWidth="1"/>
    <col min="7707" max="7707" width="12.109375" style="819" bestFit="1" customWidth="1"/>
    <col min="7708" max="7708" width="9.6640625" style="819" bestFit="1" customWidth="1"/>
    <col min="7709" max="7709" width="11.109375" style="819" customWidth="1"/>
    <col min="7710" max="7710" width="12.109375" style="819" bestFit="1" customWidth="1"/>
    <col min="7711" max="7711" width="12" style="819" customWidth="1"/>
    <col min="7712" max="7712" width="9.33203125" style="819" bestFit="1" customWidth="1"/>
    <col min="7713" max="7713" width="12.109375" style="819" bestFit="1" customWidth="1"/>
    <col min="7714" max="7715" width="9.33203125" style="819" bestFit="1" customWidth="1"/>
    <col min="7716" max="7716" width="12.33203125" style="819" bestFit="1" customWidth="1"/>
    <col min="7717" max="7717" width="9.33203125" style="819" bestFit="1" customWidth="1"/>
    <col min="7718" max="7718" width="12" style="819" bestFit="1" customWidth="1"/>
    <col min="7719" max="7719" width="9.109375" style="819"/>
    <col min="7720" max="7720" width="14.6640625" style="819" customWidth="1"/>
    <col min="7721" max="7721" width="12" style="819" bestFit="1" customWidth="1"/>
    <col min="7722" max="7723" width="9.109375" style="819"/>
    <col min="7724" max="7724" width="12.5546875" style="819" bestFit="1" customWidth="1"/>
    <col min="7725" max="7726" width="9.109375" style="819"/>
    <col min="7727" max="7727" width="12" style="819" bestFit="1" customWidth="1"/>
    <col min="7728" max="7728" width="12" style="819" customWidth="1"/>
    <col min="7729" max="7729" width="10.88671875" style="819" customWidth="1"/>
    <col min="7730" max="7730" width="12" style="819" bestFit="1" customWidth="1"/>
    <col min="7731" max="7731" width="9.5546875" style="819" customWidth="1"/>
    <col min="7732" max="7732" width="9.109375" style="819"/>
    <col min="7733" max="7733" width="12.5546875" style="819" bestFit="1" customWidth="1"/>
    <col min="7734" max="7937" width="9.109375" style="819"/>
    <col min="7938" max="7938" width="27.6640625" style="819" customWidth="1"/>
    <col min="7939" max="7939" width="11" style="819" bestFit="1" customWidth="1"/>
    <col min="7940" max="7940" width="12.6640625" style="819" bestFit="1" customWidth="1"/>
    <col min="7941" max="7941" width="13" style="819" customWidth="1"/>
    <col min="7942" max="7942" width="12.5546875" style="819" customWidth="1"/>
    <col min="7943" max="7943" width="12.6640625" style="819" bestFit="1" customWidth="1"/>
    <col min="7944" max="7945" width="9.33203125" style="819" bestFit="1" customWidth="1"/>
    <col min="7946" max="7946" width="11.109375" style="819" bestFit="1" customWidth="1"/>
    <col min="7947" max="7947" width="9.33203125" style="819" bestFit="1" customWidth="1"/>
    <col min="7948" max="7948" width="11.33203125" style="819" customWidth="1"/>
    <col min="7949" max="7949" width="11.6640625" style="819" bestFit="1" customWidth="1"/>
    <col min="7950" max="7950" width="10.44140625" style="819" customWidth="1"/>
    <col min="7951" max="7951" width="11" style="819" customWidth="1"/>
    <col min="7952" max="7952" width="11.44140625" style="819" customWidth="1"/>
    <col min="7953" max="7953" width="9.88671875" style="819" customWidth="1"/>
    <col min="7954" max="7954" width="9.44140625" style="819" bestFit="1" customWidth="1"/>
    <col min="7955" max="7955" width="12.6640625" style="819" bestFit="1" customWidth="1"/>
    <col min="7956" max="7956" width="9.44140625" style="819" bestFit="1" customWidth="1"/>
    <col min="7957" max="7957" width="9.6640625" style="819" bestFit="1" customWidth="1"/>
    <col min="7958" max="7958" width="12.6640625" style="819" bestFit="1" customWidth="1"/>
    <col min="7959" max="7959" width="9.44140625" style="819" bestFit="1" customWidth="1"/>
    <col min="7960" max="7960" width="9.33203125" style="819" bestFit="1" customWidth="1"/>
    <col min="7961" max="7961" width="12.109375" style="819" bestFit="1" customWidth="1"/>
    <col min="7962" max="7962" width="9.33203125" style="819" bestFit="1" customWidth="1"/>
    <col min="7963" max="7963" width="12.109375" style="819" bestFit="1" customWidth="1"/>
    <col min="7964" max="7964" width="9.6640625" style="819" bestFit="1" customWidth="1"/>
    <col min="7965" max="7965" width="11.109375" style="819" customWidth="1"/>
    <col min="7966" max="7966" width="12.109375" style="819" bestFit="1" customWidth="1"/>
    <col min="7967" max="7967" width="12" style="819" customWidth="1"/>
    <col min="7968" max="7968" width="9.33203125" style="819" bestFit="1" customWidth="1"/>
    <col min="7969" max="7969" width="12.109375" style="819" bestFit="1" customWidth="1"/>
    <col min="7970" max="7971" width="9.33203125" style="819" bestFit="1" customWidth="1"/>
    <col min="7972" max="7972" width="12.33203125" style="819" bestFit="1" customWidth="1"/>
    <col min="7973" max="7973" width="9.33203125" style="819" bestFit="1" customWidth="1"/>
    <col min="7974" max="7974" width="12" style="819" bestFit="1" customWidth="1"/>
    <col min="7975" max="7975" width="9.109375" style="819"/>
    <col min="7976" max="7976" width="14.6640625" style="819" customWidth="1"/>
    <col min="7977" max="7977" width="12" style="819" bestFit="1" customWidth="1"/>
    <col min="7978" max="7979" width="9.109375" style="819"/>
    <col min="7980" max="7980" width="12.5546875" style="819" bestFit="1" customWidth="1"/>
    <col min="7981" max="7982" width="9.109375" style="819"/>
    <col min="7983" max="7983" width="12" style="819" bestFit="1" customWidth="1"/>
    <col min="7984" max="7984" width="12" style="819" customWidth="1"/>
    <col min="7985" max="7985" width="10.88671875" style="819" customWidth="1"/>
    <col min="7986" max="7986" width="12" style="819" bestFit="1" customWidth="1"/>
    <col min="7987" max="7987" width="9.5546875" style="819" customWidth="1"/>
    <col min="7988" max="7988" width="9.109375" style="819"/>
    <col min="7989" max="7989" width="12.5546875" style="819" bestFit="1" customWidth="1"/>
    <col min="7990" max="8193" width="9.109375" style="819"/>
    <col min="8194" max="8194" width="27.6640625" style="819" customWidth="1"/>
    <col min="8195" max="8195" width="11" style="819" bestFit="1" customWidth="1"/>
    <col min="8196" max="8196" width="12.6640625" style="819" bestFit="1" customWidth="1"/>
    <col min="8197" max="8197" width="13" style="819" customWidth="1"/>
    <col min="8198" max="8198" width="12.5546875" style="819" customWidth="1"/>
    <col min="8199" max="8199" width="12.6640625" style="819" bestFit="1" customWidth="1"/>
    <col min="8200" max="8201" width="9.33203125" style="819" bestFit="1" customWidth="1"/>
    <col min="8202" max="8202" width="11.109375" style="819" bestFit="1" customWidth="1"/>
    <col min="8203" max="8203" width="9.33203125" style="819" bestFit="1" customWidth="1"/>
    <col min="8204" max="8204" width="11.33203125" style="819" customWidth="1"/>
    <col min="8205" max="8205" width="11.6640625" style="819" bestFit="1" customWidth="1"/>
    <col min="8206" max="8206" width="10.44140625" style="819" customWidth="1"/>
    <col min="8207" max="8207" width="11" style="819" customWidth="1"/>
    <col min="8208" max="8208" width="11.44140625" style="819" customWidth="1"/>
    <col min="8209" max="8209" width="9.88671875" style="819" customWidth="1"/>
    <col min="8210" max="8210" width="9.44140625" style="819" bestFit="1" customWidth="1"/>
    <col min="8211" max="8211" width="12.6640625" style="819" bestFit="1" customWidth="1"/>
    <col min="8212" max="8212" width="9.44140625" style="819" bestFit="1" customWidth="1"/>
    <col min="8213" max="8213" width="9.6640625" style="819" bestFit="1" customWidth="1"/>
    <col min="8214" max="8214" width="12.6640625" style="819" bestFit="1" customWidth="1"/>
    <col min="8215" max="8215" width="9.44140625" style="819" bestFit="1" customWidth="1"/>
    <col min="8216" max="8216" width="9.33203125" style="819" bestFit="1" customWidth="1"/>
    <col min="8217" max="8217" width="12.109375" style="819" bestFit="1" customWidth="1"/>
    <col min="8218" max="8218" width="9.33203125" style="819" bestFit="1" customWidth="1"/>
    <col min="8219" max="8219" width="12.109375" style="819" bestFit="1" customWidth="1"/>
    <col min="8220" max="8220" width="9.6640625" style="819" bestFit="1" customWidth="1"/>
    <col min="8221" max="8221" width="11.109375" style="819" customWidth="1"/>
    <col min="8222" max="8222" width="12.109375" style="819" bestFit="1" customWidth="1"/>
    <col min="8223" max="8223" width="12" style="819" customWidth="1"/>
    <col min="8224" max="8224" width="9.33203125" style="819" bestFit="1" customWidth="1"/>
    <col min="8225" max="8225" width="12.109375" style="819" bestFit="1" customWidth="1"/>
    <col min="8226" max="8227" width="9.33203125" style="819" bestFit="1" customWidth="1"/>
    <col min="8228" max="8228" width="12.33203125" style="819" bestFit="1" customWidth="1"/>
    <col min="8229" max="8229" width="9.33203125" style="819" bestFit="1" customWidth="1"/>
    <col min="8230" max="8230" width="12" style="819" bestFit="1" customWidth="1"/>
    <col min="8231" max="8231" width="9.109375" style="819"/>
    <col min="8232" max="8232" width="14.6640625" style="819" customWidth="1"/>
    <col min="8233" max="8233" width="12" style="819" bestFit="1" customWidth="1"/>
    <col min="8234" max="8235" width="9.109375" style="819"/>
    <col min="8236" max="8236" width="12.5546875" style="819" bestFit="1" customWidth="1"/>
    <col min="8237" max="8238" width="9.109375" style="819"/>
    <col min="8239" max="8239" width="12" style="819" bestFit="1" customWidth="1"/>
    <col min="8240" max="8240" width="12" style="819" customWidth="1"/>
    <col min="8241" max="8241" width="10.88671875" style="819" customWidth="1"/>
    <col min="8242" max="8242" width="12" style="819" bestFit="1" customWidth="1"/>
    <col min="8243" max="8243" width="9.5546875" style="819" customWidth="1"/>
    <col min="8244" max="8244" width="9.109375" style="819"/>
    <col min="8245" max="8245" width="12.5546875" style="819" bestFit="1" customWidth="1"/>
    <col min="8246" max="8449" width="9.109375" style="819"/>
    <col min="8450" max="8450" width="27.6640625" style="819" customWidth="1"/>
    <col min="8451" max="8451" width="11" style="819" bestFit="1" customWidth="1"/>
    <col min="8452" max="8452" width="12.6640625" style="819" bestFit="1" customWidth="1"/>
    <col min="8453" max="8453" width="13" style="819" customWidth="1"/>
    <col min="8454" max="8454" width="12.5546875" style="819" customWidth="1"/>
    <col min="8455" max="8455" width="12.6640625" style="819" bestFit="1" customWidth="1"/>
    <col min="8456" max="8457" width="9.33203125" style="819" bestFit="1" customWidth="1"/>
    <col min="8458" max="8458" width="11.109375" style="819" bestFit="1" customWidth="1"/>
    <col min="8459" max="8459" width="9.33203125" style="819" bestFit="1" customWidth="1"/>
    <col min="8460" max="8460" width="11.33203125" style="819" customWidth="1"/>
    <col min="8461" max="8461" width="11.6640625" style="819" bestFit="1" customWidth="1"/>
    <col min="8462" max="8462" width="10.44140625" style="819" customWidth="1"/>
    <col min="8463" max="8463" width="11" style="819" customWidth="1"/>
    <col min="8464" max="8464" width="11.44140625" style="819" customWidth="1"/>
    <col min="8465" max="8465" width="9.88671875" style="819" customWidth="1"/>
    <col min="8466" max="8466" width="9.44140625" style="819" bestFit="1" customWidth="1"/>
    <col min="8467" max="8467" width="12.6640625" style="819" bestFit="1" customWidth="1"/>
    <col min="8468" max="8468" width="9.44140625" style="819" bestFit="1" customWidth="1"/>
    <col min="8469" max="8469" width="9.6640625" style="819" bestFit="1" customWidth="1"/>
    <col min="8470" max="8470" width="12.6640625" style="819" bestFit="1" customWidth="1"/>
    <col min="8471" max="8471" width="9.44140625" style="819" bestFit="1" customWidth="1"/>
    <col min="8472" max="8472" width="9.33203125" style="819" bestFit="1" customWidth="1"/>
    <col min="8473" max="8473" width="12.109375" style="819" bestFit="1" customWidth="1"/>
    <col min="8474" max="8474" width="9.33203125" style="819" bestFit="1" customWidth="1"/>
    <col min="8475" max="8475" width="12.109375" style="819" bestFit="1" customWidth="1"/>
    <col min="8476" max="8476" width="9.6640625" style="819" bestFit="1" customWidth="1"/>
    <col min="8477" max="8477" width="11.109375" style="819" customWidth="1"/>
    <col min="8478" max="8478" width="12.109375" style="819" bestFit="1" customWidth="1"/>
    <col min="8479" max="8479" width="12" style="819" customWidth="1"/>
    <col min="8480" max="8480" width="9.33203125" style="819" bestFit="1" customWidth="1"/>
    <col min="8481" max="8481" width="12.109375" style="819" bestFit="1" customWidth="1"/>
    <col min="8482" max="8483" width="9.33203125" style="819" bestFit="1" customWidth="1"/>
    <col min="8484" max="8484" width="12.33203125" style="819" bestFit="1" customWidth="1"/>
    <col min="8485" max="8485" width="9.33203125" style="819" bestFit="1" customWidth="1"/>
    <col min="8486" max="8486" width="12" style="819" bestFit="1" customWidth="1"/>
    <col min="8487" max="8487" width="9.109375" style="819"/>
    <col min="8488" max="8488" width="14.6640625" style="819" customWidth="1"/>
    <col min="8489" max="8489" width="12" style="819" bestFit="1" customWidth="1"/>
    <col min="8490" max="8491" width="9.109375" style="819"/>
    <col min="8492" max="8492" width="12.5546875" style="819" bestFit="1" customWidth="1"/>
    <col min="8493" max="8494" width="9.109375" style="819"/>
    <col min="8495" max="8495" width="12" style="819" bestFit="1" customWidth="1"/>
    <col min="8496" max="8496" width="12" style="819" customWidth="1"/>
    <col min="8497" max="8497" width="10.88671875" style="819" customWidth="1"/>
    <col min="8498" max="8498" width="12" style="819" bestFit="1" customWidth="1"/>
    <col min="8499" max="8499" width="9.5546875" style="819" customWidth="1"/>
    <col min="8500" max="8500" width="9.109375" style="819"/>
    <col min="8501" max="8501" width="12.5546875" style="819" bestFit="1" customWidth="1"/>
    <col min="8502" max="8705" width="9.109375" style="819"/>
    <col min="8706" max="8706" width="27.6640625" style="819" customWidth="1"/>
    <col min="8707" max="8707" width="11" style="819" bestFit="1" customWidth="1"/>
    <col min="8708" max="8708" width="12.6640625" style="819" bestFit="1" customWidth="1"/>
    <col min="8709" max="8709" width="13" style="819" customWidth="1"/>
    <col min="8710" max="8710" width="12.5546875" style="819" customWidth="1"/>
    <col min="8711" max="8711" width="12.6640625" style="819" bestFit="1" customWidth="1"/>
    <col min="8712" max="8713" width="9.33203125" style="819" bestFit="1" customWidth="1"/>
    <col min="8714" max="8714" width="11.109375" style="819" bestFit="1" customWidth="1"/>
    <col min="8715" max="8715" width="9.33203125" style="819" bestFit="1" customWidth="1"/>
    <col min="8716" max="8716" width="11.33203125" style="819" customWidth="1"/>
    <col min="8717" max="8717" width="11.6640625" style="819" bestFit="1" customWidth="1"/>
    <col min="8718" max="8718" width="10.44140625" style="819" customWidth="1"/>
    <col min="8719" max="8719" width="11" style="819" customWidth="1"/>
    <col min="8720" max="8720" width="11.44140625" style="819" customWidth="1"/>
    <col min="8721" max="8721" width="9.88671875" style="819" customWidth="1"/>
    <col min="8722" max="8722" width="9.44140625" style="819" bestFit="1" customWidth="1"/>
    <col min="8723" max="8723" width="12.6640625" style="819" bestFit="1" customWidth="1"/>
    <col min="8724" max="8724" width="9.44140625" style="819" bestFit="1" customWidth="1"/>
    <col min="8725" max="8725" width="9.6640625" style="819" bestFit="1" customWidth="1"/>
    <col min="8726" max="8726" width="12.6640625" style="819" bestFit="1" customWidth="1"/>
    <col min="8727" max="8727" width="9.44140625" style="819" bestFit="1" customWidth="1"/>
    <col min="8728" max="8728" width="9.33203125" style="819" bestFit="1" customWidth="1"/>
    <col min="8729" max="8729" width="12.109375" style="819" bestFit="1" customWidth="1"/>
    <col min="8730" max="8730" width="9.33203125" style="819" bestFit="1" customWidth="1"/>
    <col min="8731" max="8731" width="12.109375" style="819" bestFit="1" customWidth="1"/>
    <col min="8732" max="8732" width="9.6640625" style="819" bestFit="1" customWidth="1"/>
    <col min="8733" max="8733" width="11.109375" style="819" customWidth="1"/>
    <col min="8734" max="8734" width="12.109375" style="819" bestFit="1" customWidth="1"/>
    <col min="8735" max="8735" width="12" style="819" customWidth="1"/>
    <col min="8736" max="8736" width="9.33203125" style="819" bestFit="1" customWidth="1"/>
    <col min="8737" max="8737" width="12.109375" style="819" bestFit="1" customWidth="1"/>
    <col min="8738" max="8739" width="9.33203125" style="819" bestFit="1" customWidth="1"/>
    <col min="8740" max="8740" width="12.33203125" style="819" bestFit="1" customWidth="1"/>
    <col min="8741" max="8741" width="9.33203125" style="819" bestFit="1" customWidth="1"/>
    <col min="8742" max="8742" width="12" style="819" bestFit="1" customWidth="1"/>
    <col min="8743" max="8743" width="9.109375" style="819"/>
    <col min="8744" max="8744" width="14.6640625" style="819" customWidth="1"/>
    <col min="8745" max="8745" width="12" style="819" bestFit="1" customWidth="1"/>
    <col min="8746" max="8747" width="9.109375" style="819"/>
    <col min="8748" max="8748" width="12.5546875" style="819" bestFit="1" customWidth="1"/>
    <col min="8749" max="8750" width="9.109375" style="819"/>
    <col min="8751" max="8751" width="12" style="819" bestFit="1" customWidth="1"/>
    <col min="8752" max="8752" width="12" style="819" customWidth="1"/>
    <col min="8753" max="8753" width="10.88671875" style="819" customWidth="1"/>
    <col min="8754" max="8754" width="12" style="819" bestFit="1" customWidth="1"/>
    <col min="8755" max="8755" width="9.5546875" style="819" customWidth="1"/>
    <col min="8756" max="8756" width="9.109375" style="819"/>
    <col min="8757" max="8757" width="12.5546875" style="819" bestFit="1" customWidth="1"/>
    <col min="8758" max="8961" width="9.109375" style="819"/>
    <col min="8962" max="8962" width="27.6640625" style="819" customWidth="1"/>
    <col min="8963" max="8963" width="11" style="819" bestFit="1" customWidth="1"/>
    <col min="8964" max="8964" width="12.6640625" style="819" bestFit="1" customWidth="1"/>
    <col min="8965" max="8965" width="13" style="819" customWidth="1"/>
    <col min="8966" max="8966" width="12.5546875" style="819" customWidth="1"/>
    <col min="8967" max="8967" width="12.6640625" style="819" bestFit="1" customWidth="1"/>
    <col min="8968" max="8969" width="9.33203125" style="819" bestFit="1" customWidth="1"/>
    <col min="8970" max="8970" width="11.109375" style="819" bestFit="1" customWidth="1"/>
    <col min="8971" max="8971" width="9.33203125" style="819" bestFit="1" customWidth="1"/>
    <col min="8972" max="8972" width="11.33203125" style="819" customWidth="1"/>
    <col min="8973" max="8973" width="11.6640625" style="819" bestFit="1" customWidth="1"/>
    <col min="8974" max="8974" width="10.44140625" style="819" customWidth="1"/>
    <col min="8975" max="8975" width="11" style="819" customWidth="1"/>
    <col min="8976" max="8976" width="11.44140625" style="819" customWidth="1"/>
    <col min="8977" max="8977" width="9.88671875" style="819" customWidth="1"/>
    <col min="8978" max="8978" width="9.44140625" style="819" bestFit="1" customWidth="1"/>
    <col min="8979" max="8979" width="12.6640625" style="819" bestFit="1" customWidth="1"/>
    <col min="8980" max="8980" width="9.44140625" style="819" bestFit="1" customWidth="1"/>
    <col min="8981" max="8981" width="9.6640625" style="819" bestFit="1" customWidth="1"/>
    <col min="8982" max="8982" width="12.6640625" style="819" bestFit="1" customWidth="1"/>
    <col min="8983" max="8983" width="9.44140625" style="819" bestFit="1" customWidth="1"/>
    <col min="8984" max="8984" width="9.33203125" style="819" bestFit="1" customWidth="1"/>
    <col min="8985" max="8985" width="12.109375" style="819" bestFit="1" customWidth="1"/>
    <col min="8986" max="8986" width="9.33203125" style="819" bestFit="1" customWidth="1"/>
    <col min="8987" max="8987" width="12.109375" style="819" bestFit="1" customWidth="1"/>
    <col min="8988" max="8988" width="9.6640625" style="819" bestFit="1" customWidth="1"/>
    <col min="8989" max="8989" width="11.109375" style="819" customWidth="1"/>
    <col min="8990" max="8990" width="12.109375" style="819" bestFit="1" customWidth="1"/>
    <col min="8991" max="8991" width="12" style="819" customWidth="1"/>
    <col min="8992" max="8992" width="9.33203125" style="819" bestFit="1" customWidth="1"/>
    <col min="8993" max="8993" width="12.109375" style="819" bestFit="1" customWidth="1"/>
    <col min="8994" max="8995" width="9.33203125" style="819" bestFit="1" customWidth="1"/>
    <col min="8996" max="8996" width="12.33203125" style="819" bestFit="1" customWidth="1"/>
    <col min="8997" max="8997" width="9.33203125" style="819" bestFit="1" customWidth="1"/>
    <col min="8998" max="8998" width="12" style="819" bestFit="1" customWidth="1"/>
    <col min="8999" max="8999" width="9.109375" style="819"/>
    <col min="9000" max="9000" width="14.6640625" style="819" customWidth="1"/>
    <col min="9001" max="9001" width="12" style="819" bestFit="1" customWidth="1"/>
    <col min="9002" max="9003" width="9.109375" style="819"/>
    <col min="9004" max="9004" width="12.5546875" style="819" bestFit="1" customWidth="1"/>
    <col min="9005" max="9006" width="9.109375" style="819"/>
    <col min="9007" max="9007" width="12" style="819" bestFit="1" customWidth="1"/>
    <col min="9008" max="9008" width="12" style="819" customWidth="1"/>
    <col min="9009" max="9009" width="10.88671875" style="819" customWidth="1"/>
    <col min="9010" max="9010" width="12" style="819" bestFit="1" customWidth="1"/>
    <col min="9011" max="9011" width="9.5546875" style="819" customWidth="1"/>
    <col min="9012" max="9012" width="9.109375" style="819"/>
    <col min="9013" max="9013" width="12.5546875" style="819" bestFit="1" customWidth="1"/>
    <col min="9014" max="9217" width="9.109375" style="819"/>
    <col min="9218" max="9218" width="27.6640625" style="819" customWidth="1"/>
    <col min="9219" max="9219" width="11" style="819" bestFit="1" customWidth="1"/>
    <col min="9220" max="9220" width="12.6640625" style="819" bestFit="1" customWidth="1"/>
    <col min="9221" max="9221" width="13" style="819" customWidth="1"/>
    <col min="9222" max="9222" width="12.5546875" style="819" customWidth="1"/>
    <col min="9223" max="9223" width="12.6640625" style="819" bestFit="1" customWidth="1"/>
    <col min="9224" max="9225" width="9.33203125" style="819" bestFit="1" customWidth="1"/>
    <col min="9226" max="9226" width="11.109375" style="819" bestFit="1" customWidth="1"/>
    <col min="9227" max="9227" width="9.33203125" style="819" bestFit="1" customWidth="1"/>
    <col min="9228" max="9228" width="11.33203125" style="819" customWidth="1"/>
    <col min="9229" max="9229" width="11.6640625" style="819" bestFit="1" customWidth="1"/>
    <col min="9230" max="9230" width="10.44140625" style="819" customWidth="1"/>
    <col min="9231" max="9231" width="11" style="819" customWidth="1"/>
    <col min="9232" max="9232" width="11.44140625" style="819" customWidth="1"/>
    <col min="9233" max="9233" width="9.88671875" style="819" customWidth="1"/>
    <col min="9234" max="9234" width="9.44140625" style="819" bestFit="1" customWidth="1"/>
    <col min="9235" max="9235" width="12.6640625" style="819" bestFit="1" customWidth="1"/>
    <col min="9236" max="9236" width="9.44140625" style="819" bestFit="1" customWidth="1"/>
    <col min="9237" max="9237" width="9.6640625" style="819" bestFit="1" customWidth="1"/>
    <col min="9238" max="9238" width="12.6640625" style="819" bestFit="1" customWidth="1"/>
    <col min="9239" max="9239" width="9.44140625" style="819" bestFit="1" customWidth="1"/>
    <col min="9240" max="9240" width="9.33203125" style="819" bestFit="1" customWidth="1"/>
    <col min="9241" max="9241" width="12.109375" style="819" bestFit="1" customWidth="1"/>
    <col min="9242" max="9242" width="9.33203125" style="819" bestFit="1" customWidth="1"/>
    <col min="9243" max="9243" width="12.109375" style="819" bestFit="1" customWidth="1"/>
    <col min="9244" max="9244" width="9.6640625" style="819" bestFit="1" customWidth="1"/>
    <col min="9245" max="9245" width="11.109375" style="819" customWidth="1"/>
    <col min="9246" max="9246" width="12.109375" style="819" bestFit="1" customWidth="1"/>
    <col min="9247" max="9247" width="12" style="819" customWidth="1"/>
    <col min="9248" max="9248" width="9.33203125" style="819" bestFit="1" customWidth="1"/>
    <col min="9249" max="9249" width="12.109375" style="819" bestFit="1" customWidth="1"/>
    <col min="9250" max="9251" width="9.33203125" style="819" bestFit="1" customWidth="1"/>
    <col min="9252" max="9252" width="12.33203125" style="819" bestFit="1" customWidth="1"/>
    <col min="9253" max="9253" width="9.33203125" style="819" bestFit="1" customWidth="1"/>
    <col min="9254" max="9254" width="12" style="819" bestFit="1" customWidth="1"/>
    <col min="9255" max="9255" width="9.109375" style="819"/>
    <col min="9256" max="9256" width="14.6640625" style="819" customWidth="1"/>
    <col min="9257" max="9257" width="12" style="819" bestFit="1" customWidth="1"/>
    <col min="9258" max="9259" width="9.109375" style="819"/>
    <col min="9260" max="9260" width="12.5546875" style="819" bestFit="1" customWidth="1"/>
    <col min="9261" max="9262" width="9.109375" style="819"/>
    <col min="9263" max="9263" width="12" style="819" bestFit="1" customWidth="1"/>
    <col min="9264" max="9264" width="12" style="819" customWidth="1"/>
    <col min="9265" max="9265" width="10.88671875" style="819" customWidth="1"/>
    <col min="9266" max="9266" width="12" style="819" bestFit="1" customWidth="1"/>
    <col min="9267" max="9267" width="9.5546875" style="819" customWidth="1"/>
    <col min="9268" max="9268" width="9.109375" style="819"/>
    <col min="9269" max="9269" width="12.5546875" style="819" bestFit="1" customWidth="1"/>
    <col min="9270" max="9473" width="9.109375" style="819"/>
    <col min="9474" max="9474" width="27.6640625" style="819" customWidth="1"/>
    <col min="9475" max="9475" width="11" style="819" bestFit="1" customWidth="1"/>
    <col min="9476" max="9476" width="12.6640625" style="819" bestFit="1" customWidth="1"/>
    <col min="9477" max="9477" width="13" style="819" customWidth="1"/>
    <col min="9478" max="9478" width="12.5546875" style="819" customWidth="1"/>
    <col min="9479" max="9479" width="12.6640625" style="819" bestFit="1" customWidth="1"/>
    <col min="9480" max="9481" width="9.33203125" style="819" bestFit="1" customWidth="1"/>
    <col min="9482" max="9482" width="11.109375" style="819" bestFit="1" customWidth="1"/>
    <col min="9483" max="9483" width="9.33203125" style="819" bestFit="1" customWidth="1"/>
    <col min="9484" max="9484" width="11.33203125" style="819" customWidth="1"/>
    <col min="9485" max="9485" width="11.6640625" style="819" bestFit="1" customWidth="1"/>
    <col min="9486" max="9486" width="10.44140625" style="819" customWidth="1"/>
    <col min="9487" max="9487" width="11" style="819" customWidth="1"/>
    <col min="9488" max="9488" width="11.44140625" style="819" customWidth="1"/>
    <col min="9489" max="9489" width="9.88671875" style="819" customWidth="1"/>
    <col min="9490" max="9490" width="9.44140625" style="819" bestFit="1" customWidth="1"/>
    <col min="9491" max="9491" width="12.6640625" style="819" bestFit="1" customWidth="1"/>
    <col min="9492" max="9492" width="9.44140625" style="819" bestFit="1" customWidth="1"/>
    <col min="9493" max="9493" width="9.6640625" style="819" bestFit="1" customWidth="1"/>
    <col min="9494" max="9494" width="12.6640625" style="819" bestFit="1" customWidth="1"/>
    <col min="9495" max="9495" width="9.44140625" style="819" bestFit="1" customWidth="1"/>
    <col min="9496" max="9496" width="9.33203125" style="819" bestFit="1" customWidth="1"/>
    <col min="9497" max="9497" width="12.109375" style="819" bestFit="1" customWidth="1"/>
    <col min="9498" max="9498" width="9.33203125" style="819" bestFit="1" customWidth="1"/>
    <col min="9499" max="9499" width="12.109375" style="819" bestFit="1" customWidth="1"/>
    <col min="9500" max="9500" width="9.6640625" style="819" bestFit="1" customWidth="1"/>
    <col min="9501" max="9501" width="11.109375" style="819" customWidth="1"/>
    <col min="9502" max="9502" width="12.109375" style="819" bestFit="1" customWidth="1"/>
    <col min="9503" max="9503" width="12" style="819" customWidth="1"/>
    <col min="9504" max="9504" width="9.33203125" style="819" bestFit="1" customWidth="1"/>
    <col min="9505" max="9505" width="12.109375" style="819" bestFit="1" customWidth="1"/>
    <col min="9506" max="9507" width="9.33203125" style="819" bestFit="1" customWidth="1"/>
    <col min="9508" max="9508" width="12.33203125" style="819" bestFit="1" customWidth="1"/>
    <col min="9509" max="9509" width="9.33203125" style="819" bestFit="1" customWidth="1"/>
    <col min="9510" max="9510" width="12" style="819" bestFit="1" customWidth="1"/>
    <col min="9511" max="9511" width="9.109375" style="819"/>
    <col min="9512" max="9512" width="14.6640625" style="819" customWidth="1"/>
    <col min="9513" max="9513" width="12" style="819" bestFit="1" customWidth="1"/>
    <col min="9514" max="9515" width="9.109375" style="819"/>
    <col min="9516" max="9516" width="12.5546875" style="819" bestFit="1" customWidth="1"/>
    <col min="9517" max="9518" width="9.109375" style="819"/>
    <col min="9519" max="9519" width="12" style="819" bestFit="1" customWidth="1"/>
    <col min="9520" max="9520" width="12" style="819" customWidth="1"/>
    <col min="9521" max="9521" width="10.88671875" style="819" customWidth="1"/>
    <col min="9522" max="9522" width="12" style="819" bestFit="1" customWidth="1"/>
    <col min="9523" max="9523" width="9.5546875" style="819" customWidth="1"/>
    <col min="9524" max="9524" width="9.109375" style="819"/>
    <col min="9525" max="9525" width="12.5546875" style="819" bestFit="1" customWidth="1"/>
    <col min="9526" max="9729" width="9.109375" style="819"/>
    <col min="9730" max="9730" width="27.6640625" style="819" customWidth="1"/>
    <col min="9731" max="9731" width="11" style="819" bestFit="1" customWidth="1"/>
    <col min="9732" max="9732" width="12.6640625" style="819" bestFit="1" customWidth="1"/>
    <col min="9733" max="9733" width="13" style="819" customWidth="1"/>
    <col min="9734" max="9734" width="12.5546875" style="819" customWidth="1"/>
    <col min="9735" max="9735" width="12.6640625" style="819" bestFit="1" customWidth="1"/>
    <col min="9736" max="9737" width="9.33203125" style="819" bestFit="1" customWidth="1"/>
    <col min="9738" max="9738" width="11.109375" style="819" bestFit="1" customWidth="1"/>
    <col min="9739" max="9739" width="9.33203125" style="819" bestFit="1" customWidth="1"/>
    <col min="9740" max="9740" width="11.33203125" style="819" customWidth="1"/>
    <col min="9741" max="9741" width="11.6640625" style="819" bestFit="1" customWidth="1"/>
    <col min="9742" max="9742" width="10.44140625" style="819" customWidth="1"/>
    <col min="9743" max="9743" width="11" style="819" customWidth="1"/>
    <col min="9744" max="9744" width="11.44140625" style="819" customWidth="1"/>
    <col min="9745" max="9745" width="9.88671875" style="819" customWidth="1"/>
    <col min="9746" max="9746" width="9.44140625" style="819" bestFit="1" customWidth="1"/>
    <col min="9747" max="9747" width="12.6640625" style="819" bestFit="1" customWidth="1"/>
    <col min="9748" max="9748" width="9.44140625" style="819" bestFit="1" customWidth="1"/>
    <col min="9749" max="9749" width="9.6640625" style="819" bestFit="1" customWidth="1"/>
    <col min="9750" max="9750" width="12.6640625" style="819" bestFit="1" customWidth="1"/>
    <col min="9751" max="9751" width="9.44140625" style="819" bestFit="1" customWidth="1"/>
    <col min="9752" max="9752" width="9.33203125" style="819" bestFit="1" customWidth="1"/>
    <col min="9753" max="9753" width="12.109375" style="819" bestFit="1" customWidth="1"/>
    <col min="9754" max="9754" width="9.33203125" style="819" bestFit="1" customWidth="1"/>
    <col min="9755" max="9755" width="12.109375" style="819" bestFit="1" customWidth="1"/>
    <col min="9756" max="9756" width="9.6640625" style="819" bestFit="1" customWidth="1"/>
    <col min="9757" max="9757" width="11.109375" style="819" customWidth="1"/>
    <col min="9758" max="9758" width="12.109375" style="819" bestFit="1" customWidth="1"/>
    <col min="9759" max="9759" width="12" style="819" customWidth="1"/>
    <col min="9760" max="9760" width="9.33203125" style="819" bestFit="1" customWidth="1"/>
    <col min="9761" max="9761" width="12.109375" style="819" bestFit="1" customWidth="1"/>
    <col min="9762" max="9763" width="9.33203125" style="819" bestFit="1" customWidth="1"/>
    <col min="9764" max="9764" width="12.33203125" style="819" bestFit="1" customWidth="1"/>
    <col min="9765" max="9765" width="9.33203125" style="819" bestFit="1" customWidth="1"/>
    <col min="9766" max="9766" width="12" style="819" bestFit="1" customWidth="1"/>
    <col min="9767" max="9767" width="9.109375" style="819"/>
    <col min="9768" max="9768" width="14.6640625" style="819" customWidth="1"/>
    <col min="9769" max="9769" width="12" style="819" bestFit="1" customWidth="1"/>
    <col min="9770" max="9771" width="9.109375" style="819"/>
    <col min="9772" max="9772" width="12.5546875" style="819" bestFit="1" customWidth="1"/>
    <col min="9773" max="9774" width="9.109375" style="819"/>
    <col min="9775" max="9775" width="12" style="819" bestFit="1" customWidth="1"/>
    <col min="9776" max="9776" width="12" style="819" customWidth="1"/>
    <col min="9777" max="9777" width="10.88671875" style="819" customWidth="1"/>
    <col min="9778" max="9778" width="12" style="819" bestFit="1" customWidth="1"/>
    <col min="9779" max="9779" width="9.5546875" style="819" customWidth="1"/>
    <col min="9780" max="9780" width="9.109375" style="819"/>
    <col min="9781" max="9781" width="12.5546875" style="819" bestFit="1" customWidth="1"/>
    <col min="9782" max="9985" width="9.109375" style="819"/>
    <col min="9986" max="9986" width="27.6640625" style="819" customWidth="1"/>
    <col min="9987" max="9987" width="11" style="819" bestFit="1" customWidth="1"/>
    <col min="9988" max="9988" width="12.6640625" style="819" bestFit="1" customWidth="1"/>
    <col min="9989" max="9989" width="13" style="819" customWidth="1"/>
    <col min="9990" max="9990" width="12.5546875" style="819" customWidth="1"/>
    <col min="9991" max="9991" width="12.6640625" style="819" bestFit="1" customWidth="1"/>
    <col min="9992" max="9993" width="9.33203125" style="819" bestFit="1" customWidth="1"/>
    <col min="9994" max="9994" width="11.109375" style="819" bestFit="1" customWidth="1"/>
    <col min="9995" max="9995" width="9.33203125" style="819" bestFit="1" customWidth="1"/>
    <col min="9996" max="9996" width="11.33203125" style="819" customWidth="1"/>
    <col min="9997" max="9997" width="11.6640625" style="819" bestFit="1" customWidth="1"/>
    <col min="9998" max="9998" width="10.44140625" style="819" customWidth="1"/>
    <col min="9999" max="9999" width="11" style="819" customWidth="1"/>
    <col min="10000" max="10000" width="11.44140625" style="819" customWidth="1"/>
    <col min="10001" max="10001" width="9.88671875" style="819" customWidth="1"/>
    <col min="10002" max="10002" width="9.44140625" style="819" bestFit="1" customWidth="1"/>
    <col min="10003" max="10003" width="12.6640625" style="819" bestFit="1" customWidth="1"/>
    <col min="10004" max="10004" width="9.44140625" style="819" bestFit="1" customWidth="1"/>
    <col min="10005" max="10005" width="9.6640625" style="819" bestFit="1" customWidth="1"/>
    <col min="10006" max="10006" width="12.6640625" style="819" bestFit="1" customWidth="1"/>
    <col min="10007" max="10007" width="9.44140625" style="819" bestFit="1" customWidth="1"/>
    <col min="10008" max="10008" width="9.33203125" style="819" bestFit="1" customWidth="1"/>
    <col min="10009" max="10009" width="12.109375" style="819" bestFit="1" customWidth="1"/>
    <col min="10010" max="10010" width="9.33203125" style="819" bestFit="1" customWidth="1"/>
    <col min="10011" max="10011" width="12.109375" style="819" bestFit="1" customWidth="1"/>
    <col min="10012" max="10012" width="9.6640625" style="819" bestFit="1" customWidth="1"/>
    <col min="10013" max="10013" width="11.109375" style="819" customWidth="1"/>
    <col min="10014" max="10014" width="12.109375" style="819" bestFit="1" customWidth="1"/>
    <col min="10015" max="10015" width="12" style="819" customWidth="1"/>
    <col min="10016" max="10016" width="9.33203125" style="819" bestFit="1" customWidth="1"/>
    <col min="10017" max="10017" width="12.109375" style="819" bestFit="1" customWidth="1"/>
    <col min="10018" max="10019" width="9.33203125" style="819" bestFit="1" customWidth="1"/>
    <col min="10020" max="10020" width="12.33203125" style="819" bestFit="1" customWidth="1"/>
    <col min="10021" max="10021" width="9.33203125" style="819" bestFit="1" customWidth="1"/>
    <col min="10022" max="10022" width="12" style="819" bestFit="1" customWidth="1"/>
    <col min="10023" max="10023" width="9.109375" style="819"/>
    <col min="10024" max="10024" width="14.6640625" style="819" customWidth="1"/>
    <col min="10025" max="10025" width="12" style="819" bestFit="1" customWidth="1"/>
    <col min="10026" max="10027" width="9.109375" style="819"/>
    <col min="10028" max="10028" width="12.5546875" style="819" bestFit="1" customWidth="1"/>
    <col min="10029" max="10030" width="9.109375" style="819"/>
    <col min="10031" max="10031" width="12" style="819" bestFit="1" customWidth="1"/>
    <col min="10032" max="10032" width="12" style="819" customWidth="1"/>
    <col min="10033" max="10033" width="10.88671875" style="819" customWidth="1"/>
    <col min="10034" max="10034" width="12" style="819" bestFit="1" customWidth="1"/>
    <col min="10035" max="10035" width="9.5546875" style="819" customWidth="1"/>
    <col min="10036" max="10036" width="9.109375" style="819"/>
    <col min="10037" max="10037" width="12.5546875" style="819" bestFit="1" customWidth="1"/>
    <col min="10038" max="10241" width="9.109375" style="819"/>
    <col min="10242" max="10242" width="27.6640625" style="819" customWidth="1"/>
    <col min="10243" max="10243" width="11" style="819" bestFit="1" customWidth="1"/>
    <col min="10244" max="10244" width="12.6640625" style="819" bestFit="1" customWidth="1"/>
    <col min="10245" max="10245" width="13" style="819" customWidth="1"/>
    <col min="10246" max="10246" width="12.5546875" style="819" customWidth="1"/>
    <col min="10247" max="10247" width="12.6640625" style="819" bestFit="1" customWidth="1"/>
    <col min="10248" max="10249" width="9.33203125" style="819" bestFit="1" customWidth="1"/>
    <col min="10250" max="10250" width="11.109375" style="819" bestFit="1" customWidth="1"/>
    <col min="10251" max="10251" width="9.33203125" style="819" bestFit="1" customWidth="1"/>
    <col min="10252" max="10252" width="11.33203125" style="819" customWidth="1"/>
    <col min="10253" max="10253" width="11.6640625" style="819" bestFit="1" customWidth="1"/>
    <col min="10254" max="10254" width="10.44140625" style="819" customWidth="1"/>
    <col min="10255" max="10255" width="11" style="819" customWidth="1"/>
    <col min="10256" max="10256" width="11.44140625" style="819" customWidth="1"/>
    <col min="10257" max="10257" width="9.88671875" style="819" customWidth="1"/>
    <col min="10258" max="10258" width="9.44140625" style="819" bestFit="1" customWidth="1"/>
    <col min="10259" max="10259" width="12.6640625" style="819" bestFit="1" customWidth="1"/>
    <col min="10260" max="10260" width="9.44140625" style="819" bestFit="1" customWidth="1"/>
    <col min="10261" max="10261" width="9.6640625" style="819" bestFit="1" customWidth="1"/>
    <col min="10262" max="10262" width="12.6640625" style="819" bestFit="1" customWidth="1"/>
    <col min="10263" max="10263" width="9.44140625" style="819" bestFit="1" customWidth="1"/>
    <col min="10264" max="10264" width="9.33203125" style="819" bestFit="1" customWidth="1"/>
    <col min="10265" max="10265" width="12.109375" style="819" bestFit="1" customWidth="1"/>
    <col min="10266" max="10266" width="9.33203125" style="819" bestFit="1" customWidth="1"/>
    <col min="10267" max="10267" width="12.109375" style="819" bestFit="1" customWidth="1"/>
    <col min="10268" max="10268" width="9.6640625" style="819" bestFit="1" customWidth="1"/>
    <col min="10269" max="10269" width="11.109375" style="819" customWidth="1"/>
    <col min="10270" max="10270" width="12.109375" style="819" bestFit="1" customWidth="1"/>
    <col min="10271" max="10271" width="12" style="819" customWidth="1"/>
    <col min="10272" max="10272" width="9.33203125" style="819" bestFit="1" customWidth="1"/>
    <col min="10273" max="10273" width="12.109375" style="819" bestFit="1" customWidth="1"/>
    <col min="10274" max="10275" width="9.33203125" style="819" bestFit="1" customWidth="1"/>
    <col min="10276" max="10276" width="12.33203125" style="819" bestFit="1" customWidth="1"/>
    <col min="10277" max="10277" width="9.33203125" style="819" bestFit="1" customWidth="1"/>
    <col min="10278" max="10278" width="12" style="819" bestFit="1" customWidth="1"/>
    <col min="10279" max="10279" width="9.109375" style="819"/>
    <col min="10280" max="10280" width="14.6640625" style="819" customWidth="1"/>
    <col min="10281" max="10281" width="12" style="819" bestFit="1" customWidth="1"/>
    <col min="10282" max="10283" width="9.109375" style="819"/>
    <col min="10284" max="10284" width="12.5546875" style="819" bestFit="1" customWidth="1"/>
    <col min="10285" max="10286" width="9.109375" style="819"/>
    <col min="10287" max="10287" width="12" style="819" bestFit="1" customWidth="1"/>
    <col min="10288" max="10288" width="12" style="819" customWidth="1"/>
    <col min="10289" max="10289" width="10.88671875" style="819" customWidth="1"/>
    <col min="10290" max="10290" width="12" style="819" bestFit="1" customWidth="1"/>
    <col min="10291" max="10291" width="9.5546875" style="819" customWidth="1"/>
    <col min="10292" max="10292" width="9.109375" style="819"/>
    <col min="10293" max="10293" width="12.5546875" style="819" bestFit="1" customWidth="1"/>
    <col min="10294" max="10497" width="9.109375" style="819"/>
    <col min="10498" max="10498" width="27.6640625" style="819" customWidth="1"/>
    <col min="10499" max="10499" width="11" style="819" bestFit="1" customWidth="1"/>
    <col min="10500" max="10500" width="12.6640625" style="819" bestFit="1" customWidth="1"/>
    <col min="10501" max="10501" width="13" style="819" customWidth="1"/>
    <col min="10502" max="10502" width="12.5546875" style="819" customWidth="1"/>
    <col min="10503" max="10503" width="12.6640625" style="819" bestFit="1" customWidth="1"/>
    <col min="10504" max="10505" width="9.33203125" style="819" bestFit="1" customWidth="1"/>
    <col min="10506" max="10506" width="11.109375" style="819" bestFit="1" customWidth="1"/>
    <col min="10507" max="10507" width="9.33203125" style="819" bestFit="1" customWidth="1"/>
    <col min="10508" max="10508" width="11.33203125" style="819" customWidth="1"/>
    <col min="10509" max="10509" width="11.6640625" style="819" bestFit="1" customWidth="1"/>
    <col min="10510" max="10510" width="10.44140625" style="819" customWidth="1"/>
    <col min="10511" max="10511" width="11" style="819" customWidth="1"/>
    <col min="10512" max="10512" width="11.44140625" style="819" customWidth="1"/>
    <col min="10513" max="10513" width="9.88671875" style="819" customWidth="1"/>
    <col min="10514" max="10514" width="9.44140625" style="819" bestFit="1" customWidth="1"/>
    <col min="10515" max="10515" width="12.6640625" style="819" bestFit="1" customWidth="1"/>
    <col min="10516" max="10516" width="9.44140625" style="819" bestFit="1" customWidth="1"/>
    <col min="10517" max="10517" width="9.6640625" style="819" bestFit="1" customWidth="1"/>
    <col min="10518" max="10518" width="12.6640625" style="819" bestFit="1" customWidth="1"/>
    <col min="10519" max="10519" width="9.44140625" style="819" bestFit="1" customWidth="1"/>
    <col min="10520" max="10520" width="9.33203125" style="819" bestFit="1" customWidth="1"/>
    <col min="10521" max="10521" width="12.109375" style="819" bestFit="1" customWidth="1"/>
    <col min="10522" max="10522" width="9.33203125" style="819" bestFit="1" customWidth="1"/>
    <col min="10523" max="10523" width="12.109375" style="819" bestFit="1" customWidth="1"/>
    <col min="10524" max="10524" width="9.6640625" style="819" bestFit="1" customWidth="1"/>
    <col min="10525" max="10525" width="11.109375" style="819" customWidth="1"/>
    <col min="10526" max="10526" width="12.109375" style="819" bestFit="1" customWidth="1"/>
    <col min="10527" max="10527" width="12" style="819" customWidth="1"/>
    <col min="10528" max="10528" width="9.33203125" style="819" bestFit="1" customWidth="1"/>
    <col min="10529" max="10529" width="12.109375" style="819" bestFit="1" customWidth="1"/>
    <col min="10530" max="10531" width="9.33203125" style="819" bestFit="1" customWidth="1"/>
    <col min="10532" max="10532" width="12.33203125" style="819" bestFit="1" customWidth="1"/>
    <col min="10533" max="10533" width="9.33203125" style="819" bestFit="1" customWidth="1"/>
    <col min="10534" max="10534" width="12" style="819" bestFit="1" customWidth="1"/>
    <col min="10535" max="10535" width="9.109375" style="819"/>
    <col min="10536" max="10536" width="14.6640625" style="819" customWidth="1"/>
    <col min="10537" max="10537" width="12" style="819" bestFit="1" customWidth="1"/>
    <col min="10538" max="10539" width="9.109375" style="819"/>
    <col min="10540" max="10540" width="12.5546875" style="819" bestFit="1" customWidth="1"/>
    <col min="10541" max="10542" width="9.109375" style="819"/>
    <col min="10543" max="10543" width="12" style="819" bestFit="1" customWidth="1"/>
    <col min="10544" max="10544" width="12" style="819" customWidth="1"/>
    <col min="10545" max="10545" width="10.88671875" style="819" customWidth="1"/>
    <col min="10546" max="10546" width="12" style="819" bestFit="1" customWidth="1"/>
    <col min="10547" max="10547" width="9.5546875" style="819" customWidth="1"/>
    <col min="10548" max="10548" width="9.109375" style="819"/>
    <col min="10549" max="10549" width="12.5546875" style="819" bestFit="1" customWidth="1"/>
    <col min="10550" max="10753" width="9.109375" style="819"/>
    <col min="10754" max="10754" width="27.6640625" style="819" customWidth="1"/>
    <col min="10755" max="10755" width="11" style="819" bestFit="1" customWidth="1"/>
    <col min="10756" max="10756" width="12.6640625" style="819" bestFit="1" customWidth="1"/>
    <col min="10757" max="10757" width="13" style="819" customWidth="1"/>
    <col min="10758" max="10758" width="12.5546875" style="819" customWidth="1"/>
    <col min="10759" max="10759" width="12.6640625" style="819" bestFit="1" customWidth="1"/>
    <col min="10760" max="10761" width="9.33203125" style="819" bestFit="1" customWidth="1"/>
    <col min="10762" max="10762" width="11.109375" style="819" bestFit="1" customWidth="1"/>
    <col min="10763" max="10763" width="9.33203125" style="819" bestFit="1" customWidth="1"/>
    <col min="10764" max="10764" width="11.33203125" style="819" customWidth="1"/>
    <col min="10765" max="10765" width="11.6640625" style="819" bestFit="1" customWidth="1"/>
    <col min="10766" max="10766" width="10.44140625" style="819" customWidth="1"/>
    <col min="10767" max="10767" width="11" style="819" customWidth="1"/>
    <col min="10768" max="10768" width="11.44140625" style="819" customWidth="1"/>
    <col min="10769" max="10769" width="9.88671875" style="819" customWidth="1"/>
    <col min="10770" max="10770" width="9.44140625" style="819" bestFit="1" customWidth="1"/>
    <col min="10771" max="10771" width="12.6640625" style="819" bestFit="1" customWidth="1"/>
    <col min="10772" max="10772" width="9.44140625" style="819" bestFit="1" customWidth="1"/>
    <col min="10773" max="10773" width="9.6640625" style="819" bestFit="1" customWidth="1"/>
    <col min="10774" max="10774" width="12.6640625" style="819" bestFit="1" customWidth="1"/>
    <col min="10775" max="10775" width="9.44140625" style="819" bestFit="1" customWidth="1"/>
    <col min="10776" max="10776" width="9.33203125" style="819" bestFit="1" customWidth="1"/>
    <col min="10777" max="10777" width="12.109375" style="819" bestFit="1" customWidth="1"/>
    <col min="10778" max="10778" width="9.33203125" style="819" bestFit="1" customWidth="1"/>
    <col min="10779" max="10779" width="12.109375" style="819" bestFit="1" customWidth="1"/>
    <col min="10780" max="10780" width="9.6640625" style="819" bestFit="1" customWidth="1"/>
    <col min="10781" max="10781" width="11.109375" style="819" customWidth="1"/>
    <col min="10782" max="10782" width="12.109375" style="819" bestFit="1" customWidth="1"/>
    <col min="10783" max="10783" width="12" style="819" customWidth="1"/>
    <col min="10784" max="10784" width="9.33203125" style="819" bestFit="1" customWidth="1"/>
    <col min="10785" max="10785" width="12.109375" style="819" bestFit="1" customWidth="1"/>
    <col min="10786" max="10787" width="9.33203125" style="819" bestFit="1" customWidth="1"/>
    <col min="10788" max="10788" width="12.33203125" style="819" bestFit="1" customWidth="1"/>
    <col min="10789" max="10789" width="9.33203125" style="819" bestFit="1" customWidth="1"/>
    <col min="10790" max="10790" width="12" style="819" bestFit="1" customWidth="1"/>
    <col min="10791" max="10791" width="9.109375" style="819"/>
    <col min="10792" max="10792" width="14.6640625" style="819" customWidth="1"/>
    <col min="10793" max="10793" width="12" style="819" bestFit="1" customWidth="1"/>
    <col min="10794" max="10795" width="9.109375" style="819"/>
    <col min="10796" max="10796" width="12.5546875" style="819" bestFit="1" customWidth="1"/>
    <col min="10797" max="10798" width="9.109375" style="819"/>
    <col min="10799" max="10799" width="12" style="819" bestFit="1" customWidth="1"/>
    <col min="10800" max="10800" width="12" style="819" customWidth="1"/>
    <col min="10801" max="10801" width="10.88671875" style="819" customWidth="1"/>
    <col min="10802" max="10802" width="12" style="819" bestFit="1" customWidth="1"/>
    <col min="10803" max="10803" width="9.5546875" style="819" customWidth="1"/>
    <col min="10804" max="10804" width="9.109375" style="819"/>
    <col min="10805" max="10805" width="12.5546875" style="819" bestFit="1" customWidth="1"/>
    <col min="10806" max="11009" width="9.109375" style="819"/>
    <col min="11010" max="11010" width="27.6640625" style="819" customWidth="1"/>
    <col min="11011" max="11011" width="11" style="819" bestFit="1" customWidth="1"/>
    <col min="11012" max="11012" width="12.6640625" style="819" bestFit="1" customWidth="1"/>
    <col min="11013" max="11013" width="13" style="819" customWidth="1"/>
    <col min="11014" max="11014" width="12.5546875" style="819" customWidth="1"/>
    <col min="11015" max="11015" width="12.6640625" style="819" bestFit="1" customWidth="1"/>
    <col min="11016" max="11017" width="9.33203125" style="819" bestFit="1" customWidth="1"/>
    <col min="11018" max="11018" width="11.109375" style="819" bestFit="1" customWidth="1"/>
    <col min="11019" max="11019" width="9.33203125" style="819" bestFit="1" customWidth="1"/>
    <col min="11020" max="11020" width="11.33203125" style="819" customWidth="1"/>
    <col min="11021" max="11021" width="11.6640625" style="819" bestFit="1" customWidth="1"/>
    <col min="11022" max="11022" width="10.44140625" style="819" customWidth="1"/>
    <col min="11023" max="11023" width="11" style="819" customWidth="1"/>
    <col min="11024" max="11024" width="11.44140625" style="819" customWidth="1"/>
    <col min="11025" max="11025" width="9.88671875" style="819" customWidth="1"/>
    <col min="11026" max="11026" width="9.44140625" style="819" bestFit="1" customWidth="1"/>
    <col min="11027" max="11027" width="12.6640625" style="819" bestFit="1" customWidth="1"/>
    <col min="11028" max="11028" width="9.44140625" style="819" bestFit="1" customWidth="1"/>
    <col min="11029" max="11029" width="9.6640625" style="819" bestFit="1" customWidth="1"/>
    <col min="11030" max="11030" width="12.6640625" style="819" bestFit="1" customWidth="1"/>
    <col min="11031" max="11031" width="9.44140625" style="819" bestFit="1" customWidth="1"/>
    <col min="11032" max="11032" width="9.33203125" style="819" bestFit="1" customWidth="1"/>
    <col min="11033" max="11033" width="12.109375" style="819" bestFit="1" customWidth="1"/>
    <col min="11034" max="11034" width="9.33203125" style="819" bestFit="1" customWidth="1"/>
    <col min="11035" max="11035" width="12.109375" style="819" bestFit="1" customWidth="1"/>
    <col min="11036" max="11036" width="9.6640625" style="819" bestFit="1" customWidth="1"/>
    <col min="11037" max="11037" width="11.109375" style="819" customWidth="1"/>
    <col min="11038" max="11038" width="12.109375" style="819" bestFit="1" customWidth="1"/>
    <col min="11039" max="11039" width="12" style="819" customWidth="1"/>
    <col min="11040" max="11040" width="9.33203125" style="819" bestFit="1" customWidth="1"/>
    <col min="11041" max="11041" width="12.109375" style="819" bestFit="1" customWidth="1"/>
    <col min="11042" max="11043" width="9.33203125" style="819" bestFit="1" customWidth="1"/>
    <col min="11044" max="11044" width="12.33203125" style="819" bestFit="1" customWidth="1"/>
    <col min="11045" max="11045" width="9.33203125" style="819" bestFit="1" customWidth="1"/>
    <col min="11046" max="11046" width="12" style="819" bestFit="1" customWidth="1"/>
    <col min="11047" max="11047" width="9.109375" style="819"/>
    <col min="11048" max="11048" width="14.6640625" style="819" customWidth="1"/>
    <col min="11049" max="11049" width="12" style="819" bestFit="1" customWidth="1"/>
    <col min="11050" max="11051" width="9.109375" style="819"/>
    <col min="11052" max="11052" width="12.5546875" style="819" bestFit="1" customWidth="1"/>
    <col min="11053" max="11054" width="9.109375" style="819"/>
    <col min="11055" max="11055" width="12" style="819" bestFit="1" customWidth="1"/>
    <col min="11056" max="11056" width="12" style="819" customWidth="1"/>
    <col min="11057" max="11057" width="10.88671875" style="819" customWidth="1"/>
    <col min="11058" max="11058" width="12" style="819" bestFit="1" customWidth="1"/>
    <col min="11059" max="11059" width="9.5546875" style="819" customWidth="1"/>
    <col min="11060" max="11060" width="9.109375" style="819"/>
    <col min="11061" max="11061" width="12.5546875" style="819" bestFit="1" customWidth="1"/>
    <col min="11062" max="11265" width="9.109375" style="819"/>
    <col min="11266" max="11266" width="27.6640625" style="819" customWidth="1"/>
    <col min="11267" max="11267" width="11" style="819" bestFit="1" customWidth="1"/>
    <col min="11268" max="11268" width="12.6640625" style="819" bestFit="1" customWidth="1"/>
    <col min="11269" max="11269" width="13" style="819" customWidth="1"/>
    <col min="11270" max="11270" width="12.5546875" style="819" customWidth="1"/>
    <col min="11271" max="11271" width="12.6640625" style="819" bestFit="1" customWidth="1"/>
    <col min="11272" max="11273" width="9.33203125" style="819" bestFit="1" customWidth="1"/>
    <col min="11274" max="11274" width="11.109375" style="819" bestFit="1" customWidth="1"/>
    <col min="11275" max="11275" width="9.33203125" style="819" bestFit="1" customWidth="1"/>
    <col min="11276" max="11276" width="11.33203125" style="819" customWidth="1"/>
    <col min="11277" max="11277" width="11.6640625" style="819" bestFit="1" customWidth="1"/>
    <col min="11278" max="11278" width="10.44140625" style="819" customWidth="1"/>
    <col min="11279" max="11279" width="11" style="819" customWidth="1"/>
    <col min="11280" max="11280" width="11.44140625" style="819" customWidth="1"/>
    <col min="11281" max="11281" width="9.88671875" style="819" customWidth="1"/>
    <col min="11282" max="11282" width="9.44140625" style="819" bestFit="1" customWidth="1"/>
    <col min="11283" max="11283" width="12.6640625" style="819" bestFit="1" customWidth="1"/>
    <col min="11284" max="11284" width="9.44140625" style="819" bestFit="1" customWidth="1"/>
    <col min="11285" max="11285" width="9.6640625" style="819" bestFit="1" customWidth="1"/>
    <col min="11286" max="11286" width="12.6640625" style="819" bestFit="1" customWidth="1"/>
    <col min="11287" max="11287" width="9.44140625" style="819" bestFit="1" customWidth="1"/>
    <col min="11288" max="11288" width="9.33203125" style="819" bestFit="1" customWidth="1"/>
    <col min="11289" max="11289" width="12.109375" style="819" bestFit="1" customWidth="1"/>
    <col min="11290" max="11290" width="9.33203125" style="819" bestFit="1" customWidth="1"/>
    <col min="11291" max="11291" width="12.109375" style="819" bestFit="1" customWidth="1"/>
    <col min="11292" max="11292" width="9.6640625" style="819" bestFit="1" customWidth="1"/>
    <col min="11293" max="11293" width="11.109375" style="819" customWidth="1"/>
    <col min="11294" max="11294" width="12.109375" style="819" bestFit="1" customWidth="1"/>
    <col min="11295" max="11295" width="12" style="819" customWidth="1"/>
    <col min="11296" max="11296" width="9.33203125" style="819" bestFit="1" customWidth="1"/>
    <col min="11297" max="11297" width="12.109375" style="819" bestFit="1" customWidth="1"/>
    <col min="11298" max="11299" width="9.33203125" style="819" bestFit="1" customWidth="1"/>
    <col min="11300" max="11300" width="12.33203125" style="819" bestFit="1" customWidth="1"/>
    <col min="11301" max="11301" width="9.33203125" style="819" bestFit="1" customWidth="1"/>
    <col min="11302" max="11302" width="12" style="819" bestFit="1" customWidth="1"/>
    <col min="11303" max="11303" width="9.109375" style="819"/>
    <col min="11304" max="11304" width="14.6640625" style="819" customWidth="1"/>
    <col min="11305" max="11305" width="12" style="819" bestFit="1" customWidth="1"/>
    <col min="11306" max="11307" width="9.109375" style="819"/>
    <col min="11308" max="11308" width="12.5546875" style="819" bestFit="1" customWidth="1"/>
    <col min="11309" max="11310" width="9.109375" style="819"/>
    <col min="11311" max="11311" width="12" style="819" bestFit="1" customWidth="1"/>
    <col min="11312" max="11312" width="12" style="819" customWidth="1"/>
    <col min="11313" max="11313" width="10.88671875" style="819" customWidth="1"/>
    <col min="11314" max="11314" width="12" style="819" bestFit="1" customWidth="1"/>
    <col min="11315" max="11315" width="9.5546875" style="819" customWidth="1"/>
    <col min="11316" max="11316" width="9.109375" style="819"/>
    <col min="11317" max="11317" width="12.5546875" style="819" bestFit="1" customWidth="1"/>
    <col min="11318" max="11521" width="9.109375" style="819"/>
    <col min="11522" max="11522" width="27.6640625" style="819" customWidth="1"/>
    <col min="11523" max="11523" width="11" style="819" bestFit="1" customWidth="1"/>
    <col min="11524" max="11524" width="12.6640625" style="819" bestFit="1" customWidth="1"/>
    <col min="11525" max="11525" width="13" style="819" customWidth="1"/>
    <col min="11526" max="11526" width="12.5546875" style="819" customWidth="1"/>
    <col min="11527" max="11527" width="12.6640625" style="819" bestFit="1" customWidth="1"/>
    <col min="11528" max="11529" width="9.33203125" style="819" bestFit="1" customWidth="1"/>
    <col min="11530" max="11530" width="11.109375" style="819" bestFit="1" customWidth="1"/>
    <col min="11531" max="11531" width="9.33203125" style="819" bestFit="1" customWidth="1"/>
    <col min="11532" max="11532" width="11.33203125" style="819" customWidth="1"/>
    <col min="11533" max="11533" width="11.6640625" style="819" bestFit="1" customWidth="1"/>
    <col min="11534" max="11534" width="10.44140625" style="819" customWidth="1"/>
    <col min="11535" max="11535" width="11" style="819" customWidth="1"/>
    <col min="11536" max="11536" width="11.44140625" style="819" customWidth="1"/>
    <col min="11537" max="11537" width="9.88671875" style="819" customWidth="1"/>
    <col min="11538" max="11538" width="9.44140625" style="819" bestFit="1" customWidth="1"/>
    <col min="11539" max="11539" width="12.6640625" style="819" bestFit="1" customWidth="1"/>
    <col min="11540" max="11540" width="9.44140625" style="819" bestFit="1" customWidth="1"/>
    <col min="11541" max="11541" width="9.6640625" style="819" bestFit="1" customWidth="1"/>
    <col min="11542" max="11542" width="12.6640625" style="819" bestFit="1" customWidth="1"/>
    <col min="11543" max="11543" width="9.44140625" style="819" bestFit="1" customWidth="1"/>
    <col min="11544" max="11544" width="9.33203125" style="819" bestFit="1" customWidth="1"/>
    <col min="11545" max="11545" width="12.109375" style="819" bestFit="1" customWidth="1"/>
    <col min="11546" max="11546" width="9.33203125" style="819" bestFit="1" customWidth="1"/>
    <col min="11547" max="11547" width="12.109375" style="819" bestFit="1" customWidth="1"/>
    <col min="11548" max="11548" width="9.6640625" style="819" bestFit="1" customWidth="1"/>
    <col min="11549" max="11549" width="11.109375" style="819" customWidth="1"/>
    <col min="11550" max="11550" width="12.109375" style="819" bestFit="1" customWidth="1"/>
    <col min="11551" max="11551" width="12" style="819" customWidth="1"/>
    <col min="11552" max="11552" width="9.33203125" style="819" bestFit="1" customWidth="1"/>
    <col min="11553" max="11553" width="12.109375" style="819" bestFit="1" customWidth="1"/>
    <col min="11554" max="11555" width="9.33203125" style="819" bestFit="1" customWidth="1"/>
    <col min="11556" max="11556" width="12.33203125" style="819" bestFit="1" customWidth="1"/>
    <col min="11557" max="11557" width="9.33203125" style="819" bestFit="1" customWidth="1"/>
    <col min="11558" max="11558" width="12" style="819" bestFit="1" customWidth="1"/>
    <col min="11559" max="11559" width="9.109375" style="819"/>
    <col min="11560" max="11560" width="14.6640625" style="819" customWidth="1"/>
    <col min="11561" max="11561" width="12" style="819" bestFit="1" customWidth="1"/>
    <col min="11562" max="11563" width="9.109375" style="819"/>
    <col min="11564" max="11564" width="12.5546875" style="819" bestFit="1" customWidth="1"/>
    <col min="11565" max="11566" width="9.109375" style="819"/>
    <col min="11567" max="11567" width="12" style="819" bestFit="1" customWidth="1"/>
    <col min="11568" max="11568" width="12" style="819" customWidth="1"/>
    <col min="11569" max="11569" width="10.88671875" style="819" customWidth="1"/>
    <col min="11570" max="11570" width="12" style="819" bestFit="1" customWidth="1"/>
    <col min="11571" max="11571" width="9.5546875" style="819" customWidth="1"/>
    <col min="11572" max="11572" width="9.109375" style="819"/>
    <col min="11573" max="11573" width="12.5546875" style="819" bestFit="1" customWidth="1"/>
    <col min="11574" max="11777" width="9.109375" style="819"/>
    <col min="11778" max="11778" width="27.6640625" style="819" customWidth="1"/>
    <col min="11779" max="11779" width="11" style="819" bestFit="1" customWidth="1"/>
    <col min="11780" max="11780" width="12.6640625" style="819" bestFit="1" customWidth="1"/>
    <col min="11781" max="11781" width="13" style="819" customWidth="1"/>
    <col min="11782" max="11782" width="12.5546875" style="819" customWidth="1"/>
    <col min="11783" max="11783" width="12.6640625" style="819" bestFit="1" customWidth="1"/>
    <col min="11784" max="11785" width="9.33203125" style="819" bestFit="1" customWidth="1"/>
    <col min="11786" max="11786" width="11.109375" style="819" bestFit="1" customWidth="1"/>
    <col min="11787" max="11787" width="9.33203125" style="819" bestFit="1" customWidth="1"/>
    <col min="11788" max="11788" width="11.33203125" style="819" customWidth="1"/>
    <col min="11789" max="11789" width="11.6640625" style="819" bestFit="1" customWidth="1"/>
    <col min="11790" max="11790" width="10.44140625" style="819" customWidth="1"/>
    <col min="11791" max="11791" width="11" style="819" customWidth="1"/>
    <col min="11792" max="11792" width="11.44140625" style="819" customWidth="1"/>
    <col min="11793" max="11793" width="9.88671875" style="819" customWidth="1"/>
    <col min="11794" max="11794" width="9.44140625" style="819" bestFit="1" customWidth="1"/>
    <col min="11795" max="11795" width="12.6640625" style="819" bestFit="1" customWidth="1"/>
    <col min="11796" max="11796" width="9.44140625" style="819" bestFit="1" customWidth="1"/>
    <col min="11797" max="11797" width="9.6640625" style="819" bestFit="1" customWidth="1"/>
    <col min="11798" max="11798" width="12.6640625" style="819" bestFit="1" customWidth="1"/>
    <col min="11799" max="11799" width="9.44140625" style="819" bestFit="1" customWidth="1"/>
    <col min="11800" max="11800" width="9.33203125" style="819" bestFit="1" customWidth="1"/>
    <col min="11801" max="11801" width="12.109375" style="819" bestFit="1" customWidth="1"/>
    <col min="11802" max="11802" width="9.33203125" style="819" bestFit="1" customWidth="1"/>
    <col min="11803" max="11803" width="12.109375" style="819" bestFit="1" customWidth="1"/>
    <col min="11804" max="11804" width="9.6640625" style="819" bestFit="1" customWidth="1"/>
    <col min="11805" max="11805" width="11.109375" style="819" customWidth="1"/>
    <col min="11806" max="11806" width="12.109375" style="819" bestFit="1" customWidth="1"/>
    <col min="11807" max="11807" width="12" style="819" customWidth="1"/>
    <col min="11808" max="11808" width="9.33203125" style="819" bestFit="1" customWidth="1"/>
    <col min="11809" max="11809" width="12.109375" style="819" bestFit="1" customWidth="1"/>
    <col min="11810" max="11811" width="9.33203125" style="819" bestFit="1" customWidth="1"/>
    <col min="11812" max="11812" width="12.33203125" style="819" bestFit="1" customWidth="1"/>
    <col min="11813" max="11813" width="9.33203125" style="819" bestFit="1" customWidth="1"/>
    <col min="11814" max="11814" width="12" style="819" bestFit="1" customWidth="1"/>
    <col min="11815" max="11815" width="9.109375" style="819"/>
    <col min="11816" max="11816" width="14.6640625" style="819" customWidth="1"/>
    <col min="11817" max="11817" width="12" style="819" bestFit="1" customWidth="1"/>
    <col min="11818" max="11819" width="9.109375" style="819"/>
    <col min="11820" max="11820" width="12.5546875" style="819" bestFit="1" customWidth="1"/>
    <col min="11821" max="11822" width="9.109375" style="819"/>
    <col min="11823" max="11823" width="12" style="819" bestFit="1" customWidth="1"/>
    <col min="11824" max="11824" width="12" style="819" customWidth="1"/>
    <col min="11825" max="11825" width="10.88671875" style="819" customWidth="1"/>
    <col min="11826" max="11826" width="12" style="819" bestFit="1" customWidth="1"/>
    <col min="11827" max="11827" width="9.5546875" style="819" customWidth="1"/>
    <col min="11828" max="11828" width="9.109375" style="819"/>
    <col min="11829" max="11829" width="12.5546875" style="819" bestFit="1" customWidth="1"/>
    <col min="11830" max="12033" width="9.109375" style="819"/>
    <col min="12034" max="12034" width="27.6640625" style="819" customWidth="1"/>
    <col min="12035" max="12035" width="11" style="819" bestFit="1" customWidth="1"/>
    <col min="12036" max="12036" width="12.6640625" style="819" bestFit="1" customWidth="1"/>
    <col min="12037" max="12037" width="13" style="819" customWidth="1"/>
    <col min="12038" max="12038" width="12.5546875" style="819" customWidth="1"/>
    <col min="12039" max="12039" width="12.6640625" style="819" bestFit="1" customWidth="1"/>
    <col min="12040" max="12041" width="9.33203125" style="819" bestFit="1" customWidth="1"/>
    <col min="12042" max="12042" width="11.109375" style="819" bestFit="1" customWidth="1"/>
    <col min="12043" max="12043" width="9.33203125" style="819" bestFit="1" customWidth="1"/>
    <col min="12044" max="12044" width="11.33203125" style="819" customWidth="1"/>
    <col min="12045" max="12045" width="11.6640625" style="819" bestFit="1" customWidth="1"/>
    <col min="12046" max="12046" width="10.44140625" style="819" customWidth="1"/>
    <col min="12047" max="12047" width="11" style="819" customWidth="1"/>
    <col min="12048" max="12048" width="11.44140625" style="819" customWidth="1"/>
    <col min="12049" max="12049" width="9.88671875" style="819" customWidth="1"/>
    <col min="12050" max="12050" width="9.44140625" style="819" bestFit="1" customWidth="1"/>
    <col min="12051" max="12051" width="12.6640625" style="819" bestFit="1" customWidth="1"/>
    <col min="12052" max="12052" width="9.44140625" style="819" bestFit="1" customWidth="1"/>
    <col min="12053" max="12053" width="9.6640625" style="819" bestFit="1" customWidth="1"/>
    <col min="12054" max="12054" width="12.6640625" style="819" bestFit="1" customWidth="1"/>
    <col min="12055" max="12055" width="9.44140625" style="819" bestFit="1" customWidth="1"/>
    <col min="12056" max="12056" width="9.33203125" style="819" bestFit="1" customWidth="1"/>
    <col min="12057" max="12057" width="12.109375" style="819" bestFit="1" customWidth="1"/>
    <col min="12058" max="12058" width="9.33203125" style="819" bestFit="1" customWidth="1"/>
    <col min="12059" max="12059" width="12.109375" style="819" bestFit="1" customWidth="1"/>
    <col min="12060" max="12060" width="9.6640625" style="819" bestFit="1" customWidth="1"/>
    <col min="12061" max="12061" width="11.109375" style="819" customWidth="1"/>
    <col min="12062" max="12062" width="12.109375" style="819" bestFit="1" customWidth="1"/>
    <col min="12063" max="12063" width="12" style="819" customWidth="1"/>
    <col min="12064" max="12064" width="9.33203125" style="819" bestFit="1" customWidth="1"/>
    <col min="12065" max="12065" width="12.109375" style="819" bestFit="1" customWidth="1"/>
    <col min="12066" max="12067" width="9.33203125" style="819" bestFit="1" customWidth="1"/>
    <col min="12068" max="12068" width="12.33203125" style="819" bestFit="1" customWidth="1"/>
    <col min="12069" max="12069" width="9.33203125" style="819" bestFit="1" customWidth="1"/>
    <col min="12070" max="12070" width="12" style="819" bestFit="1" customWidth="1"/>
    <col min="12071" max="12071" width="9.109375" style="819"/>
    <col min="12072" max="12072" width="14.6640625" style="819" customWidth="1"/>
    <col min="12073" max="12073" width="12" style="819" bestFit="1" customWidth="1"/>
    <col min="12074" max="12075" width="9.109375" style="819"/>
    <col min="12076" max="12076" width="12.5546875" style="819" bestFit="1" customWidth="1"/>
    <col min="12077" max="12078" width="9.109375" style="819"/>
    <col min="12079" max="12079" width="12" style="819" bestFit="1" customWidth="1"/>
    <col min="12080" max="12080" width="12" style="819" customWidth="1"/>
    <col min="12081" max="12081" width="10.88671875" style="819" customWidth="1"/>
    <col min="12082" max="12082" width="12" style="819" bestFit="1" customWidth="1"/>
    <col min="12083" max="12083" width="9.5546875" style="819" customWidth="1"/>
    <col min="12084" max="12084" width="9.109375" style="819"/>
    <col min="12085" max="12085" width="12.5546875" style="819" bestFit="1" customWidth="1"/>
    <col min="12086" max="12289" width="9.109375" style="819"/>
    <col min="12290" max="12290" width="27.6640625" style="819" customWidth="1"/>
    <col min="12291" max="12291" width="11" style="819" bestFit="1" customWidth="1"/>
    <col min="12292" max="12292" width="12.6640625" style="819" bestFit="1" customWidth="1"/>
    <col min="12293" max="12293" width="13" style="819" customWidth="1"/>
    <col min="12294" max="12294" width="12.5546875" style="819" customWidth="1"/>
    <col min="12295" max="12295" width="12.6640625" style="819" bestFit="1" customWidth="1"/>
    <col min="12296" max="12297" width="9.33203125" style="819" bestFit="1" customWidth="1"/>
    <col min="12298" max="12298" width="11.109375" style="819" bestFit="1" customWidth="1"/>
    <col min="12299" max="12299" width="9.33203125" style="819" bestFit="1" customWidth="1"/>
    <col min="12300" max="12300" width="11.33203125" style="819" customWidth="1"/>
    <col min="12301" max="12301" width="11.6640625" style="819" bestFit="1" customWidth="1"/>
    <col min="12302" max="12302" width="10.44140625" style="819" customWidth="1"/>
    <col min="12303" max="12303" width="11" style="819" customWidth="1"/>
    <col min="12304" max="12304" width="11.44140625" style="819" customWidth="1"/>
    <col min="12305" max="12305" width="9.88671875" style="819" customWidth="1"/>
    <col min="12306" max="12306" width="9.44140625" style="819" bestFit="1" customWidth="1"/>
    <col min="12307" max="12307" width="12.6640625" style="819" bestFit="1" customWidth="1"/>
    <col min="12308" max="12308" width="9.44140625" style="819" bestFit="1" customWidth="1"/>
    <col min="12309" max="12309" width="9.6640625" style="819" bestFit="1" customWidth="1"/>
    <col min="12310" max="12310" width="12.6640625" style="819" bestFit="1" customWidth="1"/>
    <col min="12311" max="12311" width="9.44140625" style="819" bestFit="1" customWidth="1"/>
    <col min="12312" max="12312" width="9.33203125" style="819" bestFit="1" customWidth="1"/>
    <col min="12313" max="12313" width="12.109375" style="819" bestFit="1" customWidth="1"/>
    <col min="12314" max="12314" width="9.33203125" style="819" bestFit="1" customWidth="1"/>
    <col min="12315" max="12315" width="12.109375" style="819" bestFit="1" customWidth="1"/>
    <col min="12316" max="12316" width="9.6640625" style="819" bestFit="1" customWidth="1"/>
    <col min="12317" max="12317" width="11.109375" style="819" customWidth="1"/>
    <col min="12318" max="12318" width="12.109375" style="819" bestFit="1" customWidth="1"/>
    <col min="12319" max="12319" width="12" style="819" customWidth="1"/>
    <col min="12320" max="12320" width="9.33203125" style="819" bestFit="1" customWidth="1"/>
    <col min="12321" max="12321" width="12.109375" style="819" bestFit="1" customWidth="1"/>
    <col min="12322" max="12323" width="9.33203125" style="819" bestFit="1" customWidth="1"/>
    <col min="12324" max="12324" width="12.33203125" style="819" bestFit="1" customWidth="1"/>
    <col min="12325" max="12325" width="9.33203125" style="819" bestFit="1" customWidth="1"/>
    <col min="12326" max="12326" width="12" style="819" bestFit="1" customWidth="1"/>
    <col min="12327" max="12327" width="9.109375" style="819"/>
    <col min="12328" max="12328" width="14.6640625" style="819" customWidth="1"/>
    <col min="12329" max="12329" width="12" style="819" bestFit="1" customWidth="1"/>
    <col min="12330" max="12331" width="9.109375" style="819"/>
    <col min="12332" max="12332" width="12.5546875" style="819" bestFit="1" customWidth="1"/>
    <col min="12333" max="12334" width="9.109375" style="819"/>
    <col min="12335" max="12335" width="12" style="819" bestFit="1" customWidth="1"/>
    <col min="12336" max="12336" width="12" style="819" customWidth="1"/>
    <col min="12337" max="12337" width="10.88671875" style="819" customWidth="1"/>
    <col min="12338" max="12338" width="12" style="819" bestFit="1" customWidth="1"/>
    <col min="12339" max="12339" width="9.5546875" style="819" customWidth="1"/>
    <col min="12340" max="12340" width="9.109375" style="819"/>
    <col min="12341" max="12341" width="12.5546875" style="819" bestFit="1" customWidth="1"/>
    <col min="12342" max="12545" width="9.109375" style="819"/>
    <col min="12546" max="12546" width="27.6640625" style="819" customWidth="1"/>
    <col min="12547" max="12547" width="11" style="819" bestFit="1" customWidth="1"/>
    <col min="12548" max="12548" width="12.6640625" style="819" bestFit="1" customWidth="1"/>
    <col min="12549" max="12549" width="13" style="819" customWidth="1"/>
    <col min="12550" max="12550" width="12.5546875" style="819" customWidth="1"/>
    <col min="12551" max="12551" width="12.6640625" style="819" bestFit="1" customWidth="1"/>
    <col min="12552" max="12553" width="9.33203125" style="819" bestFit="1" customWidth="1"/>
    <col min="12554" max="12554" width="11.109375" style="819" bestFit="1" customWidth="1"/>
    <col min="12555" max="12555" width="9.33203125" style="819" bestFit="1" customWidth="1"/>
    <col min="12556" max="12556" width="11.33203125" style="819" customWidth="1"/>
    <col min="12557" max="12557" width="11.6640625" style="819" bestFit="1" customWidth="1"/>
    <col min="12558" max="12558" width="10.44140625" style="819" customWidth="1"/>
    <col min="12559" max="12559" width="11" style="819" customWidth="1"/>
    <col min="12560" max="12560" width="11.44140625" style="819" customWidth="1"/>
    <col min="12561" max="12561" width="9.88671875" style="819" customWidth="1"/>
    <col min="12562" max="12562" width="9.44140625" style="819" bestFit="1" customWidth="1"/>
    <col min="12563" max="12563" width="12.6640625" style="819" bestFit="1" customWidth="1"/>
    <col min="12564" max="12564" width="9.44140625" style="819" bestFit="1" customWidth="1"/>
    <col min="12565" max="12565" width="9.6640625" style="819" bestFit="1" customWidth="1"/>
    <col min="12566" max="12566" width="12.6640625" style="819" bestFit="1" customWidth="1"/>
    <col min="12567" max="12567" width="9.44140625" style="819" bestFit="1" customWidth="1"/>
    <col min="12568" max="12568" width="9.33203125" style="819" bestFit="1" customWidth="1"/>
    <col min="12569" max="12569" width="12.109375" style="819" bestFit="1" customWidth="1"/>
    <col min="12570" max="12570" width="9.33203125" style="819" bestFit="1" customWidth="1"/>
    <col min="12571" max="12571" width="12.109375" style="819" bestFit="1" customWidth="1"/>
    <col min="12572" max="12572" width="9.6640625" style="819" bestFit="1" customWidth="1"/>
    <col min="12573" max="12573" width="11.109375" style="819" customWidth="1"/>
    <col min="12574" max="12574" width="12.109375" style="819" bestFit="1" customWidth="1"/>
    <col min="12575" max="12575" width="12" style="819" customWidth="1"/>
    <col min="12576" max="12576" width="9.33203125" style="819" bestFit="1" customWidth="1"/>
    <col min="12577" max="12577" width="12.109375" style="819" bestFit="1" customWidth="1"/>
    <col min="12578" max="12579" width="9.33203125" style="819" bestFit="1" customWidth="1"/>
    <col min="12580" max="12580" width="12.33203125" style="819" bestFit="1" customWidth="1"/>
    <col min="12581" max="12581" width="9.33203125" style="819" bestFit="1" customWidth="1"/>
    <col min="12582" max="12582" width="12" style="819" bestFit="1" customWidth="1"/>
    <col min="12583" max="12583" width="9.109375" style="819"/>
    <col min="12584" max="12584" width="14.6640625" style="819" customWidth="1"/>
    <col min="12585" max="12585" width="12" style="819" bestFit="1" customWidth="1"/>
    <col min="12586" max="12587" width="9.109375" style="819"/>
    <col min="12588" max="12588" width="12.5546875" style="819" bestFit="1" customWidth="1"/>
    <col min="12589" max="12590" width="9.109375" style="819"/>
    <col min="12591" max="12591" width="12" style="819" bestFit="1" customWidth="1"/>
    <col min="12592" max="12592" width="12" style="819" customWidth="1"/>
    <col min="12593" max="12593" width="10.88671875" style="819" customWidth="1"/>
    <col min="12594" max="12594" width="12" style="819" bestFit="1" customWidth="1"/>
    <col min="12595" max="12595" width="9.5546875" style="819" customWidth="1"/>
    <col min="12596" max="12596" width="9.109375" style="819"/>
    <col min="12597" max="12597" width="12.5546875" style="819" bestFit="1" customWidth="1"/>
    <col min="12598" max="12801" width="9.109375" style="819"/>
    <col min="12802" max="12802" width="27.6640625" style="819" customWidth="1"/>
    <col min="12803" max="12803" width="11" style="819" bestFit="1" customWidth="1"/>
    <col min="12804" max="12804" width="12.6640625" style="819" bestFit="1" customWidth="1"/>
    <col min="12805" max="12805" width="13" style="819" customWidth="1"/>
    <col min="12806" max="12806" width="12.5546875" style="819" customWidth="1"/>
    <col min="12807" max="12807" width="12.6640625" style="819" bestFit="1" customWidth="1"/>
    <col min="12808" max="12809" width="9.33203125" style="819" bestFit="1" customWidth="1"/>
    <col min="12810" max="12810" width="11.109375" style="819" bestFit="1" customWidth="1"/>
    <col min="12811" max="12811" width="9.33203125" style="819" bestFit="1" customWidth="1"/>
    <col min="12812" max="12812" width="11.33203125" style="819" customWidth="1"/>
    <col min="12813" max="12813" width="11.6640625" style="819" bestFit="1" customWidth="1"/>
    <col min="12814" max="12814" width="10.44140625" style="819" customWidth="1"/>
    <col min="12815" max="12815" width="11" style="819" customWidth="1"/>
    <col min="12816" max="12816" width="11.44140625" style="819" customWidth="1"/>
    <col min="12817" max="12817" width="9.88671875" style="819" customWidth="1"/>
    <col min="12818" max="12818" width="9.44140625" style="819" bestFit="1" customWidth="1"/>
    <col min="12819" max="12819" width="12.6640625" style="819" bestFit="1" customWidth="1"/>
    <col min="12820" max="12820" width="9.44140625" style="819" bestFit="1" customWidth="1"/>
    <col min="12821" max="12821" width="9.6640625" style="819" bestFit="1" customWidth="1"/>
    <col min="12822" max="12822" width="12.6640625" style="819" bestFit="1" customWidth="1"/>
    <col min="12823" max="12823" width="9.44140625" style="819" bestFit="1" customWidth="1"/>
    <col min="12824" max="12824" width="9.33203125" style="819" bestFit="1" customWidth="1"/>
    <col min="12825" max="12825" width="12.109375" style="819" bestFit="1" customWidth="1"/>
    <col min="12826" max="12826" width="9.33203125" style="819" bestFit="1" customWidth="1"/>
    <col min="12827" max="12827" width="12.109375" style="819" bestFit="1" customWidth="1"/>
    <col min="12828" max="12828" width="9.6640625" style="819" bestFit="1" customWidth="1"/>
    <col min="12829" max="12829" width="11.109375" style="819" customWidth="1"/>
    <col min="12830" max="12830" width="12.109375" style="819" bestFit="1" customWidth="1"/>
    <col min="12831" max="12831" width="12" style="819" customWidth="1"/>
    <col min="12832" max="12832" width="9.33203125" style="819" bestFit="1" customWidth="1"/>
    <col min="12833" max="12833" width="12.109375" style="819" bestFit="1" customWidth="1"/>
    <col min="12834" max="12835" width="9.33203125" style="819" bestFit="1" customWidth="1"/>
    <col min="12836" max="12836" width="12.33203125" style="819" bestFit="1" customWidth="1"/>
    <col min="12837" max="12837" width="9.33203125" style="819" bestFit="1" customWidth="1"/>
    <col min="12838" max="12838" width="12" style="819" bestFit="1" customWidth="1"/>
    <col min="12839" max="12839" width="9.109375" style="819"/>
    <col min="12840" max="12840" width="14.6640625" style="819" customWidth="1"/>
    <col min="12841" max="12841" width="12" style="819" bestFit="1" customWidth="1"/>
    <col min="12842" max="12843" width="9.109375" style="819"/>
    <col min="12844" max="12844" width="12.5546875" style="819" bestFit="1" customWidth="1"/>
    <col min="12845" max="12846" width="9.109375" style="819"/>
    <col min="12847" max="12847" width="12" style="819" bestFit="1" customWidth="1"/>
    <col min="12848" max="12848" width="12" style="819" customWidth="1"/>
    <col min="12849" max="12849" width="10.88671875" style="819" customWidth="1"/>
    <col min="12850" max="12850" width="12" style="819" bestFit="1" customWidth="1"/>
    <col min="12851" max="12851" width="9.5546875" style="819" customWidth="1"/>
    <col min="12852" max="12852" width="9.109375" style="819"/>
    <col min="12853" max="12853" width="12.5546875" style="819" bestFit="1" customWidth="1"/>
    <col min="12854" max="13057" width="9.109375" style="819"/>
    <col min="13058" max="13058" width="27.6640625" style="819" customWidth="1"/>
    <col min="13059" max="13059" width="11" style="819" bestFit="1" customWidth="1"/>
    <col min="13060" max="13060" width="12.6640625" style="819" bestFit="1" customWidth="1"/>
    <col min="13061" max="13061" width="13" style="819" customWidth="1"/>
    <col min="13062" max="13062" width="12.5546875" style="819" customWidth="1"/>
    <col min="13063" max="13063" width="12.6640625" style="819" bestFit="1" customWidth="1"/>
    <col min="13064" max="13065" width="9.33203125" style="819" bestFit="1" customWidth="1"/>
    <col min="13066" max="13066" width="11.109375" style="819" bestFit="1" customWidth="1"/>
    <col min="13067" max="13067" width="9.33203125" style="819" bestFit="1" customWidth="1"/>
    <col min="13068" max="13068" width="11.33203125" style="819" customWidth="1"/>
    <col min="13069" max="13069" width="11.6640625" style="819" bestFit="1" customWidth="1"/>
    <col min="13070" max="13070" width="10.44140625" style="819" customWidth="1"/>
    <col min="13071" max="13071" width="11" style="819" customWidth="1"/>
    <col min="13072" max="13072" width="11.44140625" style="819" customWidth="1"/>
    <col min="13073" max="13073" width="9.88671875" style="819" customWidth="1"/>
    <col min="13074" max="13074" width="9.44140625" style="819" bestFit="1" customWidth="1"/>
    <col min="13075" max="13075" width="12.6640625" style="819" bestFit="1" customWidth="1"/>
    <col min="13076" max="13076" width="9.44140625" style="819" bestFit="1" customWidth="1"/>
    <col min="13077" max="13077" width="9.6640625" style="819" bestFit="1" customWidth="1"/>
    <col min="13078" max="13078" width="12.6640625" style="819" bestFit="1" customWidth="1"/>
    <col min="13079" max="13079" width="9.44140625" style="819" bestFit="1" customWidth="1"/>
    <col min="13080" max="13080" width="9.33203125" style="819" bestFit="1" customWidth="1"/>
    <col min="13081" max="13081" width="12.109375" style="819" bestFit="1" customWidth="1"/>
    <col min="13082" max="13082" width="9.33203125" style="819" bestFit="1" customWidth="1"/>
    <col min="13083" max="13083" width="12.109375" style="819" bestFit="1" customWidth="1"/>
    <col min="13084" max="13084" width="9.6640625" style="819" bestFit="1" customWidth="1"/>
    <col min="13085" max="13085" width="11.109375" style="819" customWidth="1"/>
    <col min="13086" max="13086" width="12.109375" style="819" bestFit="1" customWidth="1"/>
    <col min="13087" max="13087" width="12" style="819" customWidth="1"/>
    <col min="13088" max="13088" width="9.33203125" style="819" bestFit="1" customWidth="1"/>
    <col min="13089" max="13089" width="12.109375" style="819" bestFit="1" customWidth="1"/>
    <col min="13090" max="13091" width="9.33203125" style="819" bestFit="1" customWidth="1"/>
    <col min="13092" max="13092" width="12.33203125" style="819" bestFit="1" customWidth="1"/>
    <col min="13093" max="13093" width="9.33203125" style="819" bestFit="1" customWidth="1"/>
    <col min="13094" max="13094" width="12" style="819" bestFit="1" customWidth="1"/>
    <col min="13095" max="13095" width="9.109375" style="819"/>
    <col min="13096" max="13096" width="14.6640625" style="819" customWidth="1"/>
    <col min="13097" max="13097" width="12" style="819" bestFit="1" customWidth="1"/>
    <col min="13098" max="13099" width="9.109375" style="819"/>
    <col min="13100" max="13100" width="12.5546875" style="819" bestFit="1" customWidth="1"/>
    <col min="13101" max="13102" width="9.109375" style="819"/>
    <col min="13103" max="13103" width="12" style="819" bestFit="1" customWidth="1"/>
    <col min="13104" max="13104" width="12" style="819" customWidth="1"/>
    <col min="13105" max="13105" width="10.88671875" style="819" customWidth="1"/>
    <col min="13106" max="13106" width="12" style="819" bestFit="1" customWidth="1"/>
    <col min="13107" max="13107" width="9.5546875" style="819" customWidth="1"/>
    <col min="13108" max="13108" width="9.109375" style="819"/>
    <col min="13109" max="13109" width="12.5546875" style="819" bestFit="1" customWidth="1"/>
    <col min="13110" max="13313" width="9.109375" style="819"/>
    <col min="13314" max="13314" width="27.6640625" style="819" customWidth="1"/>
    <col min="13315" max="13315" width="11" style="819" bestFit="1" customWidth="1"/>
    <col min="13316" max="13316" width="12.6640625" style="819" bestFit="1" customWidth="1"/>
    <col min="13317" max="13317" width="13" style="819" customWidth="1"/>
    <col min="13318" max="13318" width="12.5546875" style="819" customWidth="1"/>
    <col min="13319" max="13319" width="12.6640625" style="819" bestFit="1" customWidth="1"/>
    <col min="13320" max="13321" width="9.33203125" style="819" bestFit="1" customWidth="1"/>
    <col min="13322" max="13322" width="11.109375" style="819" bestFit="1" customWidth="1"/>
    <col min="13323" max="13323" width="9.33203125" style="819" bestFit="1" customWidth="1"/>
    <col min="13324" max="13324" width="11.33203125" style="819" customWidth="1"/>
    <col min="13325" max="13325" width="11.6640625" style="819" bestFit="1" customWidth="1"/>
    <col min="13326" max="13326" width="10.44140625" style="819" customWidth="1"/>
    <col min="13327" max="13327" width="11" style="819" customWidth="1"/>
    <col min="13328" max="13328" width="11.44140625" style="819" customWidth="1"/>
    <col min="13329" max="13329" width="9.88671875" style="819" customWidth="1"/>
    <col min="13330" max="13330" width="9.44140625" style="819" bestFit="1" customWidth="1"/>
    <col min="13331" max="13331" width="12.6640625" style="819" bestFit="1" customWidth="1"/>
    <col min="13332" max="13332" width="9.44140625" style="819" bestFit="1" customWidth="1"/>
    <col min="13333" max="13333" width="9.6640625" style="819" bestFit="1" customWidth="1"/>
    <col min="13334" max="13334" width="12.6640625" style="819" bestFit="1" customWidth="1"/>
    <col min="13335" max="13335" width="9.44140625" style="819" bestFit="1" customWidth="1"/>
    <col min="13336" max="13336" width="9.33203125" style="819" bestFit="1" customWidth="1"/>
    <col min="13337" max="13337" width="12.109375" style="819" bestFit="1" customWidth="1"/>
    <col min="13338" max="13338" width="9.33203125" style="819" bestFit="1" customWidth="1"/>
    <col min="13339" max="13339" width="12.109375" style="819" bestFit="1" customWidth="1"/>
    <col min="13340" max="13340" width="9.6640625" style="819" bestFit="1" customWidth="1"/>
    <col min="13341" max="13341" width="11.109375" style="819" customWidth="1"/>
    <col min="13342" max="13342" width="12.109375" style="819" bestFit="1" customWidth="1"/>
    <col min="13343" max="13343" width="12" style="819" customWidth="1"/>
    <col min="13344" max="13344" width="9.33203125" style="819" bestFit="1" customWidth="1"/>
    <col min="13345" max="13345" width="12.109375" style="819" bestFit="1" customWidth="1"/>
    <col min="13346" max="13347" width="9.33203125" style="819" bestFit="1" customWidth="1"/>
    <col min="13348" max="13348" width="12.33203125" style="819" bestFit="1" customWidth="1"/>
    <col min="13349" max="13349" width="9.33203125" style="819" bestFit="1" customWidth="1"/>
    <col min="13350" max="13350" width="12" style="819" bestFit="1" customWidth="1"/>
    <col min="13351" max="13351" width="9.109375" style="819"/>
    <col min="13352" max="13352" width="14.6640625" style="819" customWidth="1"/>
    <col min="13353" max="13353" width="12" style="819" bestFit="1" customWidth="1"/>
    <col min="13354" max="13355" width="9.109375" style="819"/>
    <col min="13356" max="13356" width="12.5546875" style="819" bestFit="1" customWidth="1"/>
    <col min="13357" max="13358" width="9.109375" style="819"/>
    <col min="13359" max="13359" width="12" style="819" bestFit="1" customWidth="1"/>
    <col min="13360" max="13360" width="12" style="819" customWidth="1"/>
    <col min="13361" max="13361" width="10.88671875" style="819" customWidth="1"/>
    <col min="13362" max="13362" width="12" style="819" bestFit="1" customWidth="1"/>
    <col min="13363" max="13363" width="9.5546875" style="819" customWidth="1"/>
    <col min="13364" max="13364" width="9.109375" style="819"/>
    <col min="13365" max="13365" width="12.5546875" style="819" bestFit="1" customWidth="1"/>
    <col min="13366" max="13569" width="9.109375" style="819"/>
    <col min="13570" max="13570" width="27.6640625" style="819" customWidth="1"/>
    <col min="13571" max="13571" width="11" style="819" bestFit="1" customWidth="1"/>
    <col min="13572" max="13572" width="12.6640625" style="819" bestFit="1" customWidth="1"/>
    <col min="13573" max="13573" width="13" style="819" customWidth="1"/>
    <col min="13574" max="13574" width="12.5546875" style="819" customWidth="1"/>
    <col min="13575" max="13575" width="12.6640625" style="819" bestFit="1" customWidth="1"/>
    <col min="13576" max="13577" width="9.33203125" style="819" bestFit="1" customWidth="1"/>
    <col min="13578" max="13578" width="11.109375" style="819" bestFit="1" customWidth="1"/>
    <col min="13579" max="13579" width="9.33203125" style="819" bestFit="1" customWidth="1"/>
    <col min="13580" max="13580" width="11.33203125" style="819" customWidth="1"/>
    <col min="13581" max="13581" width="11.6640625" style="819" bestFit="1" customWidth="1"/>
    <col min="13582" max="13582" width="10.44140625" style="819" customWidth="1"/>
    <col min="13583" max="13583" width="11" style="819" customWidth="1"/>
    <col min="13584" max="13584" width="11.44140625" style="819" customWidth="1"/>
    <col min="13585" max="13585" width="9.88671875" style="819" customWidth="1"/>
    <col min="13586" max="13586" width="9.44140625" style="819" bestFit="1" customWidth="1"/>
    <col min="13587" max="13587" width="12.6640625" style="819" bestFit="1" customWidth="1"/>
    <col min="13588" max="13588" width="9.44140625" style="819" bestFit="1" customWidth="1"/>
    <col min="13589" max="13589" width="9.6640625" style="819" bestFit="1" customWidth="1"/>
    <col min="13590" max="13590" width="12.6640625" style="819" bestFit="1" customWidth="1"/>
    <col min="13591" max="13591" width="9.44140625" style="819" bestFit="1" customWidth="1"/>
    <col min="13592" max="13592" width="9.33203125" style="819" bestFit="1" customWidth="1"/>
    <col min="13593" max="13593" width="12.109375" style="819" bestFit="1" customWidth="1"/>
    <col min="13594" max="13594" width="9.33203125" style="819" bestFit="1" customWidth="1"/>
    <col min="13595" max="13595" width="12.109375" style="819" bestFit="1" customWidth="1"/>
    <col min="13596" max="13596" width="9.6640625" style="819" bestFit="1" customWidth="1"/>
    <col min="13597" max="13597" width="11.109375" style="819" customWidth="1"/>
    <col min="13598" max="13598" width="12.109375" style="819" bestFit="1" customWidth="1"/>
    <col min="13599" max="13599" width="12" style="819" customWidth="1"/>
    <col min="13600" max="13600" width="9.33203125" style="819" bestFit="1" customWidth="1"/>
    <col min="13601" max="13601" width="12.109375" style="819" bestFit="1" customWidth="1"/>
    <col min="13602" max="13603" width="9.33203125" style="819" bestFit="1" customWidth="1"/>
    <col min="13604" max="13604" width="12.33203125" style="819" bestFit="1" customWidth="1"/>
    <col min="13605" max="13605" width="9.33203125" style="819" bestFit="1" customWidth="1"/>
    <col min="13606" max="13606" width="12" style="819" bestFit="1" customWidth="1"/>
    <col min="13607" max="13607" width="9.109375" style="819"/>
    <col min="13608" max="13608" width="14.6640625" style="819" customWidth="1"/>
    <col min="13609" max="13609" width="12" style="819" bestFit="1" customWidth="1"/>
    <col min="13610" max="13611" width="9.109375" style="819"/>
    <col min="13612" max="13612" width="12.5546875" style="819" bestFit="1" customWidth="1"/>
    <col min="13613" max="13614" width="9.109375" style="819"/>
    <col min="13615" max="13615" width="12" style="819" bestFit="1" customWidth="1"/>
    <col min="13616" max="13616" width="12" style="819" customWidth="1"/>
    <col min="13617" max="13617" width="10.88671875" style="819" customWidth="1"/>
    <col min="13618" max="13618" width="12" style="819" bestFit="1" customWidth="1"/>
    <col min="13619" max="13619" width="9.5546875" style="819" customWidth="1"/>
    <col min="13620" max="13620" width="9.109375" style="819"/>
    <col min="13621" max="13621" width="12.5546875" style="819" bestFit="1" customWidth="1"/>
    <col min="13622" max="13825" width="9.109375" style="819"/>
    <col min="13826" max="13826" width="27.6640625" style="819" customWidth="1"/>
    <col min="13827" max="13827" width="11" style="819" bestFit="1" customWidth="1"/>
    <col min="13828" max="13828" width="12.6640625" style="819" bestFit="1" customWidth="1"/>
    <col min="13829" max="13829" width="13" style="819" customWidth="1"/>
    <col min="13830" max="13830" width="12.5546875" style="819" customWidth="1"/>
    <col min="13831" max="13831" width="12.6640625" style="819" bestFit="1" customWidth="1"/>
    <col min="13832" max="13833" width="9.33203125" style="819" bestFit="1" customWidth="1"/>
    <col min="13834" max="13834" width="11.109375" style="819" bestFit="1" customWidth="1"/>
    <col min="13835" max="13835" width="9.33203125" style="819" bestFit="1" customWidth="1"/>
    <col min="13836" max="13836" width="11.33203125" style="819" customWidth="1"/>
    <col min="13837" max="13837" width="11.6640625" style="819" bestFit="1" customWidth="1"/>
    <col min="13838" max="13838" width="10.44140625" style="819" customWidth="1"/>
    <col min="13839" max="13839" width="11" style="819" customWidth="1"/>
    <col min="13840" max="13840" width="11.44140625" style="819" customWidth="1"/>
    <col min="13841" max="13841" width="9.88671875" style="819" customWidth="1"/>
    <col min="13842" max="13842" width="9.44140625" style="819" bestFit="1" customWidth="1"/>
    <col min="13843" max="13843" width="12.6640625" style="819" bestFit="1" customWidth="1"/>
    <col min="13844" max="13844" width="9.44140625" style="819" bestFit="1" customWidth="1"/>
    <col min="13845" max="13845" width="9.6640625" style="819" bestFit="1" customWidth="1"/>
    <col min="13846" max="13846" width="12.6640625" style="819" bestFit="1" customWidth="1"/>
    <col min="13847" max="13847" width="9.44140625" style="819" bestFit="1" customWidth="1"/>
    <col min="13848" max="13848" width="9.33203125" style="819" bestFit="1" customWidth="1"/>
    <col min="13849" max="13849" width="12.109375" style="819" bestFit="1" customWidth="1"/>
    <col min="13850" max="13850" width="9.33203125" style="819" bestFit="1" customWidth="1"/>
    <col min="13851" max="13851" width="12.109375" style="819" bestFit="1" customWidth="1"/>
    <col min="13852" max="13852" width="9.6640625" style="819" bestFit="1" customWidth="1"/>
    <col min="13853" max="13853" width="11.109375" style="819" customWidth="1"/>
    <col min="13854" max="13854" width="12.109375" style="819" bestFit="1" customWidth="1"/>
    <col min="13855" max="13855" width="12" style="819" customWidth="1"/>
    <col min="13856" max="13856" width="9.33203125" style="819" bestFit="1" customWidth="1"/>
    <col min="13857" max="13857" width="12.109375" style="819" bestFit="1" customWidth="1"/>
    <col min="13858" max="13859" width="9.33203125" style="819" bestFit="1" customWidth="1"/>
    <col min="13860" max="13860" width="12.33203125" style="819" bestFit="1" customWidth="1"/>
    <col min="13861" max="13861" width="9.33203125" style="819" bestFit="1" customWidth="1"/>
    <col min="13862" max="13862" width="12" style="819" bestFit="1" customWidth="1"/>
    <col min="13863" max="13863" width="9.109375" style="819"/>
    <col min="13864" max="13864" width="14.6640625" style="819" customWidth="1"/>
    <col min="13865" max="13865" width="12" style="819" bestFit="1" customWidth="1"/>
    <col min="13866" max="13867" width="9.109375" style="819"/>
    <col min="13868" max="13868" width="12.5546875" style="819" bestFit="1" customWidth="1"/>
    <col min="13869" max="13870" width="9.109375" style="819"/>
    <col min="13871" max="13871" width="12" style="819" bestFit="1" customWidth="1"/>
    <col min="13872" max="13872" width="12" style="819" customWidth="1"/>
    <col min="13873" max="13873" width="10.88671875" style="819" customWidth="1"/>
    <col min="13874" max="13874" width="12" style="819" bestFit="1" customWidth="1"/>
    <col min="13875" max="13875" width="9.5546875" style="819" customWidth="1"/>
    <col min="13876" max="13876" width="9.109375" style="819"/>
    <col min="13877" max="13877" width="12.5546875" style="819" bestFit="1" customWidth="1"/>
    <col min="13878" max="14081" width="9.109375" style="819"/>
    <col min="14082" max="14082" width="27.6640625" style="819" customWidth="1"/>
    <col min="14083" max="14083" width="11" style="819" bestFit="1" customWidth="1"/>
    <col min="14084" max="14084" width="12.6640625" style="819" bestFit="1" customWidth="1"/>
    <col min="14085" max="14085" width="13" style="819" customWidth="1"/>
    <col min="14086" max="14086" width="12.5546875" style="819" customWidth="1"/>
    <col min="14087" max="14087" width="12.6640625" style="819" bestFit="1" customWidth="1"/>
    <col min="14088" max="14089" width="9.33203125" style="819" bestFit="1" customWidth="1"/>
    <col min="14090" max="14090" width="11.109375" style="819" bestFit="1" customWidth="1"/>
    <col min="14091" max="14091" width="9.33203125" style="819" bestFit="1" customWidth="1"/>
    <col min="14092" max="14092" width="11.33203125" style="819" customWidth="1"/>
    <col min="14093" max="14093" width="11.6640625" style="819" bestFit="1" customWidth="1"/>
    <col min="14094" max="14094" width="10.44140625" style="819" customWidth="1"/>
    <col min="14095" max="14095" width="11" style="819" customWidth="1"/>
    <col min="14096" max="14096" width="11.44140625" style="819" customWidth="1"/>
    <col min="14097" max="14097" width="9.88671875" style="819" customWidth="1"/>
    <col min="14098" max="14098" width="9.44140625" style="819" bestFit="1" customWidth="1"/>
    <col min="14099" max="14099" width="12.6640625" style="819" bestFit="1" customWidth="1"/>
    <col min="14100" max="14100" width="9.44140625" style="819" bestFit="1" customWidth="1"/>
    <col min="14101" max="14101" width="9.6640625" style="819" bestFit="1" customWidth="1"/>
    <col min="14102" max="14102" width="12.6640625" style="819" bestFit="1" customWidth="1"/>
    <col min="14103" max="14103" width="9.44140625" style="819" bestFit="1" customWidth="1"/>
    <col min="14104" max="14104" width="9.33203125" style="819" bestFit="1" customWidth="1"/>
    <col min="14105" max="14105" width="12.109375" style="819" bestFit="1" customWidth="1"/>
    <col min="14106" max="14106" width="9.33203125" style="819" bestFit="1" customWidth="1"/>
    <col min="14107" max="14107" width="12.109375" style="819" bestFit="1" customWidth="1"/>
    <col min="14108" max="14108" width="9.6640625" style="819" bestFit="1" customWidth="1"/>
    <col min="14109" max="14109" width="11.109375" style="819" customWidth="1"/>
    <col min="14110" max="14110" width="12.109375" style="819" bestFit="1" customWidth="1"/>
    <col min="14111" max="14111" width="12" style="819" customWidth="1"/>
    <col min="14112" max="14112" width="9.33203125" style="819" bestFit="1" customWidth="1"/>
    <col min="14113" max="14113" width="12.109375" style="819" bestFit="1" customWidth="1"/>
    <col min="14114" max="14115" width="9.33203125" style="819" bestFit="1" customWidth="1"/>
    <col min="14116" max="14116" width="12.33203125" style="819" bestFit="1" customWidth="1"/>
    <col min="14117" max="14117" width="9.33203125" style="819" bestFit="1" customWidth="1"/>
    <col min="14118" max="14118" width="12" style="819" bestFit="1" customWidth="1"/>
    <col min="14119" max="14119" width="9.109375" style="819"/>
    <col min="14120" max="14120" width="14.6640625" style="819" customWidth="1"/>
    <col min="14121" max="14121" width="12" style="819" bestFit="1" customWidth="1"/>
    <col min="14122" max="14123" width="9.109375" style="819"/>
    <col min="14124" max="14124" width="12.5546875" style="819" bestFit="1" customWidth="1"/>
    <col min="14125" max="14126" width="9.109375" style="819"/>
    <col min="14127" max="14127" width="12" style="819" bestFit="1" customWidth="1"/>
    <col min="14128" max="14128" width="12" style="819" customWidth="1"/>
    <col min="14129" max="14129" width="10.88671875" style="819" customWidth="1"/>
    <col min="14130" max="14130" width="12" style="819" bestFit="1" customWidth="1"/>
    <col min="14131" max="14131" width="9.5546875" style="819" customWidth="1"/>
    <col min="14132" max="14132" width="9.109375" style="819"/>
    <col min="14133" max="14133" width="12.5546875" style="819" bestFit="1" customWidth="1"/>
    <col min="14134" max="14337" width="9.109375" style="819"/>
    <col min="14338" max="14338" width="27.6640625" style="819" customWidth="1"/>
    <col min="14339" max="14339" width="11" style="819" bestFit="1" customWidth="1"/>
    <col min="14340" max="14340" width="12.6640625" style="819" bestFit="1" customWidth="1"/>
    <col min="14341" max="14341" width="13" style="819" customWidth="1"/>
    <col min="14342" max="14342" width="12.5546875" style="819" customWidth="1"/>
    <col min="14343" max="14343" width="12.6640625" style="819" bestFit="1" customWidth="1"/>
    <col min="14344" max="14345" width="9.33203125" style="819" bestFit="1" customWidth="1"/>
    <col min="14346" max="14346" width="11.109375" style="819" bestFit="1" customWidth="1"/>
    <col min="14347" max="14347" width="9.33203125" style="819" bestFit="1" customWidth="1"/>
    <col min="14348" max="14348" width="11.33203125" style="819" customWidth="1"/>
    <col min="14349" max="14349" width="11.6640625" style="819" bestFit="1" customWidth="1"/>
    <col min="14350" max="14350" width="10.44140625" style="819" customWidth="1"/>
    <col min="14351" max="14351" width="11" style="819" customWidth="1"/>
    <col min="14352" max="14352" width="11.44140625" style="819" customWidth="1"/>
    <col min="14353" max="14353" width="9.88671875" style="819" customWidth="1"/>
    <col min="14354" max="14354" width="9.44140625" style="819" bestFit="1" customWidth="1"/>
    <col min="14355" max="14355" width="12.6640625" style="819" bestFit="1" customWidth="1"/>
    <col min="14356" max="14356" width="9.44140625" style="819" bestFit="1" customWidth="1"/>
    <col min="14357" max="14357" width="9.6640625" style="819" bestFit="1" customWidth="1"/>
    <col min="14358" max="14358" width="12.6640625" style="819" bestFit="1" customWidth="1"/>
    <col min="14359" max="14359" width="9.44140625" style="819" bestFit="1" customWidth="1"/>
    <col min="14360" max="14360" width="9.33203125" style="819" bestFit="1" customWidth="1"/>
    <col min="14361" max="14361" width="12.109375" style="819" bestFit="1" customWidth="1"/>
    <col min="14362" max="14362" width="9.33203125" style="819" bestFit="1" customWidth="1"/>
    <col min="14363" max="14363" width="12.109375" style="819" bestFit="1" customWidth="1"/>
    <col min="14364" max="14364" width="9.6640625" style="819" bestFit="1" customWidth="1"/>
    <col min="14365" max="14365" width="11.109375" style="819" customWidth="1"/>
    <col min="14366" max="14366" width="12.109375" style="819" bestFit="1" customWidth="1"/>
    <col min="14367" max="14367" width="12" style="819" customWidth="1"/>
    <col min="14368" max="14368" width="9.33203125" style="819" bestFit="1" customWidth="1"/>
    <col min="14369" max="14369" width="12.109375" style="819" bestFit="1" customWidth="1"/>
    <col min="14370" max="14371" width="9.33203125" style="819" bestFit="1" customWidth="1"/>
    <col min="14372" max="14372" width="12.33203125" style="819" bestFit="1" customWidth="1"/>
    <col min="14373" max="14373" width="9.33203125" style="819" bestFit="1" customWidth="1"/>
    <col min="14374" max="14374" width="12" style="819" bestFit="1" customWidth="1"/>
    <col min="14375" max="14375" width="9.109375" style="819"/>
    <col min="14376" max="14376" width="14.6640625" style="819" customWidth="1"/>
    <col min="14377" max="14377" width="12" style="819" bestFit="1" customWidth="1"/>
    <col min="14378" max="14379" width="9.109375" style="819"/>
    <col min="14380" max="14380" width="12.5546875" style="819" bestFit="1" customWidth="1"/>
    <col min="14381" max="14382" width="9.109375" style="819"/>
    <col min="14383" max="14383" width="12" style="819" bestFit="1" customWidth="1"/>
    <col min="14384" max="14384" width="12" style="819" customWidth="1"/>
    <col min="14385" max="14385" width="10.88671875" style="819" customWidth="1"/>
    <col min="14386" max="14386" width="12" style="819" bestFit="1" customWidth="1"/>
    <col min="14387" max="14387" width="9.5546875" style="819" customWidth="1"/>
    <col min="14388" max="14388" width="9.109375" style="819"/>
    <col min="14389" max="14389" width="12.5546875" style="819" bestFit="1" customWidth="1"/>
    <col min="14390" max="14593" width="9.109375" style="819"/>
    <col min="14594" max="14594" width="27.6640625" style="819" customWidth="1"/>
    <col min="14595" max="14595" width="11" style="819" bestFit="1" customWidth="1"/>
    <col min="14596" max="14596" width="12.6640625" style="819" bestFit="1" customWidth="1"/>
    <col min="14597" max="14597" width="13" style="819" customWidth="1"/>
    <col min="14598" max="14598" width="12.5546875" style="819" customWidth="1"/>
    <col min="14599" max="14599" width="12.6640625" style="819" bestFit="1" customWidth="1"/>
    <col min="14600" max="14601" width="9.33203125" style="819" bestFit="1" customWidth="1"/>
    <col min="14602" max="14602" width="11.109375" style="819" bestFit="1" customWidth="1"/>
    <col min="14603" max="14603" width="9.33203125" style="819" bestFit="1" customWidth="1"/>
    <col min="14604" max="14604" width="11.33203125" style="819" customWidth="1"/>
    <col min="14605" max="14605" width="11.6640625" style="819" bestFit="1" customWidth="1"/>
    <col min="14606" max="14606" width="10.44140625" style="819" customWidth="1"/>
    <col min="14607" max="14607" width="11" style="819" customWidth="1"/>
    <col min="14608" max="14608" width="11.44140625" style="819" customWidth="1"/>
    <col min="14609" max="14609" width="9.88671875" style="819" customWidth="1"/>
    <col min="14610" max="14610" width="9.44140625" style="819" bestFit="1" customWidth="1"/>
    <col min="14611" max="14611" width="12.6640625" style="819" bestFit="1" customWidth="1"/>
    <col min="14612" max="14612" width="9.44140625" style="819" bestFit="1" customWidth="1"/>
    <col min="14613" max="14613" width="9.6640625" style="819" bestFit="1" customWidth="1"/>
    <col min="14614" max="14614" width="12.6640625" style="819" bestFit="1" customWidth="1"/>
    <col min="14615" max="14615" width="9.44140625" style="819" bestFit="1" customWidth="1"/>
    <col min="14616" max="14616" width="9.33203125" style="819" bestFit="1" customWidth="1"/>
    <col min="14617" max="14617" width="12.109375" style="819" bestFit="1" customWidth="1"/>
    <col min="14618" max="14618" width="9.33203125" style="819" bestFit="1" customWidth="1"/>
    <col min="14619" max="14619" width="12.109375" style="819" bestFit="1" customWidth="1"/>
    <col min="14620" max="14620" width="9.6640625" style="819" bestFit="1" customWidth="1"/>
    <col min="14621" max="14621" width="11.109375" style="819" customWidth="1"/>
    <col min="14622" max="14622" width="12.109375" style="819" bestFit="1" customWidth="1"/>
    <col min="14623" max="14623" width="12" style="819" customWidth="1"/>
    <col min="14624" max="14624" width="9.33203125" style="819" bestFit="1" customWidth="1"/>
    <col min="14625" max="14625" width="12.109375" style="819" bestFit="1" customWidth="1"/>
    <col min="14626" max="14627" width="9.33203125" style="819" bestFit="1" customWidth="1"/>
    <col min="14628" max="14628" width="12.33203125" style="819" bestFit="1" customWidth="1"/>
    <col min="14629" max="14629" width="9.33203125" style="819" bestFit="1" customWidth="1"/>
    <col min="14630" max="14630" width="12" style="819" bestFit="1" customWidth="1"/>
    <col min="14631" max="14631" width="9.109375" style="819"/>
    <col min="14632" max="14632" width="14.6640625" style="819" customWidth="1"/>
    <col min="14633" max="14633" width="12" style="819" bestFit="1" customWidth="1"/>
    <col min="14634" max="14635" width="9.109375" style="819"/>
    <col min="14636" max="14636" width="12.5546875" style="819" bestFit="1" customWidth="1"/>
    <col min="14637" max="14638" width="9.109375" style="819"/>
    <col min="14639" max="14639" width="12" style="819" bestFit="1" customWidth="1"/>
    <col min="14640" max="14640" width="12" style="819" customWidth="1"/>
    <col min="14641" max="14641" width="10.88671875" style="819" customWidth="1"/>
    <col min="14642" max="14642" width="12" style="819" bestFit="1" customWidth="1"/>
    <col min="14643" max="14643" width="9.5546875" style="819" customWidth="1"/>
    <col min="14644" max="14644" width="9.109375" style="819"/>
    <col min="14645" max="14645" width="12.5546875" style="819" bestFit="1" customWidth="1"/>
    <col min="14646" max="14849" width="9.109375" style="819"/>
    <col min="14850" max="14850" width="27.6640625" style="819" customWidth="1"/>
    <col min="14851" max="14851" width="11" style="819" bestFit="1" customWidth="1"/>
    <col min="14852" max="14852" width="12.6640625" style="819" bestFit="1" customWidth="1"/>
    <col min="14853" max="14853" width="13" style="819" customWidth="1"/>
    <col min="14854" max="14854" width="12.5546875" style="819" customWidth="1"/>
    <col min="14855" max="14855" width="12.6640625" style="819" bestFit="1" customWidth="1"/>
    <col min="14856" max="14857" width="9.33203125" style="819" bestFit="1" customWidth="1"/>
    <col min="14858" max="14858" width="11.109375" style="819" bestFit="1" customWidth="1"/>
    <col min="14859" max="14859" width="9.33203125" style="819" bestFit="1" customWidth="1"/>
    <col min="14860" max="14860" width="11.33203125" style="819" customWidth="1"/>
    <col min="14861" max="14861" width="11.6640625" style="819" bestFit="1" customWidth="1"/>
    <col min="14862" max="14862" width="10.44140625" style="819" customWidth="1"/>
    <col min="14863" max="14863" width="11" style="819" customWidth="1"/>
    <col min="14864" max="14864" width="11.44140625" style="819" customWidth="1"/>
    <col min="14865" max="14865" width="9.88671875" style="819" customWidth="1"/>
    <col min="14866" max="14866" width="9.44140625" style="819" bestFit="1" customWidth="1"/>
    <col min="14867" max="14867" width="12.6640625" style="819" bestFit="1" customWidth="1"/>
    <col min="14868" max="14868" width="9.44140625" style="819" bestFit="1" customWidth="1"/>
    <col min="14869" max="14869" width="9.6640625" style="819" bestFit="1" customWidth="1"/>
    <col min="14870" max="14870" width="12.6640625" style="819" bestFit="1" customWidth="1"/>
    <col min="14871" max="14871" width="9.44140625" style="819" bestFit="1" customWidth="1"/>
    <col min="14872" max="14872" width="9.33203125" style="819" bestFit="1" customWidth="1"/>
    <col min="14873" max="14873" width="12.109375" style="819" bestFit="1" customWidth="1"/>
    <col min="14874" max="14874" width="9.33203125" style="819" bestFit="1" customWidth="1"/>
    <col min="14875" max="14875" width="12.109375" style="819" bestFit="1" customWidth="1"/>
    <col min="14876" max="14876" width="9.6640625" style="819" bestFit="1" customWidth="1"/>
    <col min="14877" max="14877" width="11.109375" style="819" customWidth="1"/>
    <col min="14878" max="14878" width="12.109375" style="819" bestFit="1" customWidth="1"/>
    <col min="14879" max="14879" width="12" style="819" customWidth="1"/>
    <col min="14880" max="14880" width="9.33203125" style="819" bestFit="1" customWidth="1"/>
    <col min="14881" max="14881" width="12.109375" style="819" bestFit="1" customWidth="1"/>
    <col min="14882" max="14883" width="9.33203125" style="819" bestFit="1" customWidth="1"/>
    <col min="14884" max="14884" width="12.33203125" style="819" bestFit="1" customWidth="1"/>
    <col min="14885" max="14885" width="9.33203125" style="819" bestFit="1" customWidth="1"/>
    <col min="14886" max="14886" width="12" style="819" bestFit="1" customWidth="1"/>
    <col min="14887" max="14887" width="9.109375" style="819"/>
    <col min="14888" max="14888" width="14.6640625" style="819" customWidth="1"/>
    <col min="14889" max="14889" width="12" style="819" bestFit="1" customWidth="1"/>
    <col min="14890" max="14891" width="9.109375" style="819"/>
    <col min="14892" max="14892" width="12.5546875" style="819" bestFit="1" customWidth="1"/>
    <col min="14893" max="14894" width="9.109375" style="819"/>
    <col min="14895" max="14895" width="12" style="819" bestFit="1" customWidth="1"/>
    <col min="14896" max="14896" width="12" style="819" customWidth="1"/>
    <col min="14897" max="14897" width="10.88671875" style="819" customWidth="1"/>
    <col min="14898" max="14898" width="12" style="819" bestFit="1" customWidth="1"/>
    <col min="14899" max="14899" width="9.5546875" style="819" customWidth="1"/>
    <col min="14900" max="14900" width="9.109375" style="819"/>
    <col min="14901" max="14901" width="12.5546875" style="819" bestFit="1" customWidth="1"/>
    <col min="14902" max="15105" width="9.109375" style="819"/>
    <col min="15106" max="15106" width="27.6640625" style="819" customWidth="1"/>
    <col min="15107" max="15107" width="11" style="819" bestFit="1" customWidth="1"/>
    <col min="15108" max="15108" width="12.6640625" style="819" bestFit="1" customWidth="1"/>
    <col min="15109" max="15109" width="13" style="819" customWidth="1"/>
    <col min="15110" max="15110" width="12.5546875" style="819" customWidth="1"/>
    <col min="15111" max="15111" width="12.6640625" style="819" bestFit="1" customWidth="1"/>
    <col min="15112" max="15113" width="9.33203125" style="819" bestFit="1" customWidth="1"/>
    <col min="15114" max="15114" width="11.109375" style="819" bestFit="1" customWidth="1"/>
    <col min="15115" max="15115" width="9.33203125" style="819" bestFit="1" customWidth="1"/>
    <col min="15116" max="15116" width="11.33203125" style="819" customWidth="1"/>
    <col min="15117" max="15117" width="11.6640625" style="819" bestFit="1" customWidth="1"/>
    <col min="15118" max="15118" width="10.44140625" style="819" customWidth="1"/>
    <col min="15119" max="15119" width="11" style="819" customWidth="1"/>
    <col min="15120" max="15120" width="11.44140625" style="819" customWidth="1"/>
    <col min="15121" max="15121" width="9.88671875" style="819" customWidth="1"/>
    <col min="15122" max="15122" width="9.44140625" style="819" bestFit="1" customWidth="1"/>
    <col min="15123" max="15123" width="12.6640625" style="819" bestFit="1" customWidth="1"/>
    <col min="15124" max="15124" width="9.44140625" style="819" bestFit="1" customWidth="1"/>
    <col min="15125" max="15125" width="9.6640625" style="819" bestFit="1" customWidth="1"/>
    <col min="15126" max="15126" width="12.6640625" style="819" bestFit="1" customWidth="1"/>
    <col min="15127" max="15127" width="9.44140625" style="819" bestFit="1" customWidth="1"/>
    <col min="15128" max="15128" width="9.33203125" style="819" bestFit="1" customWidth="1"/>
    <col min="15129" max="15129" width="12.109375" style="819" bestFit="1" customWidth="1"/>
    <col min="15130" max="15130" width="9.33203125" style="819" bestFit="1" customWidth="1"/>
    <col min="15131" max="15131" width="12.109375" style="819" bestFit="1" customWidth="1"/>
    <col min="15132" max="15132" width="9.6640625" style="819" bestFit="1" customWidth="1"/>
    <col min="15133" max="15133" width="11.109375" style="819" customWidth="1"/>
    <col min="15134" max="15134" width="12.109375" style="819" bestFit="1" customWidth="1"/>
    <col min="15135" max="15135" width="12" style="819" customWidth="1"/>
    <col min="15136" max="15136" width="9.33203125" style="819" bestFit="1" customWidth="1"/>
    <col min="15137" max="15137" width="12.109375" style="819" bestFit="1" customWidth="1"/>
    <col min="15138" max="15139" width="9.33203125" style="819" bestFit="1" customWidth="1"/>
    <col min="15140" max="15140" width="12.33203125" style="819" bestFit="1" customWidth="1"/>
    <col min="15141" max="15141" width="9.33203125" style="819" bestFit="1" customWidth="1"/>
    <col min="15142" max="15142" width="12" style="819" bestFit="1" customWidth="1"/>
    <col min="15143" max="15143" width="9.109375" style="819"/>
    <col min="15144" max="15144" width="14.6640625" style="819" customWidth="1"/>
    <col min="15145" max="15145" width="12" style="819" bestFit="1" customWidth="1"/>
    <col min="15146" max="15147" width="9.109375" style="819"/>
    <col min="15148" max="15148" width="12.5546875" style="819" bestFit="1" customWidth="1"/>
    <col min="15149" max="15150" width="9.109375" style="819"/>
    <col min="15151" max="15151" width="12" style="819" bestFit="1" customWidth="1"/>
    <col min="15152" max="15152" width="12" style="819" customWidth="1"/>
    <col min="15153" max="15153" width="10.88671875" style="819" customWidth="1"/>
    <col min="15154" max="15154" width="12" style="819" bestFit="1" customWidth="1"/>
    <col min="15155" max="15155" width="9.5546875" style="819" customWidth="1"/>
    <col min="15156" max="15156" width="9.109375" style="819"/>
    <col min="15157" max="15157" width="12.5546875" style="819" bestFit="1" customWidth="1"/>
    <col min="15158" max="15361" width="9.109375" style="819"/>
    <col min="15362" max="15362" width="27.6640625" style="819" customWidth="1"/>
    <col min="15363" max="15363" width="11" style="819" bestFit="1" customWidth="1"/>
    <col min="15364" max="15364" width="12.6640625" style="819" bestFit="1" customWidth="1"/>
    <col min="15365" max="15365" width="13" style="819" customWidth="1"/>
    <col min="15366" max="15366" width="12.5546875" style="819" customWidth="1"/>
    <col min="15367" max="15367" width="12.6640625" style="819" bestFit="1" customWidth="1"/>
    <col min="15368" max="15369" width="9.33203125" style="819" bestFit="1" customWidth="1"/>
    <col min="15370" max="15370" width="11.109375" style="819" bestFit="1" customWidth="1"/>
    <col min="15371" max="15371" width="9.33203125" style="819" bestFit="1" customWidth="1"/>
    <col min="15372" max="15372" width="11.33203125" style="819" customWidth="1"/>
    <col min="15373" max="15373" width="11.6640625" style="819" bestFit="1" customWidth="1"/>
    <col min="15374" max="15374" width="10.44140625" style="819" customWidth="1"/>
    <col min="15375" max="15375" width="11" style="819" customWidth="1"/>
    <col min="15376" max="15376" width="11.44140625" style="819" customWidth="1"/>
    <col min="15377" max="15377" width="9.88671875" style="819" customWidth="1"/>
    <col min="15378" max="15378" width="9.44140625" style="819" bestFit="1" customWidth="1"/>
    <col min="15379" max="15379" width="12.6640625" style="819" bestFit="1" customWidth="1"/>
    <col min="15380" max="15380" width="9.44140625" style="819" bestFit="1" customWidth="1"/>
    <col min="15381" max="15381" width="9.6640625" style="819" bestFit="1" customWidth="1"/>
    <col min="15382" max="15382" width="12.6640625" style="819" bestFit="1" customWidth="1"/>
    <col min="15383" max="15383" width="9.44140625" style="819" bestFit="1" customWidth="1"/>
    <col min="15384" max="15384" width="9.33203125" style="819" bestFit="1" customWidth="1"/>
    <col min="15385" max="15385" width="12.109375" style="819" bestFit="1" customWidth="1"/>
    <col min="15386" max="15386" width="9.33203125" style="819" bestFit="1" customWidth="1"/>
    <col min="15387" max="15387" width="12.109375" style="819" bestFit="1" customWidth="1"/>
    <col min="15388" max="15388" width="9.6640625" style="819" bestFit="1" customWidth="1"/>
    <col min="15389" max="15389" width="11.109375" style="819" customWidth="1"/>
    <col min="15390" max="15390" width="12.109375" style="819" bestFit="1" customWidth="1"/>
    <col min="15391" max="15391" width="12" style="819" customWidth="1"/>
    <col min="15392" max="15392" width="9.33203125" style="819" bestFit="1" customWidth="1"/>
    <col min="15393" max="15393" width="12.109375" style="819" bestFit="1" customWidth="1"/>
    <col min="15394" max="15395" width="9.33203125" style="819" bestFit="1" customWidth="1"/>
    <col min="15396" max="15396" width="12.33203125" style="819" bestFit="1" customWidth="1"/>
    <col min="15397" max="15397" width="9.33203125" style="819" bestFit="1" customWidth="1"/>
    <col min="15398" max="15398" width="12" style="819" bestFit="1" customWidth="1"/>
    <col min="15399" max="15399" width="9.109375" style="819"/>
    <col min="15400" max="15400" width="14.6640625" style="819" customWidth="1"/>
    <col min="15401" max="15401" width="12" style="819" bestFit="1" customWidth="1"/>
    <col min="15402" max="15403" width="9.109375" style="819"/>
    <col min="15404" max="15404" width="12.5546875" style="819" bestFit="1" customWidth="1"/>
    <col min="15405" max="15406" width="9.109375" style="819"/>
    <col min="15407" max="15407" width="12" style="819" bestFit="1" customWidth="1"/>
    <col min="15408" max="15408" width="12" style="819" customWidth="1"/>
    <col min="15409" max="15409" width="10.88671875" style="819" customWidth="1"/>
    <col min="15410" max="15410" width="12" style="819" bestFit="1" customWidth="1"/>
    <col min="15411" max="15411" width="9.5546875" style="819" customWidth="1"/>
    <col min="15412" max="15412" width="9.109375" style="819"/>
    <col min="15413" max="15413" width="12.5546875" style="819" bestFit="1" customWidth="1"/>
    <col min="15414" max="15617" width="9.109375" style="819"/>
    <col min="15618" max="15618" width="27.6640625" style="819" customWidth="1"/>
    <col min="15619" max="15619" width="11" style="819" bestFit="1" customWidth="1"/>
    <col min="15620" max="15620" width="12.6640625" style="819" bestFit="1" customWidth="1"/>
    <col min="15621" max="15621" width="13" style="819" customWidth="1"/>
    <col min="15622" max="15622" width="12.5546875" style="819" customWidth="1"/>
    <col min="15623" max="15623" width="12.6640625" style="819" bestFit="1" customWidth="1"/>
    <col min="15624" max="15625" width="9.33203125" style="819" bestFit="1" customWidth="1"/>
    <col min="15626" max="15626" width="11.109375" style="819" bestFit="1" customWidth="1"/>
    <col min="15627" max="15627" width="9.33203125" style="819" bestFit="1" customWidth="1"/>
    <col min="15628" max="15628" width="11.33203125" style="819" customWidth="1"/>
    <col min="15629" max="15629" width="11.6640625" style="819" bestFit="1" customWidth="1"/>
    <col min="15630" max="15630" width="10.44140625" style="819" customWidth="1"/>
    <col min="15631" max="15631" width="11" style="819" customWidth="1"/>
    <col min="15632" max="15632" width="11.44140625" style="819" customWidth="1"/>
    <col min="15633" max="15633" width="9.88671875" style="819" customWidth="1"/>
    <col min="15634" max="15634" width="9.44140625" style="819" bestFit="1" customWidth="1"/>
    <col min="15635" max="15635" width="12.6640625" style="819" bestFit="1" customWidth="1"/>
    <col min="15636" max="15636" width="9.44140625" style="819" bestFit="1" customWidth="1"/>
    <col min="15637" max="15637" width="9.6640625" style="819" bestFit="1" customWidth="1"/>
    <col min="15638" max="15638" width="12.6640625" style="819" bestFit="1" customWidth="1"/>
    <col min="15639" max="15639" width="9.44140625" style="819" bestFit="1" customWidth="1"/>
    <col min="15640" max="15640" width="9.33203125" style="819" bestFit="1" customWidth="1"/>
    <col min="15641" max="15641" width="12.109375" style="819" bestFit="1" customWidth="1"/>
    <col min="15642" max="15642" width="9.33203125" style="819" bestFit="1" customWidth="1"/>
    <col min="15643" max="15643" width="12.109375" style="819" bestFit="1" customWidth="1"/>
    <col min="15644" max="15644" width="9.6640625" style="819" bestFit="1" customWidth="1"/>
    <col min="15645" max="15645" width="11.109375" style="819" customWidth="1"/>
    <col min="15646" max="15646" width="12.109375" style="819" bestFit="1" customWidth="1"/>
    <col min="15647" max="15647" width="12" style="819" customWidth="1"/>
    <col min="15648" max="15648" width="9.33203125" style="819" bestFit="1" customWidth="1"/>
    <col min="15649" max="15649" width="12.109375" style="819" bestFit="1" customWidth="1"/>
    <col min="15650" max="15651" width="9.33203125" style="819" bestFit="1" customWidth="1"/>
    <col min="15652" max="15652" width="12.33203125" style="819" bestFit="1" customWidth="1"/>
    <col min="15653" max="15653" width="9.33203125" style="819" bestFit="1" customWidth="1"/>
    <col min="15654" max="15654" width="12" style="819" bestFit="1" customWidth="1"/>
    <col min="15655" max="15655" width="9.109375" style="819"/>
    <col min="15656" max="15656" width="14.6640625" style="819" customWidth="1"/>
    <col min="15657" max="15657" width="12" style="819" bestFit="1" customWidth="1"/>
    <col min="15658" max="15659" width="9.109375" style="819"/>
    <col min="15660" max="15660" width="12.5546875" style="819" bestFit="1" customWidth="1"/>
    <col min="15661" max="15662" width="9.109375" style="819"/>
    <col min="15663" max="15663" width="12" style="819" bestFit="1" customWidth="1"/>
    <col min="15664" max="15664" width="12" style="819" customWidth="1"/>
    <col min="15665" max="15665" width="10.88671875" style="819" customWidth="1"/>
    <col min="15666" max="15666" width="12" style="819" bestFit="1" customWidth="1"/>
    <col min="15667" max="15667" width="9.5546875" style="819" customWidth="1"/>
    <col min="15668" max="15668" width="9.109375" style="819"/>
    <col min="15669" max="15669" width="12.5546875" style="819" bestFit="1" customWidth="1"/>
    <col min="15670" max="15873" width="9.109375" style="819"/>
    <col min="15874" max="15874" width="27.6640625" style="819" customWidth="1"/>
    <col min="15875" max="15875" width="11" style="819" bestFit="1" customWidth="1"/>
    <col min="15876" max="15876" width="12.6640625" style="819" bestFit="1" customWidth="1"/>
    <col min="15877" max="15877" width="13" style="819" customWidth="1"/>
    <col min="15878" max="15878" width="12.5546875" style="819" customWidth="1"/>
    <col min="15879" max="15879" width="12.6640625" style="819" bestFit="1" customWidth="1"/>
    <col min="15880" max="15881" width="9.33203125" style="819" bestFit="1" customWidth="1"/>
    <col min="15882" max="15882" width="11.109375" style="819" bestFit="1" customWidth="1"/>
    <col min="15883" max="15883" width="9.33203125" style="819" bestFit="1" customWidth="1"/>
    <col min="15884" max="15884" width="11.33203125" style="819" customWidth="1"/>
    <col min="15885" max="15885" width="11.6640625" style="819" bestFit="1" customWidth="1"/>
    <col min="15886" max="15886" width="10.44140625" style="819" customWidth="1"/>
    <col min="15887" max="15887" width="11" style="819" customWidth="1"/>
    <col min="15888" max="15888" width="11.44140625" style="819" customWidth="1"/>
    <col min="15889" max="15889" width="9.88671875" style="819" customWidth="1"/>
    <col min="15890" max="15890" width="9.44140625" style="819" bestFit="1" customWidth="1"/>
    <col min="15891" max="15891" width="12.6640625" style="819" bestFit="1" customWidth="1"/>
    <col min="15892" max="15892" width="9.44140625" style="819" bestFit="1" customWidth="1"/>
    <col min="15893" max="15893" width="9.6640625" style="819" bestFit="1" customWidth="1"/>
    <col min="15894" max="15894" width="12.6640625" style="819" bestFit="1" customWidth="1"/>
    <col min="15895" max="15895" width="9.44140625" style="819" bestFit="1" customWidth="1"/>
    <col min="15896" max="15896" width="9.33203125" style="819" bestFit="1" customWidth="1"/>
    <col min="15897" max="15897" width="12.109375" style="819" bestFit="1" customWidth="1"/>
    <col min="15898" max="15898" width="9.33203125" style="819" bestFit="1" customWidth="1"/>
    <col min="15899" max="15899" width="12.109375" style="819" bestFit="1" customWidth="1"/>
    <col min="15900" max="15900" width="9.6640625" style="819" bestFit="1" customWidth="1"/>
    <col min="15901" max="15901" width="11.109375" style="819" customWidth="1"/>
    <col min="15902" max="15902" width="12.109375" style="819" bestFit="1" customWidth="1"/>
    <col min="15903" max="15903" width="12" style="819" customWidth="1"/>
    <col min="15904" max="15904" width="9.33203125" style="819" bestFit="1" customWidth="1"/>
    <col min="15905" max="15905" width="12.109375" style="819" bestFit="1" customWidth="1"/>
    <col min="15906" max="15907" width="9.33203125" style="819" bestFit="1" customWidth="1"/>
    <col min="15908" max="15908" width="12.33203125" style="819" bestFit="1" customWidth="1"/>
    <col min="15909" max="15909" width="9.33203125" style="819" bestFit="1" customWidth="1"/>
    <col min="15910" max="15910" width="12" style="819" bestFit="1" customWidth="1"/>
    <col min="15911" max="15911" width="9.109375" style="819"/>
    <col min="15912" max="15912" width="14.6640625" style="819" customWidth="1"/>
    <col min="15913" max="15913" width="12" style="819" bestFit="1" customWidth="1"/>
    <col min="15914" max="15915" width="9.109375" style="819"/>
    <col min="15916" max="15916" width="12.5546875" style="819" bestFit="1" customWidth="1"/>
    <col min="15917" max="15918" width="9.109375" style="819"/>
    <col min="15919" max="15919" width="12" style="819" bestFit="1" customWidth="1"/>
    <col min="15920" max="15920" width="12" style="819" customWidth="1"/>
    <col min="15921" max="15921" width="10.88671875" style="819" customWidth="1"/>
    <col min="15922" max="15922" width="12" style="819" bestFit="1" customWidth="1"/>
    <col min="15923" max="15923" width="9.5546875" style="819" customWidth="1"/>
    <col min="15924" max="15924" width="9.109375" style="819"/>
    <col min="15925" max="15925" width="12.5546875" style="819" bestFit="1" customWidth="1"/>
    <col min="15926" max="16129" width="9.109375" style="819"/>
    <col min="16130" max="16130" width="27.6640625" style="819" customWidth="1"/>
    <col min="16131" max="16131" width="11" style="819" bestFit="1" customWidth="1"/>
    <col min="16132" max="16132" width="12.6640625" style="819" bestFit="1" customWidth="1"/>
    <col min="16133" max="16133" width="13" style="819" customWidth="1"/>
    <col min="16134" max="16134" width="12.5546875" style="819" customWidth="1"/>
    <col min="16135" max="16135" width="12.6640625" style="819" bestFit="1" customWidth="1"/>
    <col min="16136" max="16137" width="9.33203125" style="819" bestFit="1" customWidth="1"/>
    <col min="16138" max="16138" width="11.109375" style="819" bestFit="1" customWidth="1"/>
    <col min="16139" max="16139" width="9.33203125" style="819" bestFit="1" customWidth="1"/>
    <col min="16140" max="16140" width="11.33203125" style="819" customWidth="1"/>
    <col min="16141" max="16141" width="11.6640625" style="819" bestFit="1" customWidth="1"/>
    <col min="16142" max="16142" width="10.44140625" style="819" customWidth="1"/>
    <col min="16143" max="16143" width="11" style="819" customWidth="1"/>
    <col min="16144" max="16144" width="11.44140625" style="819" customWidth="1"/>
    <col min="16145" max="16145" width="9.88671875" style="819" customWidth="1"/>
    <col min="16146" max="16146" width="9.44140625" style="819" bestFit="1" customWidth="1"/>
    <col min="16147" max="16147" width="12.6640625" style="819" bestFit="1" customWidth="1"/>
    <col min="16148" max="16148" width="9.44140625" style="819" bestFit="1" customWidth="1"/>
    <col min="16149" max="16149" width="9.6640625" style="819" bestFit="1" customWidth="1"/>
    <col min="16150" max="16150" width="12.6640625" style="819" bestFit="1" customWidth="1"/>
    <col min="16151" max="16151" width="9.44140625" style="819" bestFit="1" customWidth="1"/>
    <col min="16152" max="16152" width="9.33203125" style="819" bestFit="1" customWidth="1"/>
    <col min="16153" max="16153" width="12.109375" style="819" bestFit="1" customWidth="1"/>
    <col min="16154" max="16154" width="9.33203125" style="819" bestFit="1" customWidth="1"/>
    <col min="16155" max="16155" width="12.109375" style="819" bestFit="1" customWidth="1"/>
    <col min="16156" max="16156" width="9.6640625" style="819" bestFit="1" customWidth="1"/>
    <col min="16157" max="16157" width="11.109375" style="819" customWidth="1"/>
    <col min="16158" max="16158" width="12.109375" style="819" bestFit="1" customWidth="1"/>
    <col min="16159" max="16159" width="12" style="819" customWidth="1"/>
    <col min="16160" max="16160" width="9.33203125" style="819" bestFit="1" customWidth="1"/>
    <col min="16161" max="16161" width="12.109375" style="819" bestFit="1" customWidth="1"/>
    <col min="16162" max="16163" width="9.33203125" style="819" bestFit="1" customWidth="1"/>
    <col min="16164" max="16164" width="12.33203125" style="819" bestFit="1" customWidth="1"/>
    <col min="16165" max="16165" width="9.33203125" style="819" bestFit="1" customWidth="1"/>
    <col min="16166" max="16166" width="12" style="819" bestFit="1" customWidth="1"/>
    <col min="16167" max="16167" width="9.109375" style="819"/>
    <col min="16168" max="16168" width="14.6640625" style="819" customWidth="1"/>
    <col min="16169" max="16169" width="12" style="819" bestFit="1" customWidth="1"/>
    <col min="16170" max="16171" width="9.109375" style="819"/>
    <col min="16172" max="16172" width="12.5546875" style="819" bestFit="1" customWidth="1"/>
    <col min="16173" max="16174" width="9.109375" style="819"/>
    <col min="16175" max="16175" width="12" style="819" bestFit="1" customWidth="1"/>
    <col min="16176" max="16176" width="12" style="819" customWidth="1"/>
    <col min="16177" max="16177" width="10.88671875" style="819" customWidth="1"/>
    <col min="16178" max="16178" width="12" style="819" bestFit="1" customWidth="1"/>
    <col min="16179" max="16179" width="9.5546875" style="819" customWidth="1"/>
    <col min="16180" max="16180" width="9.109375" style="819"/>
    <col min="16181" max="16181" width="12.5546875" style="819" bestFit="1" customWidth="1"/>
    <col min="16182" max="16384" width="9.109375" style="819"/>
  </cols>
  <sheetData>
    <row r="1" spans="1:50" ht="19.5" customHeight="1" x14ac:dyDescent="0.3">
      <c r="A1" s="817" t="s">
        <v>2117</v>
      </c>
      <c r="B1" s="817"/>
      <c r="C1" s="818"/>
      <c r="D1" s="818"/>
      <c r="N1" s="1301"/>
      <c r="O1" s="1301"/>
      <c r="P1" s="1301"/>
      <c r="Q1" s="1301"/>
      <c r="R1" s="1301"/>
      <c r="S1" s="1301"/>
      <c r="T1" s="1301"/>
      <c r="U1" s="1301"/>
      <c r="V1" s="1301"/>
      <c r="W1" s="1301"/>
      <c r="X1" s="1301"/>
      <c r="Y1" s="1301"/>
      <c r="Z1" s="1301"/>
      <c r="AA1" s="1301"/>
      <c r="AB1" s="1301"/>
      <c r="AC1" s="1301"/>
      <c r="AD1" s="1301"/>
      <c r="AE1" s="1301"/>
      <c r="AF1" s="1301"/>
      <c r="AG1" s="1301"/>
      <c r="AH1" s="1301"/>
      <c r="AI1" s="1301"/>
      <c r="AJ1" s="1301"/>
    </row>
    <row r="2" spans="1:50" ht="19.5" customHeight="1" thickBot="1" x14ac:dyDescent="0.3">
      <c r="A2" s="351" t="s">
        <v>2118</v>
      </c>
    </row>
    <row r="3" spans="1:50" ht="19.5" customHeight="1" x14ac:dyDescent="0.3">
      <c r="A3" s="1302" t="s">
        <v>2119</v>
      </c>
      <c r="B3" s="1285" t="s">
        <v>2120</v>
      </c>
      <c r="C3" s="1286"/>
      <c r="D3" s="1289" t="s">
        <v>2121</v>
      </c>
      <c r="E3" s="1290"/>
      <c r="F3" s="1289" t="s">
        <v>2122</v>
      </c>
      <c r="G3" s="1290"/>
      <c r="H3" s="1289" t="s">
        <v>2123</v>
      </c>
      <c r="I3" s="1290"/>
      <c r="J3" s="1289" t="s">
        <v>2124</v>
      </c>
      <c r="K3" s="1290"/>
      <c r="L3" s="1289" t="s">
        <v>2125</v>
      </c>
      <c r="M3" s="1305"/>
      <c r="N3" s="1285" t="s">
        <v>2126</v>
      </c>
      <c r="O3" s="1286"/>
      <c r="P3" s="1289" t="s">
        <v>2127</v>
      </c>
      <c r="Q3" s="1290"/>
      <c r="R3" s="1289" t="s">
        <v>2128</v>
      </c>
      <c r="S3" s="1290"/>
      <c r="T3" s="1289" t="s">
        <v>2129</v>
      </c>
      <c r="U3" s="1290"/>
      <c r="V3" s="1289" t="s">
        <v>2130</v>
      </c>
      <c r="W3" s="1290"/>
      <c r="X3" s="1285" t="s">
        <v>2131</v>
      </c>
      <c r="Y3" s="1299"/>
      <c r="Z3" s="1285" t="s">
        <v>2132</v>
      </c>
      <c r="AA3" s="1286"/>
      <c r="AB3" s="1285" t="s">
        <v>2133</v>
      </c>
      <c r="AC3" s="1286"/>
      <c r="AD3" s="1289" t="s">
        <v>2134</v>
      </c>
      <c r="AE3" s="1290"/>
      <c r="AF3" s="1285" t="s">
        <v>2135</v>
      </c>
      <c r="AG3" s="1286"/>
      <c r="AH3" s="1285" t="s">
        <v>2136</v>
      </c>
      <c r="AI3" s="1286"/>
      <c r="AJ3" s="1285" t="s">
        <v>2137</v>
      </c>
      <c r="AK3" s="1299"/>
      <c r="AM3" s="1285" t="s">
        <v>2138</v>
      </c>
      <c r="AN3" s="1286"/>
      <c r="AO3" s="1285" t="s">
        <v>2139</v>
      </c>
      <c r="AP3" s="1286"/>
      <c r="AQ3" s="1289" t="s">
        <v>2140</v>
      </c>
      <c r="AR3" s="1290"/>
      <c r="AS3" s="1285" t="s">
        <v>2141</v>
      </c>
      <c r="AT3" s="1293"/>
      <c r="AU3" s="1295" t="s">
        <v>2119</v>
      </c>
      <c r="AV3" s="1296" t="s">
        <v>2142</v>
      </c>
      <c r="AW3" s="888"/>
      <c r="AX3" s="1296" t="s">
        <v>2143</v>
      </c>
    </row>
    <row r="4" spans="1:50" ht="19.5" customHeight="1" x14ac:dyDescent="0.3">
      <c r="A4" s="1303"/>
      <c r="B4" s="1287"/>
      <c r="C4" s="1288"/>
      <c r="D4" s="1291"/>
      <c r="E4" s="1292"/>
      <c r="F4" s="1291"/>
      <c r="G4" s="1292"/>
      <c r="H4" s="1291"/>
      <c r="I4" s="1292"/>
      <c r="J4" s="1291"/>
      <c r="K4" s="1292"/>
      <c r="L4" s="1291"/>
      <c r="M4" s="1306"/>
      <c r="N4" s="1287"/>
      <c r="O4" s="1288"/>
      <c r="P4" s="1291"/>
      <c r="Q4" s="1292"/>
      <c r="R4" s="1291"/>
      <c r="S4" s="1292"/>
      <c r="T4" s="1291"/>
      <c r="U4" s="1292"/>
      <c r="V4" s="1291"/>
      <c r="W4" s="1292"/>
      <c r="X4" s="1287"/>
      <c r="Y4" s="1300"/>
      <c r="Z4" s="1287"/>
      <c r="AA4" s="1288"/>
      <c r="AB4" s="1287"/>
      <c r="AC4" s="1288"/>
      <c r="AD4" s="1291"/>
      <c r="AE4" s="1292"/>
      <c r="AF4" s="1287"/>
      <c r="AG4" s="1288"/>
      <c r="AH4" s="1287"/>
      <c r="AI4" s="1288"/>
      <c r="AJ4" s="1287"/>
      <c r="AK4" s="1300"/>
      <c r="AM4" s="1287"/>
      <c r="AN4" s="1288"/>
      <c r="AO4" s="1287"/>
      <c r="AP4" s="1288"/>
      <c r="AQ4" s="1291"/>
      <c r="AR4" s="1292"/>
      <c r="AS4" s="1287"/>
      <c r="AT4" s="1294"/>
      <c r="AU4" s="1295"/>
      <c r="AV4" s="1298"/>
      <c r="AW4" s="889"/>
      <c r="AX4" s="1297"/>
    </row>
    <row r="5" spans="1:50" ht="19.5" customHeight="1" x14ac:dyDescent="0.3">
      <c r="A5" s="1303"/>
      <c r="B5" s="820" t="s">
        <v>2144</v>
      </c>
      <c r="C5" s="821" t="s">
        <v>2145</v>
      </c>
      <c r="D5" s="859" t="s">
        <v>2144</v>
      </c>
      <c r="E5" s="860" t="s">
        <v>2145</v>
      </c>
      <c r="F5" s="859" t="s">
        <v>2144</v>
      </c>
      <c r="G5" s="860" t="s">
        <v>2145</v>
      </c>
      <c r="H5" s="859" t="s">
        <v>2144</v>
      </c>
      <c r="I5" s="860" t="s">
        <v>2145</v>
      </c>
      <c r="J5" s="859" t="s">
        <v>2144</v>
      </c>
      <c r="K5" s="860" t="s">
        <v>2145</v>
      </c>
      <c r="L5" s="859" t="s">
        <v>2144</v>
      </c>
      <c r="M5" s="875" t="s">
        <v>2145</v>
      </c>
      <c r="N5" s="820" t="s">
        <v>2144</v>
      </c>
      <c r="O5" s="821" t="s">
        <v>2145</v>
      </c>
      <c r="P5" s="859" t="s">
        <v>2144</v>
      </c>
      <c r="Q5" s="860" t="s">
        <v>2145</v>
      </c>
      <c r="R5" s="859" t="s">
        <v>2144</v>
      </c>
      <c r="S5" s="860" t="s">
        <v>2145</v>
      </c>
      <c r="T5" s="859" t="s">
        <v>2144</v>
      </c>
      <c r="U5" s="860" t="s">
        <v>2145</v>
      </c>
      <c r="V5" s="859" t="s">
        <v>2144</v>
      </c>
      <c r="W5" s="860" t="s">
        <v>2145</v>
      </c>
      <c r="X5" s="820" t="s">
        <v>2144</v>
      </c>
      <c r="Y5" s="822" t="s">
        <v>2145</v>
      </c>
      <c r="Z5" s="820" t="s">
        <v>2144</v>
      </c>
      <c r="AA5" s="821" t="s">
        <v>2145</v>
      </c>
      <c r="AB5" s="820" t="s">
        <v>2144</v>
      </c>
      <c r="AC5" s="821" t="s">
        <v>2145</v>
      </c>
      <c r="AD5" s="859" t="s">
        <v>2144</v>
      </c>
      <c r="AE5" s="860" t="s">
        <v>2145</v>
      </c>
      <c r="AF5" s="820" t="s">
        <v>2144</v>
      </c>
      <c r="AG5" s="821" t="s">
        <v>2145</v>
      </c>
      <c r="AH5" s="820" t="s">
        <v>2144</v>
      </c>
      <c r="AI5" s="821" t="s">
        <v>2145</v>
      </c>
      <c r="AJ5" s="820" t="s">
        <v>2144</v>
      </c>
      <c r="AK5" s="822" t="s">
        <v>2145</v>
      </c>
      <c r="AM5" s="820" t="s">
        <v>2144</v>
      </c>
      <c r="AN5" s="821" t="s">
        <v>2145</v>
      </c>
      <c r="AO5" s="820" t="s">
        <v>2144</v>
      </c>
      <c r="AP5" s="821" t="s">
        <v>2145</v>
      </c>
      <c r="AQ5" s="859" t="s">
        <v>2144</v>
      </c>
      <c r="AR5" s="860" t="s">
        <v>2145</v>
      </c>
      <c r="AS5" s="820" t="s">
        <v>2144</v>
      </c>
      <c r="AT5" s="886" t="s">
        <v>2145</v>
      </c>
      <c r="AU5" s="1295"/>
      <c r="AV5" s="890"/>
      <c r="AW5" s="890"/>
      <c r="AX5" s="890"/>
    </row>
    <row r="6" spans="1:50" ht="19.5" customHeight="1" thickBot="1" x14ac:dyDescent="0.35">
      <c r="A6" s="1304"/>
      <c r="B6" s="823" t="s">
        <v>2146</v>
      </c>
      <c r="C6" s="824" t="s">
        <v>2147</v>
      </c>
      <c r="D6" s="861" t="s">
        <v>2146</v>
      </c>
      <c r="E6" s="862" t="s">
        <v>2147</v>
      </c>
      <c r="F6" s="861" t="s">
        <v>2146</v>
      </c>
      <c r="G6" s="862" t="s">
        <v>2147</v>
      </c>
      <c r="H6" s="861" t="s">
        <v>2146</v>
      </c>
      <c r="I6" s="862" t="s">
        <v>2147</v>
      </c>
      <c r="J6" s="861" t="s">
        <v>2146</v>
      </c>
      <c r="K6" s="862" t="s">
        <v>2147</v>
      </c>
      <c r="L6" s="861" t="s">
        <v>2146</v>
      </c>
      <c r="M6" s="876" t="s">
        <v>2147</v>
      </c>
      <c r="N6" s="823" t="s">
        <v>2146</v>
      </c>
      <c r="O6" s="824" t="s">
        <v>2147</v>
      </c>
      <c r="P6" s="861" t="s">
        <v>2146</v>
      </c>
      <c r="Q6" s="862" t="s">
        <v>2147</v>
      </c>
      <c r="R6" s="861" t="s">
        <v>2146</v>
      </c>
      <c r="S6" s="862" t="s">
        <v>2147</v>
      </c>
      <c r="T6" s="861" t="s">
        <v>2146</v>
      </c>
      <c r="U6" s="862" t="s">
        <v>2147</v>
      </c>
      <c r="V6" s="861" t="s">
        <v>2146</v>
      </c>
      <c r="W6" s="862" t="s">
        <v>2147</v>
      </c>
      <c r="X6" s="823" t="s">
        <v>2146</v>
      </c>
      <c r="Y6" s="825" t="s">
        <v>2147</v>
      </c>
      <c r="Z6" s="823" t="s">
        <v>2146</v>
      </c>
      <c r="AA6" s="824" t="s">
        <v>2147</v>
      </c>
      <c r="AB6" s="823" t="s">
        <v>2146</v>
      </c>
      <c r="AC6" s="824" t="s">
        <v>2147</v>
      </c>
      <c r="AD6" s="861" t="s">
        <v>2146</v>
      </c>
      <c r="AE6" s="862" t="s">
        <v>2147</v>
      </c>
      <c r="AF6" s="823" t="s">
        <v>2146</v>
      </c>
      <c r="AG6" s="824" t="s">
        <v>2147</v>
      </c>
      <c r="AH6" s="823" t="s">
        <v>2146</v>
      </c>
      <c r="AI6" s="824" t="s">
        <v>2147</v>
      </c>
      <c r="AJ6" s="823" t="s">
        <v>2146</v>
      </c>
      <c r="AK6" s="825" t="s">
        <v>2147</v>
      </c>
      <c r="AL6" s="819" t="s">
        <v>12</v>
      </c>
      <c r="AM6" s="823" t="s">
        <v>2146</v>
      </c>
      <c r="AN6" s="824" t="s">
        <v>2147</v>
      </c>
      <c r="AO6" s="823" t="s">
        <v>2146</v>
      </c>
      <c r="AP6" s="824" t="s">
        <v>2147</v>
      </c>
      <c r="AQ6" s="861" t="s">
        <v>2146</v>
      </c>
      <c r="AR6" s="862" t="s">
        <v>2147</v>
      </c>
      <c r="AS6" s="823" t="s">
        <v>2146</v>
      </c>
      <c r="AT6" s="887" t="s">
        <v>2147</v>
      </c>
      <c r="AU6" s="1295"/>
      <c r="AV6" s="891" t="s">
        <v>2146</v>
      </c>
      <c r="AW6" s="891" t="s">
        <v>1981</v>
      </c>
      <c r="AX6" s="891" t="s">
        <v>2146</v>
      </c>
    </row>
    <row r="7" spans="1:50" ht="19.5" customHeight="1" x14ac:dyDescent="0.3">
      <c r="A7" s="826" t="s">
        <v>1584</v>
      </c>
      <c r="B7" s="827">
        <v>81568.7</v>
      </c>
      <c r="C7" s="828">
        <v>6.8</v>
      </c>
      <c r="D7" s="863">
        <v>18585.099999999999</v>
      </c>
      <c r="E7" s="864">
        <v>14.6</v>
      </c>
      <c r="F7" s="863">
        <v>14140.8</v>
      </c>
      <c r="G7" s="864">
        <v>16.8</v>
      </c>
      <c r="H7" s="863">
        <v>21967.9</v>
      </c>
      <c r="I7" s="864">
        <v>13.5</v>
      </c>
      <c r="J7" s="863">
        <v>2828.2</v>
      </c>
      <c r="K7" s="864">
        <v>37.799999999999997</v>
      </c>
      <c r="L7" s="863">
        <v>808</v>
      </c>
      <c r="M7" s="877">
        <v>70.8</v>
      </c>
      <c r="N7" s="827">
        <v>6464.4</v>
      </c>
      <c r="O7" s="828">
        <v>25</v>
      </c>
      <c r="P7" s="863">
        <v>115500.5</v>
      </c>
      <c r="Q7" s="864">
        <v>5.6</v>
      </c>
      <c r="R7" s="863">
        <v>70000.100000000006</v>
      </c>
      <c r="S7" s="864">
        <v>7.4</v>
      </c>
      <c r="T7" s="863">
        <v>8080.5</v>
      </c>
      <c r="U7" s="864">
        <v>22.3</v>
      </c>
      <c r="V7" s="863">
        <v>169075.20000000001</v>
      </c>
      <c r="W7" s="864">
        <v>4.5</v>
      </c>
      <c r="X7" s="827">
        <v>17777</v>
      </c>
      <c r="Y7" s="829">
        <v>15</v>
      </c>
      <c r="Z7" s="827">
        <v>23537.4</v>
      </c>
      <c r="AA7" s="828">
        <v>13</v>
      </c>
      <c r="AB7" s="827">
        <v>289399.5</v>
      </c>
      <c r="AC7" s="828">
        <v>3.2</v>
      </c>
      <c r="AD7" s="863">
        <v>0</v>
      </c>
      <c r="AE7" s="874" t="s">
        <v>10</v>
      </c>
      <c r="AF7" s="827">
        <v>0</v>
      </c>
      <c r="AG7" s="830" t="s">
        <v>10</v>
      </c>
      <c r="AH7" s="827">
        <v>0</v>
      </c>
      <c r="AI7" s="828" t="s">
        <v>10</v>
      </c>
      <c r="AJ7" s="827">
        <v>839733.3</v>
      </c>
      <c r="AK7" s="829">
        <v>1.1000000000000001</v>
      </c>
      <c r="AL7" s="831">
        <f>B7+D7+F7+H7+J7+L7+N7+P7+R7+T7+V7+X7+Z7+AB7+AD7+AF7+AH7</f>
        <v>839733.3</v>
      </c>
      <c r="AM7" s="827">
        <v>14950.1</v>
      </c>
      <c r="AN7" s="828">
        <v>16.600000000000001</v>
      </c>
      <c r="AO7" s="827">
        <v>14237.9</v>
      </c>
      <c r="AP7" s="832">
        <v>16.600000000000001</v>
      </c>
      <c r="AQ7" s="863">
        <v>0</v>
      </c>
      <c r="AR7" s="882" t="s">
        <v>10</v>
      </c>
      <c r="AS7" s="827">
        <v>29188.1</v>
      </c>
      <c r="AT7" s="828">
        <v>11.7</v>
      </c>
      <c r="AU7" s="892" t="s">
        <v>1584</v>
      </c>
      <c r="AV7" s="893">
        <f>D7+F7+H7+J7+L7+P7+R7+T7+V7+AD7+AQ7</f>
        <v>420986.30000000005</v>
      </c>
      <c r="AW7" s="894">
        <f>AV7/AX7</f>
        <v>0.48449295874172282</v>
      </c>
      <c r="AX7" s="893">
        <f>AJ7+AS7</f>
        <v>868921.4</v>
      </c>
    </row>
    <row r="8" spans="1:50" ht="19.5" customHeight="1" x14ac:dyDescent="0.3">
      <c r="A8" s="833" t="s">
        <v>2148</v>
      </c>
      <c r="B8" s="834">
        <v>44528</v>
      </c>
      <c r="C8" s="835">
        <v>7.5</v>
      </c>
      <c r="D8" s="865">
        <v>18230.2</v>
      </c>
      <c r="E8" s="866">
        <v>13.4</v>
      </c>
      <c r="F8" s="865">
        <v>1155.9000000000001</v>
      </c>
      <c r="G8" s="866">
        <v>57.3</v>
      </c>
      <c r="H8" s="865">
        <v>12330</v>
      </c>
      <c r="I8" s="866">
        <v>16.8</v>
      </c>
      <c r="J8" s="865">
        <v>385.3</v>
      </c>
      <c r="K8" s="866">
        <v>99.6</v>
      </c>
      <c r="L8" s="865">
        <v>0</v>
      </c>
      <c r="M8" s="878" t="s">
        <v>10</v>
      </c>
      <c r="N8" s="834">
        <v>0</v>
      </c>
      <c r="O8" s="837" t="s">
        <v>10</v>
      </c>
      <c r="P8" s="865">
        <v>1155.9000000000001</v>
      </c>
      <c r="Q8" s="866">
        <v>57.3</v>
      </c>
      <c r="R8" s="865">
        <v>4238.5</v>
      </c>
      <c r="S8" s="866">
        <v>29.6</v>
      </c>
      <c r="T8" s="865">
        <v>0</v>
      </c>
      <c r="U8" s="867" t="s">
        <v>10</v>
      </c>
      <c r="V8" s="865">
        <v>3853.1</v>
      </c>
      <c r="W8" s="866">
        <v>31.1</v>
      </c>
      <c r="X8" s="834">
        <v>0</v>
      </c>
      <c r="Y8" s="836" t="s">
        <v>10</v>
      </c>
      <c r="Z8" s="834">
        <v>385.3</v>
      </c>
      <c r="AA8" s="835">
        <v>99.6</v>
      </c>
      <c r="AB8" s="834">
        <v>12065.2</v>
      </c>
      <c r="AC8" s="835">
        <v>16.899999999999999</v>
      </c>
      <c r="AD8" s="865">
        <v>0</v>
      </c>
      <c r="AE8" s="867" t="s">
        <v>10</v>
      </c>
      <c r="AF8" s="834">
        <v>0</v>
      </c>
      <c r="AG8" s="837" t="s">
        <v>10</v>
      </c>
      <c r="AH8" s="834">
        <v>0</v>
      </c>
      <c r="AI8" s="835" t="s">
        <v>10</v>
      </c>
      <c r="AJ8" s="834">
        <v>98327.4</v>
      </c>
      <c r="AK8" s="838">
        <v>3.1</v>
      </c>
      <c r="AL8" s="831">
        <f t="shared" ref="AL8:AL28" si="0">B8+D8+F8+H8+J8+L8+N8+P8+R8+T8+V8+X8+Z8+AB8+AD8+AF8+AH8</f>
        <v>98327.400000000009</v>
      </c>
      <c r="AM8" s="834">
        <v>2311.9</v>
      </c>
      <c r="AN8" s="835">
        <v>40.4</v>
      </c>
      <c r="AO8" s="834">
        <v>385.3</v>
      </c>
      <c r="AP8" s="839">
        <v>99.6</v>
      </c>
      <c r="AQ8" s="865">
        <v>0</v>
      </c>
      <c r="AR8" s="883" t="s">
        <v>10</v>
      </c>
      <c r="AS8" s="834">
        <v>2697.2</v>
      </c>
      <c r="AT8" s="835">
        <v>37.299999999999997</v>
      </c>
      <c r="AU8" s="892" t="s">
        <v>2148</v>
      </c>
      <c r="AV8" s="893">
        <f t="shared" ref="AV8:AV28" si="1">D8+F8+H8+J8+L8+P8+R8+T8+V8+AD8+AQ8</f>
        <v>41348.9</v>
      </c>
      <c r="AW8" s="894">
        <f t="shared" ref="AW8:AW28" si="2">AV8/AX8</f>
        <v>0.40929535974406239</v>
      </c>
      <c r="AX8" s="893">
        <f t="shared" ref="AX8:AX28" si="3">AJ8+AS8</f>
        <v>101024.59999999999</v>
      </c>
    </row>
    <row r="9" spans="1:50" ht="19.5" customHeight="1" x14ac:dyDescent="0.3">
      <c r="A9" s="833" t="s">
        <v>1460</v>
      </c>
      <c r="B9" s="834">
        <v>47678.1</v>
      </c>
      <c r="C9" s="835">
        <v>9.3000000000000007</v>
      </c>
      <c r="D9" s="865">
        <v>88374</v>
      </c>
      <c r="E9" s="866">
        <v>6.7</v>
      </c>
      <c r="F9" s="865">
        <v>8005.2</v>
      </c>
      <c r="G9" s="866">
        <v>23.5</v>
      </c>
      <c r="H9" s="865">
        <v>18073.2</v>
      </c>
      <c r="I9" s="866">
        <v>15.5</v>
      </c>
      <c r="J9" s="865">
        <v>4848.8999999999996</v>
      </c>
      <c r="K9" s="866">
        <v>30.1</v>
      </c>
      <c r="L9" s="865">
        <v>0</v>
      </c>
      <c r="M9" s="878" t="s">
        <v>10</v>
      </c>
      <c r="N9" s="834">
        <v>1763.2</v>
      </c>
      <c r="O9" s="835">
        <v>50</v>
      </c>
      <c r="P9" s="865">
        <v>65680.7</v>
      </c>
      <c r="Q9" s="866">
        <v>7.9</v>
      </c>
      <c r="R9" s="865">
        <v>42417.7</v>
      </c>
      <c r="S9" s="866">
        <v>9.9</v>
      </c>
      <c r="T9" s="865">
        <v>2204.1</v>
      </c>
      <c r="U9" s="866">
        <v>44.7</v>
      </c>
      <c r="V9" s="865">
        <v>82872.3</v>
      </c>
      <c r="W9" s="866">
        <v>6.9</v>
      </c>
      <c r="X9" s="834">
        <v>81179.7</v>
      </c>
      <c r="Y9" s="838">
        <v>7</v>
      </c>
      <c r="Z9" s="834">
        <v>20277.3</v>
      </c>
      <c r="AA9" s="835">
        <v>14.6</v>
      </c>
      <c r="AB9" s="834">
        <v>113870.3</v>
      </c>
      <c r="AC9" s="835">
        <v>5.8</v>
      </c>
      <c r="AD9" s="865">
        <v>0</v>
      </c>
      <c r="AE9" s="867" t="s">
        <v>10</v>
      </c>
      <c r="AF9" s="834">
        <v>0</v>
      </c>
      <c r="AG9" s="837" t="s">
        <v>10</v>
      </c>
      <c r="AH9" s="834">
        <v>881.6</v>
      </c>
      <c r="AI9" s="835">
        <v>70.7</v>
      </c>
      <c r="AJ9" s="834">
        <v>578126.30000000005</v>
      </c>
      <c r="AK9" s="838">
        <v>1.5</v>
      </c>
      <c r="AL9" s="831">
        <f t="shared" si="0"/>
        <v>578126.30000000005</v>
      </c>
      <c r="AM9" s="834">
        <v>21441.5</v>
      </c>
      <c r="AN9" s="835">
        <v>14.2</v>
      </c>
      <c r="AO9" s="834">
        <v>9587.6</v>
      </c>
      <c r="AP9" s="839">
        <v>21.2</v>
      </c>
      <c r="AQ9" s="865">
        <v>0</v>
      </c>
      <c r="AR9" s="883" t="s">
        <v>10</v>
      </c>
      <c r="AS9" s="834">
        <v>31029.1</v>
      </c>
      <c r="AT9" s="835">
        <v>11.7</v>
      </c>
      <c r="AU9" s="892" t="s">
        <v>1460</v>
      </c>
      <c r="AV9" s="893">
        <f t="shared" si="1"/>
        <v>312476.10000000003</v>
      </c>
      <c r="AW9" s="894">
        <f t="shared" si="2"/>
        <v>0.51296614952440711</v>
      </c>
      <c r="AX9" s="893">
        <f t="shared" si="3"/>
        <v>609155.4</v>
      </c>
    </row>
    <row r="10" spans="1:50" ht="19.5" customHeight="1" x14ac:dyDescent="0.3">
      <c r="A10" s="841" t="s">
        <v>2149</v>
      </c>
      <c r="B10" s="834">
        <v>91693.3</v>
      </c>
      <c r="C10" s="835">
        <v>5.7</v>
      </c>
      <c r="D10" s="865">
        <v>175064.7</v>
      </c>
      <c r="E10" s="866">
        <v>3.6</v>
      </c>
      <c r="F10" s="865">
        <v>2646.6</v>
      </c>
      <c r="G10" s="866">
        <v>37.6</v>
      </c>
      <c r="H10" s="865">
        <v>37808.9</v>
      </c>
      <c r="I10" s="866">
        <v>9.5</v>
      </c>
      <c r="J10" s="865">
        <v>378.1</v>
      </c>
      <c r="K10" s="866">
        <v>99.8</v>
      </c>
      <c r="L10" s="865">
        <v>0</v>
      </c>
      <c r="M10" s="878" t="s">
        <v>10</v>
      </c>
      <c r="N10" s="834">
        <v>378.1</v>
      </c>
      <c r="O10" s="835">
        <v>99.8</v>
      </c>
      <c r="P10" s="865">
        <v>3780.9</v>
      </c>
      <c r="Q10" s="866">
        <v>31.4</v>
      </c>
      <c r="R10" s="865">
        <v>4537.1000000000004</v>
      </c>
      <c r="S10" s="866">
        <v>28.7</v>
      </c>
      <c r="T10" s="865">
        <v>0</v>
      </c>
      <c r="U10" s="867" t="s">
        <v>10</v>
      </c>
      <c r="V10" s="865">
        <v>1512.4</v>
      </c>
      <c r="W10" s="866">
        <v>49.8</v>
      </c>
      <c r="X10" s="834">
        <v>8825.2999999999993</v>
      </c>
      <c r="Y10" s="838">
        <v>20.7</v>
      </c>
      <c r="Z10" s="834">
        <v>2646.6</v>
      </c>
      <c r="AA10" s="835">
        <v>37.6</v>
      </c>
      <c r="AB10" s="834">
        <v>3154</v>
      </c>
      <c r="AC10" s="835">
        <v>35.4</v>
      </c>
      <c r="AD10" s="865">
        <v>0</v>
      </c>
      <c r="AE10" s="867" t="s">
        <v>10</v>
      </c>
      <c r="AF10" s="834">
        <v>0</v>
      </c>
      <c r="AG10" s="837" t="s">
        <v>10</v>
      </c>
      <c r="AH10" s="834">
        <v>0</v>
      </c>
      <c r="AI10" s="835" t="s">
        <v>10</v>
      </c>
      <c r="AJ10" s="834">
        <v>332426</v>
      </c>
      <c r="AK10" s="838">
        <v>1.7</v>
      </c>
      <c r="AL10" s="831">
        <f t="shared" si="0"/>
        <v>332425.99999999994</v>
      </c>
      <c r="AM10" s="834">
        <v>25590.5</v>
      </c>
      <c r="AN10" s="835">
        <v>11.9</v>
      </c>
      <c r="AO10" s="834">
        <v>0</v>
      </c>
      <c r="AP10" s="840" t="s">
        <v>10</v>
      </c>
      <c r="AQ10" s="865">
        <v>0</v>
      </c>
      <c r="AR10" s="883" t="s">
        <v>10</v>
      </c>
      <c r="AS10" s="834">
        <v>25590.5</v>
      </c>
      <c r="AT10" s="835">
        <v>11.9</v>
      </c>
      <c r="AU10" s="892" t="s">
        <v>2149</v>
      </c>
      <c r="AV10" s="893">
        <f t="shared" si="1"/>
        <v>225728.7</v>
      </c>
      <c r="AW10" s="894">
        <f t="shared" si="2"/>
        <v>0.63049803570505836</v>
      </c>
      <c r="AX10" s="893">
        <f t="shared" si="3"/>
        <v>358016.5</v>
      </c>
    </row>
    <row r="11" spans="1:50" ht="19.5" customHeight="1" x14ac:dyDescent="0.3">
      <c r="A11" s="842" t="s">
        <v>2150</v>
      </c>
      <c r="B11" s="834">
        <v>63038.2</v>
      </c>
      <c r="C11" s="835">
        <v>7.1</v>
      </c>
      <c r="D11" s="865">
        <v>137202.6</v>
      </c>
      <c r="E11" s="866">
        <v>4.3</v>
      </c>
      <c r="F11" s="865">
        <v>15856.1</v>
      </c>
      <c r="G11" s="866">
        <v>14.8</v>
      </c>
      <c r="H11" s="865">
        <v>21261.5</v>
      </c>
      <c r="I11" s="866">
        <v>12.7</v>
      </c>
      <c r="J11" s="865">
        <v>6126.2</v>
      </c>
      <c r="K11" s="866">
        <v>24.1</v>
      </c>
      <c r="L11" s="865">
        <v>0</v>
      </c>
      <c r="M11" s="878" t="s">
        <v>10</v>
      </c>
      <c r="N11" s="834">
        <v>0</v>
      </c>
      <c r="O11" s="837" t="s">
        <v>10</v>
      </c>
      <c r="P11" s="865">
        <v>62246.7</v>
      </c>
      <c r="Q11" s="866">
        <v>7.1</v>
      </c>
      <c r="R11" s="865">
        <v>5765.8</v>
      </c>
      <c r="S11" s="866">
        <v>24.9</v>
      </c>
      <c r="T11" s="865">
        <v>0</v>
      </c>
      <c r="U11" s="867" t="s">
        <v>10</v>
      </c>
      <c r="V11" s="865">
        <v>1801.8</v>
      </c>
      <c r="W11" s="866">
        <v>44.7</v>
      </c>
      <c r="X11" s="834">
        <v>40841</v>
      </c>
      <c r="Y11" s="838">
        <v>9</v>
      </c>
      <c r="Z11" s="834">
        <v>3243.3</v>
      </c>
      <c r="AA11" s="835">
        <v>33.299999999999997</v>
      </c>
      <c r="AB11" s="834">
        <v>15135.3</v>
      </c>
      <c r="AC11" s="835">
        <v>15.2</v>
      </c>
      <c r="AD11" s="865">
        <v>360.4</v>
      </c>
      <c r="AE11" s="866">
        <v>100.2</v>
      </c>
      <c r="AF11" s="834">
        <v>0</v>
      </c>
      <c r="AG11" s="837" t="s">
        <v>10</v>
      </c>
      <c r="AH11" s="834">
        <v>0</v>
      </c>
      <c r="AI11" s="835" t="s">
        <v>10</v>
      </c>
      <c r="AJ11" s="834">
        <v>372878.9</v>
      </c>
      <c r="AK11" s="838">
        <v>1.4</v>
      </c>
      <c r="AL11" s="831">
        <f t="shared" si="0"/>
        <v>372878.89999999997</v>
      </c>
      <c r="AM11" s="834">
        <v>21921.200000000001</v>
      </c>
      <c r="AN11" s="835">
        <v>12.7</v>
      </c>
      <c r="AO11" s="834">
        <v>360.4</v>
      </c>
      <c r="AP11" s="839">
        <v>100.2</v>
      </c>
      <c r="AQ11" s="865">
        <v>0</v>
      </c>
      <c r="AR11" s="883" t="s">
        <v>10</v>
      </c>
      <c r="AS11" s="834">
        <v>22281.599999999999</v>
      </c>
      <c r="AT11" s="835">
        <v>12.6</v>
      </c>
      <c r="AU11" s="892" t="s">
        <v>2150</v>
      </c>
      <c r="AV11" s="893">
        <f t="shared" si="1"/>
        <v>250621.1</v>
      </c>
      <c r="AW11" s="894">
        <f t="shared" si="2"/>
        <v>0.63422609294198184</v>
      </c>
      <c r="AX11" s="893">
        <f t="shared" si="3"/>
        <v>395160.5</v>
      </c>
    </row>
    <row r="12" spans="1:50" ht="19.5" customHeight="1" x14ac:dyDescent="0.3">
      <c r="A12" s="833" t="s">
        <v>1461</v>
      </c>
      <c r="B12" s="834">
        <v>40875.5</v>
      </c>
      <c r="C12" s="835">
        <v>9.3000000000000007</v>
      </c>
      <c r="D12" s="865">
        <v>96702.8</v>
      </c>
      <c r="E12" s="866">
        <v>5.7</v>
      </c>
      <c r="F12" s="865">
        <v>7096.6</v>
      </c>
      <c r="G12" s="866">
        <v>22.8</v>
      </c>
      <c r="H12" s="865">
        <v>12985</v>
      </c>
      <c r="I12" s="866">
        <v>17</v>
      </c>
      <c r="J12" s="865">
        <v>3504.5</v>
      </c>
      <c r="K12" s="866">
        <v>33.5</v>
      </c>
      <c r="L12" s="865">
        <v>747</v>
      </c>
      <c r="M12" s="878">
        <v>70.7</v>
      </c>
      <c r="N12" s="834">
        <v>0</v>
      </c>
      <c r="O12" s="837" t="s">
        <v>10</v>
      </c>
      <c r="P12" s="865">
        <v>67196</v>
      </c>
      <c r="Q12" s="866">
        <v>7</v>
      </c>
      <c r="R12" s="865">
        <v>14566.7</v>
      </c>
      <c r="S12" s="866">
        <v>15.8</v>
      </c>
      <c r="T12" s="865">
        <v>373.5</v>
      </c>
      <c r="U12" s="866">
        <v>100</v>
      </c>
      <c r="V12" s="865">
        <v>18301.7</v>
      </c>
      <c r="W12" s="866">
        <v>14.1</v>
      </c>
      <c r="X12" s="834">
        <v>82687.399999999994</v>
      </c>
      <c r="Y12" s="838">
        <v>6.2</v>
      </c>
      <c r="Z12" s="834">
        <v>10084.6</v>
      </c>
      <c r="AA12" s="835">
        <v>19.100000000000001</v>
      </c>
      <c r="AB12" s="834">
        <v>37350.400000000001</v>
      </c>
      <c r="AC12" s="835">
        <v>9.6999999999999993</v>
      </c>
      <c r="AD12" s="865">
        <v>2988</v>
      </c>
      <c r="AE12" s="866">
        <v>35.299999999999997</v>
      </c>
      <c r="AF12" s="834">
        <v>0</v>
      </c>
      <c r="AG12" s="837" t="s">
        <v>10</v>
      </c>
      <c r="AH12" s="834">
        <v>0</v>
      </c>
      <c r="AI12" s="835" t="s">
        <v>10</v>
      </c>
      <c r="AJ12" s="834">
        <v>395459.7</v>
      </c>
      <c r="AK12" s="838">
        <v>1.7</v>
      </c>
      <c r="AL12" s="831">
        <f t="shared" si="0"/>
        <v>395459.69999999995</v>
      </c>
      <c r="AM12" s="834">
        <v>19265.099999999999</v>
      </c>
      <c r="AN12" s="835">
        <v>13.8</v>
      </c>
      <c r="AO12" s="834">
        <v>2614.5</v>
      </c>
      <c r="AP12" s="839">
        <v>37.700000000000003</v>
      </c>
      <c r="AQ12" s="865">
        <v>712.2</v>
      </c>
      <c r="AR12" s="884">
        <v>70.8</v>
      </c>
      <c r="AS12" s="834">
        <v>22591.9</v>
      </c>
      <c r="AT12" s="835">
        <v>12.7</v>
      </c>
      <c r="AU12" s="892" t="s">
        <v>1461</v>
      </c>
      <c r="AV12" s="893">
        <f t="shared" si="1"/>
        <v>225174.00000000006</v>
      </c>
      <c r="AW12" s="894">
        <f t="shared" si="2"/>
        <v>0.53862728907149271</v>
      </c>
      <c r="AX12" s="893">
        <f t="shared" si="3"/>
        <v>418051.60000000003</v>
      </c>
    </row>
    <row r="13" spans="1:50" ht="19.5" customHeight="1" x14ac:dyDescent="0.3">
      <c r="A13" s="833" t="s">
        <v>2151</v>
      </c>
      <c r="B13" s="834">
        <v>11891.1</v>
      </c>
      <c r="C13" s="835">
        <v>17.399999999999999</v>
      </c>
      <c r="D13" s="865">
        <v>44963.4</v>
      </c>
      <c r="E13" s="866">
        <v>8.6</v>
      </c>
      <c r="F13" s="865">
        <v>1858</v>
      </c>
      <c r="G13" s="866">
        <v>44.5</v>
      </c>
      <c r="H13" s="865">
        <v>10033.1</v>
      </c>
      <c r="I13" s="866">
        <v>19</v>
      </c>
      <c r="J13" s="865">
        <v>30842.6</v>
      </c>
      <c r="K13" s="866">
        <v>10.5</v>
      </c>
      <c r="L13" s="865">
        <v>1114.8</v>
      </c>
      <c r="M13" s="879">
        <v>57.5</v>
      </c>
      <c r="N13" s="834">
        <v>1114.8</v>
      </c>
      <c r="O13" s="835">
        <v>57.5</v>
      </c>
      <c r="P13" s="865">
        <v>88811.9</v>
      </c>
      <c r="Q13" s="866">
        <v>5.7</v>
      </c>
      <c r="R13" s="865">
        <v>7432</v>
      </c>
      <c r="S13" s="866">
        <v>22.1</v>
      </c>
      <c r="T13" s="865">
        <v>0</v>
      </c>
      <c r="U13" s="867" t="s">
        <v>10</v>
      </c>
      <c r="V13" s="865">
        <v>13377.5</v>
      </c>
      <c r="W13" s="866">
        <v>16.399999999999999</v>
      </c>
      <c r="X13" s="834">
        <v>45806.8</v>
      </c>
      <c r="Y13" s="838">
        <v>8.5</v>
      </c>
      <c r="Z13" s="834">
        <v>12942.9</v>
      </c>
      <c r="AA13" s="835">
        <v>16.600000000000001</v>
      </c>
      <c r="AB13" s="834">
        <v>46034.6</v>
      </c>
      <c r="AC13" s="835">
        <v>8.5</v>
      </c>
      <c r="AD13" s="865">
        <v>0</v>
      </c>
      <c r="AE13" s="867" t="s">
        <v>10</v>
      </c>
      <c r="AF13" s="834">
        <v>0</v>
      </c>
      <c r="AG13" s="837" t="s">
        <v>10</v>
      </c>
      <c r="AH13" s="834">
        <v>0</v>
      </c>
      <c r="AI13" s="835" t="s">
        <v>10</v>
      </c>
      <c r="AJ13" s="834">
        <v>316223.5</v>
      </c>
      <c r="AK13" s="838">
        <v>1.7</v>
      </c>
      <c r="AL13" s="831">
        <f t="shared" si="0"/>
        <v>316223.5</v>
      </c>
      <c r="AM13" s="834">
        <v>11804</v>
      </c>
      <c r="AN13" s="835">
        <v>17.399999999999999</v>
      </c>
      <c r="AO13" s="834">
        <v>2229.6</v>
      </c>
      <c r="AP13" s="839">
        <v>40.6</v>
      </c>
      <c r="AQ13" s="865">
        <v>0</v>
      </c>
      <c r="AR13" s="883" t="s">
        <v>10</v>
      </c>
      <c r="AS13" s="834">
        <v>14033.6</v>
      </c>
      <c r="AT13" s="835">
        <v>15.9</v>
      </c>
      <c r="AU13" s="892" t="s">
        <v>2151</v>
      </c>
      <c r="AV13" s="893">
        <f t="shared" si="1"/>
        <v>198433.3</v>
      </c>
      <c r="AW13" s="894">
        <f t="shared" si="2"/>
        <v>0.60084491749004032</v>
      </c>
      <c r="AX13" s="893">
        <f t="shared" si="3"/>
        <v>330257.09999999998</v>
      </c>
    </row>
    <row r="14" spans="1:50" ht="19.5" customHeight="1" x14ac:dyDescent="0.3">
      <c r="A14" s="833" t="s">
        <v>1581</v>
      </c>
      <c r="B14" s="834">
        <v>1099.0999999999999</v>
      </c>
      <c r="C14" s="835">
        <v>57.3</v>
      </c>
      <c r="D14" s="865">
        <v>366.4</v>
      </c>
      <c r="E14" s="866">
        <v>99.3</v>
      </c>
      <c r="F14" s="865">
        <v>2931</v>
      </c>
      <c r="G14" s="866">
        <v>35</v>
      </c>
      <c r="H14" s="865">
        <v>10258.5</v>
      </c>
      <c r="I14" s="866">
        <v>18.5</v>
      </c>
      <c r="J14" s="865">
        <v>5495.6</v>
      </c>
      <c r="K14" s="866">
        <v>25.5</v>
      </c>
      <c r="L14" s="865">
        <v>23431.4</v>
      </c>
      <c r="M14" s="879">
        <v>12.1</v>
      </c>
      <c r="N14" s="834">
        <v>732.7</v>
      </c>
      <c r="O14" s="835">
        <v>70.2</v>
      </c>
      <c r="P14" s="865">
        <v>37003.699999999997</v>
      </c>
      <c r="Q14" s="866">
        <v>9.4</v>
      </c>
      <c r="R14" s="865">
        <v>42482.8</v>
      </c>
      <c r="S14" s="866">
        <v>8.8000000000000007</v>
      </c>
      <c r="T14" s="865">
        <v>10991.2</v>
      </c>
      <c r="U14" s="866">
        <v>17.899999999999999</v>
      </c>
      <c r="V14" s="865">
        <v>110278.39999999999</v>
      </c>
      <c r="W14" s="866">
        <v>4.9000000000000004</v>
      </c>
      <c r="X14" s="834">
        <v>44798.3</v>
      </c>
      <c r="Y14" s="838">
        <v>8.5</v>
      </c>
      <c r="Z14" s="834">
        <v>4030.1</v>
      </c>
      <c r="AA14" s="835">
        <v>29.8</v>
      </c>
      <c r="AB14" s="834">
        <v>27478</v>
      </c>
      <c r="AC14" s="835">
        <v>11.1</v>
      </c>
      <c r="AD14" s="865">
        <v>13905.7</v>
      </c>
      <c r="AE14" s="866">
        <v>15.9</v>
      </c>
      <c r="AF14" s="834">
        <v>0</v>
      </c>
      <c r="AG14" s="837" t="s">
        <v>10</v>
      </c>
      <c r="AH14" s="834">
        <v>0</v>
      </c>
      <c r="AI14" s="835" t="s">
        <v>10</v>
      </c>
      <c r="AJ14" s="834">
        <v>335282.90000000002</v>
      </c>
      <c r="AK14" s="838">
        <v>1.5</v>
      </c>
      <c r="AL14" s="831">
        <f t="shared" si="0"/>
        <v>335282.89999999997</v>
      </c>
      <c r="AM14" s="834">
        <v>251.8</v>
      </c>
      <c r="AN14" s="835">
        <v>99.3</v>
      </c>
      <c r="AO14" s="834">
        <v>5129.2</v>
      </c>
      <c r="AP14" s="839">
        <v>26.4</v>
      </c>
      <c r="AQ14" s="865">
        <v>4396.5</v>
      </c>
      <c r="AR14" s="884">
        <v>28.5</v>
      </c>
      <c r="AS14" s="834">
        <v>9777.5</v>
      </c>
      <c r="AT14" s="835">
        <v>18.899999999999999</v>
      </c>
      <c r="AU14" s="892" t="s">
        <v>1581</v>
      </c>
      <c r="AV14" s="893">
        <f t="shared" si="1"/>
        <v>261541.2</v>
      </c>
      <c r="AW14" s="894">
        <f t="shared" si="2"/>
        <v>0.75795773725411553</v>
      </c>
      <c r="AX14" s="893">
        <f t="shared" si="3"/>
        <v>345060.4</v>
      </c>
    </row>
    <row r="15" spans="1:50" ht="19.5" customHeight="1" x14ac:dyDescent="0.3">
      <c r="A15" s="833" t="s">
        <v>504</v>
      </c>
      <c r="B15" s="834">
        <v>0</v>
      </c>
      <c r="C15" s="835" t="s">
        <v>10</v>
      </c>
      <c r="D15" s="865">
        <v>4045.7</v>
      </c>
      <c r="E15" s="866">
        <v>30.1</v>
      </c>
      <c r="F15" s="865">
        <v>2942.4</v>
      </c>
      <c r="G15" s="866">
        <v>35.299999999999997</v>
      </c>
      <c r="H15" s="865">
        <v>4045.7</v>
      </c>
      <c r="I15" s="866">
        <v>30.1</v>
      </c>
      <c r="J15" s="865">
        <v>16550.8</v>
      </c>
      <c r="K15" s="866">
        <v>14.8</v>
      </c>
      <c r="L15" s="865">
        <v>2942.4</v>
      </c>
      <c r="M15" s="879">
        <v>35.299999999999997</v>
      </c>
      <c r="N15" s="834">
        <v>2942.4</v>
      </c>
      <c r="O15" s="835">
        <v>35.299999999999997</v>
      </c>
      <c r="P15" s="865">
        <v>100862.7</v>
      </c>
      <c r="Q15" s="866">
        <v>5.6</v>
      </c>
      <c r="R15" s="865">
        <v>74649.3</v>
      </c>
      <c r="S15" s="866">
        <v>6.7</v>
      </c>
      <c r="T15" s="865">
        <v>99659.4</v>
      </c>
      <c r="U15" s="866">
        <v>5.7</v>
      </c>
      <c r="V15" s="865">
        <v>41928.6</v>
      </c>
      <c r="W15" s="866">
        <v>9.1</v>
      </c>
      <c r="X15" s="834">
        <v>104808.5</v>
      </c>
      <c r="Y15" s="838">
        <v>5.5</v>
      </c>
      <c r="Z15" s="834">
        <v>24616</v>
      </c>
      <c r="AA15" s="835">
        <v>12</v>
      </c>
      <c r="AB15" s="834">
        <v>71339.100000000006</v>
      </c>
      <c r="AC15" s="835">
        <v>6.9</v>
      </c>
      <c r="AD15" s="865">
        <v>735.6</v>
      </c>
      <c r="AE15" s="866">
        <v>70.8</v>
      </c>
      <c r="AF15" s="834">
        <v>0</v>
      </c>
      <c r="AG15" s="837" t="s">
        <v>10</v>
      </c>
      <c r="AH15" s="834">
        <v>0</v>
      </c>
      <c r="AI15" s="835" t="s">
        <v>10</v>
      </c>
      <c r="AJ15" s="834">
        <v>552068.6</v>
      </c>
      <c r="AK15" s="838">
        <v>1.4</v>
      </c>
      <c r="AL15" s="831">
        <f t="shared" si="0"/>
        <v>552068.6</v>
      </c>
      <c r="AM15" s="834">
        <v>367.8</v>
      </c>
      <c r="AN15" s="835">
        <v>100.1</v>
      </c>
      <c r="AO15" s="834">
        <v>10298.299999999999</v>
      </c>
      <c r="AP15" s="839">
        <v>18.8</v>
      </c>
      <c r="AQ15" s="865">
        <v>0</v>
      </c>
      <c r="AR15" s="883" t="s">
        <v>10</v>
      </c>
      <c r="AS15" s="834">
        <v>10666.1</v>
      </c>
      <c r="AT15" s="835">
        <v>18.5</v>
      </c>
      <c r="AU15" s="892" t="s">
        <v>504</v>
      </c>
      <c r="AV15" s="893">
        <f t="shared" si="1"/>
        <v>348362.6</v>
      </c>
      <c r="AW15" s="894">
        <f t="shared" si="2"/>
        <v>0.61905299246696532</v>
      </c>
      <c r="AX15" s="893">
        <f t="shared" si="3"/>
        <v>562734.69999999995</v>
      </c>
    </row>
    <row r="16" spans="1:50" ht="19.5" customHeight="1" x14ac:dyDescent="0.3">
      <c r="A16" s="833" t="s">
        <v>1466</v>
      </c>
      <c r="B16" s="834">
        <v>0</v>
      </c>
      <c r="C16" s="835" t="s">
        <v>10</v>
      </c>
      <c r="D16" s="865">
        <v>1445.3</v>
      </c>
      <c r="E16" s="866">
        <v>50</v>
      </c>
      <c r="F16" s="865">
        <v>4335.8</v>
      </c>
      <c r="G16" s="866">
        <v>28.8</v>
      </c>
      <c r="H16" s="865">
        <v>1083.9000000000001</v>
      </c>
      <c r="I16" s="866">
        <v>57.7</v>
      </c>
      <c r="J16" s="865">
        <v>18427</v>
      </c>
      <c r="K16" s="866">
        <v>13.9</v>
      </c>
      <c r="L16" s="865">
        <v>44821.8</v>
      </c>
      <c r="M16" s="879">
        <v>8.8000000000000007</v>
      </c>
      <c r="N16" s="834">
        <v>11200.8</v>
      </c>
      <c r="O16" s="835">
        <v>17.899999999999999</v>
      </c>
      <c r="P16" s="865">
        <v>72260</v>
      </c>
      <c r="Q16" s="866">
        <v>6.9</v>
      </c>
      <c r="R16" s="865">
        <v>150668.20000000001</v>
      </c>
      <c r="S16" s="866">
        <v>4.5999999999999996</v>
      </c>
      <c r="T16" s="865">
        <v>249668.3</v>
      </c>
      <c r="U16" s="866">
        <v>3.4</v>
      </c>
      <c r="V16" s="865">
        <v>156869.29999999999</v>
      </c>
      <c r="W16" s="866">
        <v>4.5</v>
      </c>
      <c r="X16" s="834">
        <v>62507.4</v>
      </c>
      <c r="Y16" s="838">
        <v>7.4</v>
      </c>
      <c r="Z16" s="834">
        <v>24569.4</v>
      </c>
      <c r="AA16" s="835">
        <v>12</v>
      </c>
      <c r="AB16" s="834">
        <v>76086.100000000006</v>
      </c>
      <c r="AC16" s="835">
        <v>6.7</v>
      </c>
      <c r="AD16" s="865">
        <v>126114.7</v>
      </c>
      <c r="AE16" s="866">
        <v>5.0999999999999996</v>
      </c>
      <c r="AF16" s="834">
        <v>6142.3</v>
      </c>
      <c r="AG16" s="835">
        <v>24.2</v>
      </c>
      <c r="AH16" s="834">
        <v>1445.3</v>
      </c>
      <c r="AI16" s="835">
        <v>50</v>
      </c>
      <c r="AJ16" s="834">
        <v>1007645.6</v>
      </c>
      <c r="AK16" s="838">
        <v>1</v>
      </c>
      <c r="AL16" s="831">
        <f t="shared" si="0"/>
        <v>1007645.6000000002</v>
      </c>
      <c r="AM16" s="834">
        <v>0</v>
      </c>
      <c r="AN16" s="837" t="s">
        <v>10</v>
      </c>
      <c r="AO16" s="834">
        <v>23482.6</v>
      </c>
      <c r="AP16" s="839">
        <v>12.3</v>
      </c>
      <c r="AQ16" s="865">
        <v>16309.8</v>
      </c>
      <c r="AR16" s="884">
        <v>14.7</v>
      </c>
      <c r="AS16" s="834">
        <v>39792.400000000001</v>
      </c>
      <c r="AT16" s="835">
        <v>9.4</v>
      </c>
      <c r="AU16" s="892" t="s">
        <v>1466</v>
      </c>
      <c r="AV16" s="893">
        <f t="shared" si="1"/>
        <v>842004.10000000009</v>
      </c>
      <c r="AW16" s="894">
        <f t="shared" si="2"/>
        <v>0.80387010973441875</v>
      </c>
      <c r="AX16" s="893">
        <f t="shared" si="3"/>
        <v>1047438</v>
      </c>
    </row>
    <row r="17" spans="1:50" ht="19.5" customHeight="1" x14ac:dyDescent="0.3">
      <c r="A17" s="833" t="s">
        <v>1570</v>
      </c>
      <c r="B17" s="834">
        <v>0</v>
      </c>
      <c r="C17" s="835" t="s">
        <v>10</v>
      </c>
      <c r="D17" s="865">
        <v>0</v>
      </c>
      <c r="E17" s="867" t="s">
        <v>10</v>
      </c>
      <c r="F17" s="865">
        <v>0</v>
      </c>
      <c r="G17" s="867" t="s">
        <v>10</v>
      </c>
      <c r="H17" s="865">
        <v>737.3</v>
      </c>
      <c r="I17" s="866">
        <v>70.599999999999994</v>
      </c>
      <c r="J17" s="865">
        <v>5898.5</v>
      </c>
      <c r="K17" s="866">
        <v>24.8</v>
      </c>
      <c r="L17" s="865">
        <v>8479</v>
      </c>
      <c r="M17" s="879">
        <v>20.6</v>
      </c>
      <c r="N17" s="834">
        <v>1843.3</v>
      </c>
      <c r="O17" s="835">
        <v>44.6</v>
      </c>
      <c r="P17" s="865">
        <v>15114.8</v>
      </c>
      <c r="Q17" s="866">
        <v>15.3</v>
      </c>
      <c r="R17" s="865">
        <v>96587.199999999997</v>
      </c>
      <c r="S17" s="866">
        <v>5.5</v>
      </c>
      <c r="T17" s="865">
        <v>120918.3</v>
      </c>
      <c r="U17" s="866">
        <v>4.7</v>
      </c>
      <c r="V17" s="865">
        <v>2580.6</v>
      </c>
      <c r="W17" s="866">
        <v>37.6</v>
      </c>
      <c r="X17" s="834">
        <v>59255</v>
      </c>
      <c r="Y17" s="838">
        <v>7.4</v>
      </c>
      <c r="Z17" s="834">
        <v>7741.7</v>
      </c>
      <c r="AA17" s="835">
        <v>21.6</v>
      </c>
      <c r="AB17" s="834">
        <v>9216.2999999999993</v>
      </c>
      <c r="AC17" s="835">
        <v>19.8</v>
      </c>
      <c r="AD17" s="865">
        <v>39814.6</v>
      </c>
      <c r="AE17" s="866">
        <v>9.1999999999999993</v>
      </c>
      <c r="AF17" s="834">
        <v>0</v>
      </c>
      <c r="AG17" s="837" t="s">
        <v>10</v>
      </c>
      <c r="AH17" s="834">
        <v>0</v>
      </c>
      <c r="AI17" s="835" t="s">
        <v>10</v>
      </c>
      <c r="AJ17" s="834">
        <v>368186.6</v>
      </c>
      <c r="AK17" s="838">
        <v>1.4</v>
      </c>
      <c r="AL17" s="831">
        <f t="shared" si="0"/>
        <v>368186.6</v>
      </c>
      <c r="AM17" s="834">
        <v>0</v>
      </c>
      <c r="AN17" s="837" t="s">
        <v>10</v>
      </c>
      <c r="AO17" s="834">
        <v>7815.8</v>
      </c>
      <c r="AP17" s="839">
        <v>21.1</v>
      </c>
      <c r="AQ17" s="865">
        <v>0</v>
      </c>
      <c r="AR17" s="883" t="s">
        <v>10</v>
      </c>
      <c r="AS17" s="834">
        <v>7815.8</v>
      </c>
      <c r="AT17" s="835">
        <v>21.1</v>
      </c>
      <c r="AU17" s="892" t="s">
        <v>1570</v>
      </c>
      <c r="AV17" s="893">
        <f t="shared" si="1"/>
        <v>290130.3</v>
      </c>
      <c r="AW17" s="894">
        <f t="shared" si="2"/>
        <v>0.7716182130752357</v>
      </c>
      <c r="AX17" s="893">
        <f t="shared" si="3"/>
        <v>376002.39999999997</v>
      </c>
    </row>
    <row r="18" spans="1:50" ht="19.5" customHeight="1" x14ac:dyDescent="0.3">
      <c r="A18" s="833" t="s">
        <v>1467</v>
      </c>
      <c r="B18" s="834">
        <v>0</v>
      </c>
      <c r="C18" s="835" t="s">
        <v>10</v>
      </c>
      <c r="D18" s="865">
        <v>371.6</v>
      </c>
      <c r="E18" s="866">
        <v>100.2</v>
      </c>
      <c r="F18" s="865">
        <v>0</v>
      </c>
      <c r="G18" s="867" t="s">
        <v>10</v>
      </c>
      <c r="H18" s="865">
        <v>0</v>
      </c>
      <c r="I18" s="867" t="s">
        <v>10</v>
      </c>
      <c r="J18" s="865">
        <v>10405</v>
      </c>
      <c r="K18" s="866">
        <v>18.7</v>
      </c>
      <c r="L18" s="865">
        <v>1486.4</v>
      </c>
      <c r="M18" s="879">
        <v>50</v>
      </c>
      <c r="N18" s="834">
        <v>4459.3</v>
      </c>
      <c r="O18" s="835">
        <v>28.8</v>
      </c>
      <c r="P18" s="865">
        <v>17837.099999999999</v>
      </c>
      <c r="Q18" s="866">
        <v>14.1</v>
      </c>
      <c r="R18" s="865">
        <v>63529.8</v>
      </c>
      <c r="S18" s="866">
        <v>7</v>
      </c>
      <c r="T18" s="865">
        <v>27484.1</v>
      </c>
      <c r="U18" s="866">
        <v>11.2</v>
      </c>
      <c r="V18" s="865">
        <v>3344.4</v>
      </c>
      <c r="W18" s="866">
        <v>33.299999999999997</v>
      </c>
      <c r="X18" s="834">
        <v>76907.600000000006</v>
      </c>
      <c r="Y18" s="838">
        <v>6.2</v>
      </c>
      <c r="Z18" s="834">
        <v>13749.4</v>
      </c>
      <c r="AA18" s="835">
        <v>16.2</v>
      </c>
      <c r="AB18" s="834">
        <v>63916.1</v>
      </c>
      <c r="AC18" s="835">
        <v>7</v>
      </c>
      <c r="AD18" s="865">
        <v>6688.9</v>
      </c>
      <c r="AE18" s="866">
        <v>23.4</v>
      </c>
      <c r="AF18" s="834">
        <v>0</v>
      </c>
      <c r="AG18" s="837" t="s">
        <v>10</v>
      </c>
      <c r="AH18" s="834">
        <v>0</v>
      </c>
      <c r="AI18" s="835" t="s">
        <v>10</v>
      </c>
      <c r="AJ18" s="834">
        <v>290179.7</v>
      </c>
      <c r="AK18" s="838">
        <v>1.8</v>
      </c>
      <c r="AL18" s="831">
        <f t="shared" si="0"/>
        <v>290179.7</v>
      </c>
      <c r="AM18" s="834">
        <v>0</v>
      </c>
      <c r="AN18" s="837" t="s">
        <v>10</v>
      </c>
      <c r="AO18" s="834">
        <v>2972.8</v>
      </c>
      <c r="AP18" s="839">
        <v>35.299999999999997</v>
      </c>
      <c r="AQ18" s="865">
        <v>371.6</v>
      </c>
      <c r="AR18" s="884">
        <v>100.2</v>
      </c>
      <c r="AS18" s="834">
        <v>3344.4</v>
      </c>
      <c r="AT18" s="835">
        <v>33.299999999999997</v>
      </c>
      <c r="AU18" s="892" t="s">
        <v>1467</v>
      </c>
      <c r="AV18" s="893">
        <f t="shared" si="1"/>
        <v>131518.9</v>
      </c>
      <c r="AW18" s="894">
        <f t="shared" si="2"/>
        <v>0.44806848909510322</v>
      </c>
      <c r="AX18" s="893">
        <f t="shared" si="3"/>
        <v>293524.10000000003</v>
      </c>
    </row>
    <row r="19" spans="1:50" ht="19.5" customHeight="1" x14ac:dyDescent="0.3">
      <c r="A19" s="833" t="s">
        <v>1465</v>
      </c>
      <c r="B19" s="834">
        <v>0</v>
      </c>
      <c r="C19" s="835" t="s">
        <v>10</v>
      </c>
      <c r="D19" s="865">
        <v>368.5</v>
      </c>
      <c r="E19" s="866">
        <v>100</v>
      </c>
      <c r="F19" s="865">
        <v>0</v>
      </c>
      <c r="G19" s="867" t="s">
        <v>10</v>
      </c>
      <c r="H19" s="865">
        <v>0</v>
      </c>
      <c r="I19" s="867" t="s">
        <v>10</v>
      </c>
      <c r="J19" s="865">
        <v>8474.4</v>
      </c>
      <c r="K19" s="866">
        <v>20.7</v>
      </c>
      <c r="L19" s="865">
        <v>7343.6</v>
      </c>
      <c r="M19" s="879">
        <v>22.3</v>
      </c>
      <c r="N19" s="834">
        <v>1473.8</v>
      </c>
      <c r="O19" s="835">
        <v>49.9</v>
      </c>
      <c r="P19" s="865">
        <v>71710.2</v>
      </c>
      <c r="Q19" s="866">
        <v>6.8</v>
      </c>
      <c r="R19" s="865">
        <v>79816.2</v>
      </c>
      <c r="S19" s="866">
        <v>6.4</v>
      </c>
      <c r="T19" s="865">
        <v>122899.8</v>
      </c>
      <c r="U19" s="866">
        <v>5</v>
      </c>
      <c r="V19" s="865">
        <v>35003.1</v>
      </c>
      <c r="W19" s="866">
        <v>10</v>
      </c>
      <c r="X19" s="834">
        <v>96166.5</v>
      </c>
      <c r="Y19" s="838">
        <v>5.8</v>
      </c>
      <c r="Z19" s="834">
        <v>9211.4</v>
      </c>
      <c r="AA19" s="835">
        <v>19.899999999999999</v>
      </c>
      <c r="AB19" s="834">
        <v>49741.3</v>
      </c>
      <c r="AC19" s="835">
        <v>8.3000000000000007</v>
      </c>
      <c r="AD19" s="865">
        <v>47899</v>
      </c>
      <c r="AE19" s="866">
        <v>8.5</v>
      </c>
      <c r="AF19" s="834">
        <v>2210.6999999999998</v>
      </c>
      <c r="AG19" s="835">
        <v>40.799999999999997</v>
      </c>
      <c r="AH19" s="834">
        <v>2579.1999999999998</v>
      </c>
      <c r="AI19" s="835">
        <v>37.700000000000003</v>
      </c>
      <c r="AJ19" s="834">
        <v>534897.69999999995</v>
      </c>
      <c r="AK19" s="838">
        <v>1.4</v>
      </c>
      <c r="AL19" s="831">
        <f t="shared" si="0"/>
        <v>534897.69999999995</v>
      </c>
      <c r="AM19" s="834">
        <v>0</v>
      </c>
      <c r="AN19" s="837" t="s">
        <v>10</v>
      </c>
      <c r="AO19" s="834">
        <v>18791.2</v>
      </c>
      <c r="AP19" s="839">
        <v>13.8</v>
      </c>
      <c r="AQ19" s="865">
        <v>17660.3</v>
      </c>
      <c r="AR19" s="884">
        <v>14.3</v>
      </c>
      <c r="AS19" s="834">
        <v>36451.5</v>
      </c>
      <c r="AT19" s="835">
        <v>9.8000000000000007</v>
      </c>
      <c r="AU19" s="892" t="s">
        <v>1465</v>
      </c>
      <c r="AV19" s="893">
        <f t="shared" si="1"/>
        <v>391175.1</v>
      </c>
      <c r="AW19" s="894">
        <f t="shared" si="2"/>
        <v>0.68465152309655808</v>
      </c>
      <c r="AX19" s="893">
        <f t="shared" si="3"/>
        <v>571349.19999999995</v>
      </c>
    </row>
    <row r="20" spans="1:50" ht="19.5" customHeight="1" x14ac:dyDescent="0.3">
      <c r="A20" s="833" t="s">
        <v>1464</v>
      </c>
      <c r="B20" s="834">
        <v>0</v>
      </c>
      <c r="C20" s="835" t="s">
        <v>10</v>
      </c>
      <c r="D20" s="865">
        <v>362</v>
      </c>
      <c r="E20" s="866">
        <v>100.1</v>
      </c>
      <c r="F20" s="865">
        <v>723.9</v>
      </c>
      <c r="G20" s="866">
        <v>70.8</v>
      </c>
      <c r="H20" s="865">
        <v>1085.9000000000001</v>
      </c>
      <c r="I20" s="866">
        <v>57.8</v>
      </c>
      <c r="J20" s="865">
        <v>19157.900000000001</v>
      </c>
      <c r="K20" s="866">
        <v>13.5</v>
      </c>
      <c r="L20" s="865">
        <v>2533.8000000000002</v>
      </c>
      <c r="M20" s="879">
        <v>37.799999999999997</v>
      </c>
      <c r="N20" s="834">
        <v>1447.9</v>
      </c>
      <c r="O20" s="835">
        <v>50</v>
      </c>
      <c r="P20" s="865">
        <v>122401.7</v>
      </c>
      <c r="Q20" s="866">
        <v>4.8</v>
      </c>
      <c r="R20" s="865">
        <v>81778.600000000006</v>
      </c>
      <c r="S20" s="866">
        <v>6.1</v>
      </c>
      <c r="T20" s="865">
        <v>30740.9</v>
      </c>
      <c r="U20" s="866">
        <v>10.5</v>
      </c>
      <c r="V20" s="865">
        <v>5067.6000000000004</v>
      </c>
      <c r="W20" s="866">
        <v>26.6</v>
      </c>
      <c r="X20" s="834">
        <v>46145</v>
      </c>
      <c r="Y20" s="838">
        <v>8.5</v>
      </c>
      <c r="Z20" s="834">
        <v>20270.3</v>
      </c>
      <c r="AA20" s="835">
        <v>13.1</v>
      </c>
      <c r="AB20" s="834">
        <v>48759.8</v>
      </c>
      <c r="AC20" s="835">
        <v>8.1999999999999993</v>
      </c>
      <c r="AD20" s="865">
        <v>8687.2999999999993</v>
      </c>
      <c r="AE20" s="866">
        <v>20.3</v>
      </c>
      <c r="AF20" s="834">
        <v>0</v>
      </c>
      <c r="AG20" s="837" t="s">
        <v>10</v>
      </c>
      <c r="AH20" s="834">
        <v>0</v>
      </c>
      <c r="AI20" s="835" t="s">
        <v>10</v>
      </c>
      <c r="AJ20" s="834">
        <v>389162.6</v>
      </c>
      <c r="AK20" s="838">
        <v>1.6</v>
      </c>
      <c r="AL20" s="831">
        <f t="shared" si="0"/>
        <v>389162.6</v>
      </c>
      <c r="AM20" s="834">
        <v>3619.7</v>
      </c>
      <c r="AN20" s="835">
        <v>31.6</v>
      </c>
      <c r="AO20" s="834">
        <v>20579.2</v>
      </c>
      <c r="AP20" s="839">
        <v>13</v>
      </c>
      <c r="AQ20" s="865">
        <v>723.9</v>
      </c>
      <c r="AR20" s="884">
        <v>70.8</v>
      </c>
      <c r="AS20" s="834">
        <v>24922.799999999999</v>
      </c>
      <c r="AT20" s="835">
        <v>11.8</v>
      </c>
      <c r="AU20" s="892" t="s">
        <v>1464</v>
      </c>
      <c r="AV20" s="893">
        <f t="shared" si="1"/>
        <v>273263.5</v>
      </c>
      <c r="AW20" s="894">
        <f t="shared" si="2"/>
        <v>0.65992063472897144</v>
      </c>
      <c r="AX20" s="893">
        <f t="shared" si="3"/>
        <v>414085.39999999997</v>
      </c>
    </row>
    <row r="21" spans="1:50" ht="19.5" customHeight="1" x14ac:dyDescent="0.3">
      <c r="A21" s="833" t="s">
        <v>1463</v>
      </c>
      <c r="B21" s="834">
        <v>0</v>
      </c>
      <c r="C21" s="835" t="s">
        <v>10</v>
      </c>
      <c r="D21" s="865">
        <v>0</v>
      </c>
      <c r="E21" s="867" t="s">
        <v>10</v>
      </c>
      <c r="F21" s="865">
        <v>1171.2</v>
      </c>
      <c r="G21" s="866">
        <v>57.5</v>
      </c>
      <c r="H21" s="865">
        <v>0</v>
      </c>
      <c r="I21" s="867" t="s">
        <v>10</v>
      </c>
      <c r="J21" s="865">
        <v>2342.5</v>
      </c>
      <c r="K21" s="866">
        <v>40.5</v>
      </c>
      <c r="L21" s="865">
        <v>780.8</v>
      </c>
      <c r="M21" s="879">
        <v>70.5</v>
      </c>
      <c r="N21" s="834">
        <v>0</v>
      </c>
      <c r="O21" s="837" t="s">
        <v>10</v>
      </c>
      <c r="P21" s="865">
        <v>14835.8</v>
      </c>
      <c r="Q21" s="866">
        <v>15.5</v>
      </c>
      <c r="R21" s="865">
        <v>39672.5</v>
      </c>
      <c r="S21" s="866">
        <v>8.8000000000000007</v>
      </c>
      <c r="T21" s="865">
        <v>47240.4</v>
      </c>
      <c r="U21" s="866">
        <v>7.8</v>
      </c>
      <c r="V21" s="865">
        <v>390.4</v>
      </c>
      <c r="W21" s="866">
        <v>99.8</v>
      </c>
      <c r="X21" s="834">
        <v>9370</v>
      </c>
      <c r="Y21" s="838">
        <v>19.899999999999999</v>
      </c>
      <c r="Z21" s="834">
        <v>7027.5</v>
      </c>
      <c r="AA21" s="835">
        <v>23.1</v>
      </c>
      <c r="AB21" s="834">
        <v>7417.9</v>
      </c>
      <c r="AC21" s="835">
        <v>22.5</v>
      </c>
      <c r="AD21" s="865">
        <v>1171.2</v>
      </c>
      <c r="AE21" s="866">
        <v>57.5</v>
      </c>
      <c r="AF21" s="834">
        <v>0</v>
      </c>
      <c r="AG21" s="837" t="s">
        <v>10</v>
      </c>
      <c r="AH21" s="834">
        <v>0</v>
      </c>
      <c r="AI21" s="835" t="s">
        <v>10</v>
      </c>
      <c r="AJ21" s="834">
        <v>131420.20000000001</v>
      </c>
      <c r="AK21" s="838">
        <v>2.9</v>
      </c>
      <c r="AL21" s="831">
        <f t="shared" si="0"/>
        <v>131420.20000000001</v>
      </c>
      <c r="AM21" s="834">
        <v>0</v>
      </c>
      <c r="AN21" s="837" t="s">
        <v>10</v>
      </c>
      <c r="AO21" s="834">
        <v>6096.7</v>
      </c>
      <c r="AP21" s="839">
        <v>24.7</v>
      </c>
      <c r="AQ21" s="865">
        <v>1171.2</v>
      </c>
      <c r="AR21" s="884">
        <v>57.5</v>
      </c>
      <c r="AS21" s="834">
        <v>7267.9</v>
      </c>
      <c r="AT21" s="835">
        <v>22.6</v>
      </c>
      <c r="AU21" s="892" t="s">
        <v>1463</v>
      </c>
      <c r="AV21" s="893">
        <f t="shared" si="1"/>
        <v>108776</v>
      </c>
      <c r="AW21" s="894">
        <f t="shared" si="2"/>
        <v>0.78432107729502387</v>
      </c>
      <c r="AX21" s="893">
        <f t="shared" si="3"/>
        <v>138688.1</v>
      </c>
    </row>
    <row r="22" spans="1:50" ht="19.5" customHeight="1" x14ac:dyDescent="0.3">
      <c r="A22" s="833" t="s">
        <v>1569</v>
      </c>
      <c r="B22" s="834">
        <v>0</v>
      </c>
      <c r="C22" s="835" t="s">
        <v>10</v>
      </c>
      <c r="D22" s="865">
        <v>0</v>
      </c>
      <c r="E22" s="867" t="s">
        <v>10</v>
      </c>
      <c r="F22" s="865">
        <v>0</v>
      </c>
      <c r="G22" s="867" t="s">
        <v>10</v>
      </c>
      <c r="H22" s="865">
        <v>0</v>
      </c>
      <c r="I22" s="867" t="s">
        <v>10</v>
      </c>
      <c r="J22" s="865">
        <v>6260.4</v>
      </c>
      <c r="K22" s="866">
        <v>24.2</v>
      </c>
      <c r="L22" s="865">
        <v>7733.5</v>
      </c>
      <c r="M22" s="879">
        <v>21.7</v>
      </c>
      <c r="N22" s="834">
        <v>1104.8</v>
      </c>
      <c r="O22" s="835">
        <v>57.8</v>
      </c>
      <c r="P22" s="865">
        <v>55196.5</v>
      </c>
      <c r="Q22" s="866">
        <v>7.8</v>
      </c>
      <c r="R22" s="865">
        <v>54855.5</v>
      </c>
      <c r="S22" s="866">
        <v>7.8</v>
      </c>
      <c r="T22" s="865">
        <v>68050.600000000006</v>
      </c>
      <c r="U22" s="866">
        <v>6.9</v>
      </c>
      <c r="V22" s="865">
        <v>53200</v>
      </c>
      <c r="W22" s="866">
        <v>8</v>
      </c>
      <c r="X22" s="834">
        <v>53766</v>
      </c>
      <c r="Y22" s="838">
        <v>7.9</v>
      </c>
      <c r="Z22" s="834">
        <v>11784.3</v>
      </c>
      <c r="AA22" s="835">
        <v>17.5</v>
      </c>
      <c r="AB22" s="834">
        <v>30197.4</v>
      </c>
      <c r="AC22" s="835">
        <v>10.8</v>
      </c>
      <c r="AD22" s="865">
        <v>37116.699999999997</v>
      </c>
      <c r="AE22" s="866">
        <v>9.6999999999999993</v>
      </c>
      <c r="AF22" s="834">
        <v>368.3</v>
      </c>
      <c r="AG22" s="835">
        <v>100.2</v>
      </c>
      <c r="AH22" s="834">
        <v>368.3</v>
      </c>
      <c r="AI22" s="835">
        <v>100.2</v>
      </c>
      <c r="AJ22" s="834">
        <v>380002.3</v>
      </c>
      <c r="AK22" s="838">
        <v>1.9</v>
      </c>
      <c r="AL22" s="831">
        <f t="shared" si="0"/>
        <v>380002.3</v>
      </c>
      <c r="AM22" s="834">
        <v>0</v>
      </c>
      <c r="AN22" s="837" t="s">
        <v>10</v>
      </c>
      <c r="AO22" s="834">
        <v>5520.1</v>
      </c>
      <c r="AP22" s="839">
        <v>25.8</v>
      </c>
      <c r="AQ22" s="865">
        <v>22828.3</v>
      </c>
      <c r="AR22" s="884">
        <v>12.5</v>
      </c>
      <c r="AS22" s="834">
        <v>28348.400000000001</v>
      </c>
      <c r="AT22" s="835">
        <v>11.1</v>
      </c>
      <c r="AU22" s="892" t="s">
        <v>1569</v>
      </c>
      <c r="AV22" s="893">
        <f t="shared" si="1"/>
        <v>305241.5</v>
      </c>
      <c r="AW22" s="894">
        <f t="shared" si="2"/>
        <v>0.74749841251649618</v>
      </c>
      <c r="AX22" s="893">
        <f t="shared" si="3"/>
        <v>408350.7</v>
      </c>
    </row>
    <row r="23" spans="1:50" ht="19.5" customHeight="1" x14ac:dyDescent="0.3">
      <c r="A23" s="833" t="s">
        <v>1469</v>
      </c>
      <c r="B23" s="834">
        <v>0</v>
      </c>
      <c r="C23" s="835" t="s">
        <v>10</v>
      </c>
      <c r="D23" s="865">
        <v>0</v>
      </c>
      <c r="E23" s="867" t="s">
        <v>10</v>
      </c>
      <c r="F23" s="865">
        <v>0</v>
      </c>
      <c r="G23" s="867" t="s">
        <v>10</v>
      </c>
      <c r="H23" s="865">
        <v>0</v>
      </c>
      <c r="I23" s="867" t="s">
        <v>10</v>
      </c>
      <c r="J23" s="865">
        <v>1553.7</v>
      </c>
      <c r="K23" s="866">
        <v>49.8</v>
      </c>
      <c r="L23" s="865">
        <v>29012.400000000001</v>
      </c>
      <c r="M23" s="879">
        <v>10.9</v>
      </c>
      <c r="N23" s="834">
        <v>776.8</v>
      </c>
      <c r="O23" s="835">
        <v>70.5</v>
      </c>
      <c r="P23" s="865">
        <v>4661.1000000000004</v>
      </c>
      <c r="Q23" s="866">
        <v>28.6</v>
      </c>
      <c r="R23" s="865">
        <v>26253.599999999999</v>
      </c>
      <c r="S23" s="866">
        <v>11.5</v>
      </c>
      <c r="T23" s="865">
        <v>37288.6</v>
      </c>
      <c r="U23" s="866">
        <v>9.4</v>
      </c>
      <c r="V23" s="865">
        <v>1165.3</v>
      </c>
      <c r="W23" s="866">
        <v>57.5</v>
      </c>
      <c r="X23" s="834">
        <v>5049.5</v>
      </c>
      <c r="Y23" s="838">
        <v>27.4</v>
      </c>
      <c r="Z23" s="834">
        <v>388.4</v>
      </c>
      <c r="AA23" s="835">
        <v>99.8</v>
      </c>
      <c r="AB23" s="834">
        <v>11652.7</v>
      </c>
      <c r="AC23" s="835">
        <v>17.8</v>
      </c>
      <c r="AD23" s="865">
        <v>16702.2</v>
      </c>
      <c r="AE23" s="866">
        <v>14.7</v>
      </c>
      <c r="AF23" s="834">
        <v>0</v>
      </c>
      <c r="AG23" s="837" t="s">
        <v>10</v>
      </c>
      <c r="AH23" s="834">
        <v>8545.2999999999993</v>
      </c>
      <c r="AI23" s="835">
        <v>20.9</v>
      </c>
      <c r="AJ23" s="834">
        <v>143049.60000000001</v>
      </c>
      <c r="AK23" s="838">
        <v>3.4</v>
      </c>
      <c r="AL23" s="831">
        <f t="shared" si="0"/>
        <v>143049.59999999998</v>
      </c>
      <c r="AM23" s="834">
        <v>0</v>
      </c>
      <c r="AN23" s="837" t="s">
        <v>10</v>
      </c>
      <c r="AO23" s="834">
        <v>3107.4</v>
      </c>
      <c r="AP23" s="839">
        <v>35.1</v>
      </c>
      <c r="AQ23" s="865">
        <v>15269.3</v>
      </c>
      <c r="AR23" s="884">
        <v>15.4</v>
      </c>
      <c r="AS23" s="834">
        <v>18376.7</v>
      </c>
      <c r="AT23" s="835">
        <v>13.9</v>
      </c>
      <c r="AU23" s="892" t="s">
        <v>1469</v>
      </c>
      <c r="AV23" s="893">
        <f t="shared" si="1"/>
        <v>131906.19999999998</v>
      </c>
      <c r="AW23" s="894">
        <f t="shared" si="2"/>
        <v>0.8171295507609353</v>
      </c>
      <c r="AX23" s="893">
        <f t="shared" si="3"/>
        <v>161426.30000000002</v>
      </c>
    </row>
    <row r="24" spans="1:50" ht="19.5" customHeight="1" x14ac:dyDescent="0.3">
      <c r="A24" s="833" t="s">
        <v>498</v>
      </c>
      <c r="B24" s="834">
        <v>0</v>
      </c>
      <c r="C24" s="835" t="s">
        <v>10</v>
      </c>
      <c r="D24" s="865">
        <v>0</v>
      </c>
      <c r="E24" s="867" t="s">
        <v>10</v>
      </c>
      <c r="F24" s="865">
        <v>745.7</v>
      </c>
      <c r="G24" s="866">
        <v>70.599999999999994</v>
      </c>
      <c r="H24" s="865">
        <v>0</v>
      </c>
      <c r="I24" s="867" t="s">
        <v>10</v>
      </c>
      <c r="J24" s="865">
        <v>2610</v>
      </c>
      <c r="K24" s="866">
        <v>37.700000000000003</v>
      </c>
      <c r="L24" s="865">
        <v>9306.1</v>
      </c>
      <c r="M24" s="879">
        <v>19.8</v>
      </c>
      <c r="N24" s="834">
        <v>2237.1999999999998</v>
      </c>
      <c r="O24" s="835">
        <v>40.700000000000003</v>
      </c>
      <c r="P24" s="865">
        <v>26447.599999999999</v>
      </c>
      <c r="Q24" s="866">
        <v>11.5</v>
      </c>
      <c r="R24" s="865">
        <v>36903</v>
      </c>
      <c r="S24" s="866">
        <v>9.6</v>
      </c>
      <c r="T24" s="865">
        <v>118249.4</v>
      </c>
      <c r="U24" s="866">
        <v>4.8</v>
      </c>
      <c r="V24" s="865">
        <v>6701.2</v>
      </c>
      <c r="W24" s="866">
        <v>23.4</v>
      </c>
      <c r="X24" s="834">
        <v>7830.1</v>
      </c>
      <c r="Y24" s="838">
        <v>21.6</v>
      </c>
      <c r="Z24" s="834">
        <v>13790.7</v>
      </c>
      <c r="AA24" s="835">
        <v>16.2</v>
      </c>
      <c r="AB24" s="834">
        <v>21973.200000000001</v>
      </c>
      <c r="AC24" s="835">
        <v>12.7</v>
      </c>
      <c r="AD24" s="865">
        <v>8948.7000000000007</v>
      </c>
      <c r="AE24" s="866">
        <v>20.2</v>
      </c>
      <c r="AF24" s="834">
        <v>0</v>
      </c>
      <c r="AG24" s="837" t="s">
        <v>10</v>
      </c>
      <c r="AH24" s="834">
        <v>2237.1999999999998</v>
      </c>
      <c r="AI24" s="835">
        <v>40.700000000000003</v>
      </c>
      <c r="AJ24" s="834">
        <v>257980.1</v>
      </c>
      <c r="AK24" s="838">
        <v>2.5</v>
      </c>
      <c r="AL24" s="831">
        <f t="shared" si="0"/>
        <v>257980.10000000006</v>
      </c>
      <c r="AM24" s="834">
        <v>0</v>
      </c>
      <c r="AN24" s="837" t="s">
        <v>10</v>
      </c>
      <c r="AO24" s="834">
        <v>17519.3</v>
      </c>
      <c r="AP24" s="839">
        <v>14.3</v>
      </c>
      <c r="AQ24" s="865">
        <v>38710.6</v>
      </c>
      <c r="AR24" s="884">
        <v>9.3000000000000007</v>
      </c>
      <c r="AS24" s="834">
        <v>56229.9</v>
      </c>
      <c r="AT24" s="835">
        <v>7.6</v>
      </c>
      <c r="AU24" s="892" t="s">
        <v>498</v>
      </c>
      <c r="AV24" s="893">
        <f t="shared" si="1"/>
        <v>248622.30000000002</v>
      </c>
      <c r="AW24" s="894">
        <f t="shared" si="2"/>
        <v>0.79126157665255725</v>
      </c>
      <c r="AX24" s="893">
        <f t="shared" si="3"/>
        <v>314210</v>
      </c>
    </row>
    <row r="25" spans="1:50" ht="19.5" customHeight="1" x14ac:dyDescent="0.3">
      <c r="A25" s="833" t="s">
        <v>1468</v>
      </c>
      <c r="B25" s="834">
        <v>0</v>
      </c>
      <c r="C25" s="835" t="s">
        <v>10</v>
      </c>
      <c r="D25" s="865">
        <v>0</v>
      </c>
      <c r="E25" s="867" t="s">
        <v>10</v>
      </c>
      <c r="F25" s="865">
        <v>4850.6000000000004</v>
      </c>
      <c r="G25" s="866">
        <v>27.6</v>
      </c>
      <c r="H25" s="865">
        <v>0</v>
      </c>
      <c r="I25" s="867" t="s">
        <v>10</v>
      </c>
      <c r="J25" s="865">
        <v>74624.800000000003</v>
      </c>
      <c r="K25" s="866">
        <v>6.7</v>
      </c>
      <c r="L25" s="865">
        <v>15298.1</v>
      </c>
      <c r="M25" s="879">
        <v>15.4</v>
      </c>
      <c r="N25" s="834">
        <v>8208.7000000000007</v>
      </c>
      <c r="O25" s="835">
        <v>21.2</v>
      </c>
      <c r="P25" s="865">
        <v>77236.7</v>
      </c>
      <c r="Q25" s="866">
        <v>6.6</v>
      </c>
      <c r="R25" s="865">
        <v>46640.5</v>
      </c>
      <c r="S25" s="866">
        <v>8.6999999999999993</v>
      </c>
      <c r="T25" s="865">
        <v>42909.3</v>
      </c>
      <c r="U25" s="866">
        <v>9.1</v>
      </c>
      <c r="V25" s="865">
        <v>69370</v>
      </c>
      <c r="W25" s="866">
        <v>7</v>
      </c>
      <c r="X25" s="834">
        <v>5596.9</v>
      </c>
      <c r="Y25" s="838">
        <v>25.7</v>
      </c>
      <c r="Z25" s="834">
        <v>8581.9</v>
      </c>
      <c r="AA25" s="835">
        <v>20.7</v>
      </c>
      <c r="AB25" s="834">
        <v>35920</v>
      </c>
      <c r="AC25" s="835">
        <v>9.9</v>
      </c>
      <c r="AD25" s="865">
        <v>43655.5</v>
      </c>
      <c r="AE25" s="866">
        <v>9</v>
      </c>
      <c r="AF25" s="834">
        <v>4850.6000000000004</v>
      </c>
      <c r="AG25" s="835">
        <v>27.6</v>
      </c>
      <c r="AH25" s="834">
        <v>20148.7</v>
      </c>
      <c r="AI25" s="835">
        <v>13.4</v>
      </c>
      <c r="AJ25" s="834">
        <v>457892.3</v>
      </c>
      <c r="AK25" s="838">
        <v>1.8</v>
      </c>
      <c r="AL25" s="831">
        <f t="shared" si="0"/>
        <v>457892.30000000005</v>
      </c>
      <c r="AM25" s="834">
        <v>0</v>
      </c>
      <c r="AN25" s="837" t="s">
        <v>10</v>
      </c>
      <c r="AO25" s="834">
        <v>2238.6999999999998</v>
      </c>
      <c r="AP25" s="839">
        <v>40.700000000000003</v>
      </c>
      <c r="AQ25" s="865">
        <v>24160.3</v>
      </c>
      <c r="AR25" s="884">
        <v>12.2</v>
      </c>
      <c r="AS25" s="834">
        <v>26399</v>
      </c>
      <c r="AT25" s="835">
        <v>11.7</v>
      </c>
      <c r="AU25" s="892" t="s">
        <v>1468</v>
      </c>
      <c r="AV25" s="893">
        <f t="shared" si="1"/>
        <v>398745.8</v>
      </c>
      <c r="AW25" s="894">
        <f t="shared" si="2"/>
        <v>0.82335941199026286</v>
      </c>
      <c r="AX25" s="893">
        <f t="shared" si="3"/>
        <v>484291.3</v>
      </c>
    </row>
    <row r="26" spans="1:50" ht="19.5" customHeight="1" x14ac:dyDescent="0.3">
      <c r="A26" s="833" t="s">
        <v>1568</v>
      </c>
      <c r="B26" s="834">
        <v>0</v>
      </c>
      <c r="C26" s="835" t="s">
        <v>10</v>
      </c>
      <c r="D26" s="865">
        <v>0</v>
      </c>
      <c r="E26" s="867" t="s">
        <v>10</v>
      </c>
      <c r="F26" s="865">
        <v>0</v>
      </c>
      <c r="G26" s="867" t="s">
        <v>10</v>
      </c>
      <c r="H26" s="865">
        <v>0</v>
      </c>
      <c r="I26" s="867" t="s">
        <v>10</v>
      </c>
      <c r="J26" s="865">
        <v>7170.1</v>
      </c>
      <c r="K26" s="866">
        <v>22.8</v>
      </c>
      <c r="L26" s="865">
        <v>41168.400000000001</v>
      </c>
      <c r="M26" s="879">
        <v>9.1999999999999993</v>
      </c>
      <c r="N26" s="834">
        <v>6064.8</v>
      </c>
      <c r="O26" s="835">
        <v>24.9</v>
      </c>
      <c r="P26" s="865">
        <v>15162.1</v>
      </c>
      <c r="Q26" s="866">
        <v>15.6</v>
      </c>
      <c r="R26" s="865">
        <v>62016.3</v>
      </c>
      <c r="S26" s="866">
        <v>7.3</v>
      </c>
      <c r="T26" s="865">
        <v>24227.4</v>
      </c>
      <c r="U26" s="866">
        <v>12.2</v>
      </c>
      <c r="V26" s="865">
        <v>9476.2999999999993</v>
      </c>
      <c r="W26" s="866">
        <v>19.8</v>
      </c>
      <c r="X26" s="834">
        <v>2884.1</v>
      </c>
      <c r="Y26" s="838">
        <v>38.5</v>
      </c>
      <c r="Z26" s="834">
        <v>6443.9</v>
      </c>
      <c r="AA26" s="835">
        <v>24.1</v>
      </c>
      <c r="AB26" s="834">
        <v>15509.2</v>
      </c>
      <c r="AC26" s="835">
        <v>15.4</v>
      </c>
      <c r="AD26" s="865">
        <v>18194.5</v>
      </c>
      <c r="AE26" s="866">
        <v>14.2</v>
      </c>
      <c r="AF26" s="834">
        <v>15541.1</v>
      </c>
      <c r="AG26" s="835">
        <v>15.4</v>
      </c>
      <c r="AH26" s="834">
        <v>29849.3</v>
      </c>
      <c r="AI26" s="835">
        <v>10.9</v>
      </c>
      <c r="AJ26" s="834">
        <v>253707.5</v>
      </c>
      <c r="AK26" s="838">
        <v>2.7</v>
      </c>
      <c r="AL26" s="831">
        <f t="shared" si="0"/>
        <v>253707.5</v>
      </c>
      <c r="AM26" s="834">
        <v>0</v>
      </c>
      <c r="AN26" s="837" t="s">
        <v>10</v>
      </c>
      <c r="AO26" s="834">
        <v>18162.599999999999</v>
      </c>
      <c r="AP26" s="839">
        <v>14.2</v>
      </c>
      <c r="AQ26" s="865">
        <v>33144.5</v>
      </c>
      <c r="AR26" s="884">
        <v>10.4</v>
      </c>
      <c r="AS26" s="834">
        <v>51307</v>
      </c>
      <c r="AT26" s="835">
        <v>8.1999999999999993</v>
      </c>
      <c r="AU26" s="892" t="s">
        <v>1568</v>
      </c>
      <c r="AV26" s="893">
        <f t="shared" si="1"/>
        <v>210559.59999999998</v>
      </c>
      <c r="AW26" s="894">
        <f t="shared" si="2"/>
        <v>0.69032652546026496</v>
      </c>
      <c r="AX26" s="893">
        <f t="shared" si="3"/>
        <v>305014.5</v>
      </c>
    </row>
    <row r="27" spans="1:50" ht="19.5" customHeight="1" thickBot="1" x14ac:dyDescent="0.35">
      <c r="A27" s="843" t="s">
        <v>1567</v>
      </c>
      <c r="B27" s="844">
        <v>0</v>
      </c>
      <c r="C27" s="845" t="s">
        <v>10</v>
      </c>
      <c r="D27" s="868">
        <v>0</v>
      </c>
      <c r="E27" s="870" t="s">
        <v>10</v>
      </c>
      <c r="F27" s="868">
        <v>0</v>
      </c>
      <c r="G27" s="870" t="s">
        <v>10</v>
      </c>
      <c r="H27" s="868">
        <v>0</v>
      </c>
      <c r="I27" s="870" t="s">
        <v>10</v>
      </c>
      <c r="J27" s="868">
        <v>8582.1</v>
      </c>
      <c r="K27" s="869">
        <v>20.8</v>
      </c>
      <c r="L27" s="868">
        <v>29093.9</v>
      </c>
      <c r="M27" s="880">
        <v>11.2</v>
      </c>
      <c r="N27" s="844">
        <v>11194</v>
      </c>
      <c r="O27" s="845">
        <v>18.2</v>
      </c>
      <c r="P27" s="868">
        <v>0</v>
      </c>
      <c r="Q27" s="870" t="s">
        <v>10</v>
      </c>
      <c r="R27" s="868">
        <v>79435.3</v>
      </c>
      <c r="S27" s="869">
        <v>6.7</v>
      </c>
      <c r="T27" s="868">
        <v>0</v>
      </c>
      <c r="U27" s="870" t="s">
        <v>10</v>
      </c>
      <c r="V27" s="868">
        <v>2238.8000000000002</v>
      </c>
      <c r="W27" s="869">
        <v>40.799999999999997</v>
      </c>
      <c r="X27" s="844">
        <v>0</v>
      </c>
      <c r="Y27" s="848" t="s">
        <v>10</v>
      </c>
      <c r="Z27" s="844">
        <v>3731.3</v>
      </c>
      <c r="AA27" s="845">
        <v>31.6</v>
      </c>
      <c r="AB27" s="844">
        <v>8561</v>
      </c>
      <c r="AC27" s="845">
        <v>20.8</v>
      </c>
      <c r="AD27" s="868">
        <v>247335</v>
      </c>
      <c r="AE27" s="869">
        <v>3.5</v>
      </c>
      <c r="AF27" s="844">
        <v>139488.79999999999</v>
      </c>
      <c r="AG27" s="845">
        <v>4.9000000000000004</v>
      </c>
      <c r="AH27" s="844">
        <v>18656.7</v>
      </c>
      <c r="AI27" s="845">
        <v>14.1</v>
      </c>
      <c r="AJ27" s="844">
        <v>548316.9</v>
      </c>
      <c r="AK27" s="847">
        <v>2.1</v>
      </c>
      <c r="AL27" s="831">
        <f t="shared" si="0"/>
        <v>548316.89999999991</v>
      </c>
      <c r="AM27" s="844">
        <v>0</v>
      </c>
      <c r="AN27" s="846" t="s">
        <v>10</v>
      </c>
      <c r="AO27" s="844">
        <v>7452.1</v>
      </c>
      <c r="AP27" s="849">
        <v>22.3</v>
      </c>
      <c r="AQ27" s="868">
        <v>515352.1</v>
      </c>
      <c r="AR27" s="885">
        <v>2.2000000000000002</v>
      </c>
      <c r="AS27" s="844">
        <v>522804.2</v>
      </c>
      <c r="AT27" s="845">
        <v>2.1</v>
      </c>
      <c r="AU27" s="892" t="s">
        <v>1567</v>
      </c>
      <c r="AV27" s="893">
        <f t="shared" si="1"/>
        <v>882037.2</v>
      </c>
      <c r="AW27" s="894">
        <f t="shared" si="2"/>
        <v>0.8234710342275956</v>
      </c>
      <c r="AX27" s="893">
        <f t="shared" si="3"/>
        <v>1071121.1000000001</v>
      </c>
    </row>
    <row r="28" spans="1:50" ht="19.5" customHeight="1" thickBot="1" x14ac:dyDescent="0.35">
      <c r="A28" s="850" t="s">
        <v>429</v>
      </c>
      <c r="B28" s="851">
        <f>SUM(B7:B27)</f>
        <v>382371.99999999994</v>
      </c>
      <c r="C28" s="852">
        <v>3</v>
      </c>
      <c r="D28" s="871">
        <f>SUM(D7:D27)</f>
        <v>586082.30000000005</v>
      </c>
      <c r="E28" s="872">
        <v>2.2000000000000002</v>
      </c>
      <c r="F28" s="871">
        <f>SUM(F7:F27)</f>
        <v>68459.8</v>
      </c>
      <c r="G28" s="872">
        <v>7.4</v>
      </c>
      <c r="H28" s="871">
        <f>SUM(H7:H27)</f>
        <v>151670.9</v>
      </c>
      <c r="I28" s="872">
        <v>4.9000000000000004</v>
      </c>
      <c r="J28" s="871">
        <f>SUM(J7:J27)</f>
        <v>236466.60000000003</v>
      </c>
      <c r="K28" s="872">
        <v>3.9</v>
      </c>
      <c r="L28" s="871">
        <f>SUM(L7:L27)</f>
        <v>226101.40000000002</v>
      </c>
      <c r="M28" s="881">
        <v>4</v>
      </c>
      <c r="N28" s="851">
        <f>SUM(N7:N27)</f>
        <v>63407</v>
      </c>
      <c r="O28" s="852">
        <v>7.7</v>
      </c>
      <c r="P28" s="871">
        <f>SUM(P7:P27)</f>
        <v>1035102.5999999999</v>
      </c>
      <c r="Q28" s="872">
        <v>1.8</v>
      </c>
      <c r="R28" s="871">
        <f>SUM(R7:R27)</f>
        <v>1084246.7</v>
      </c>
      <c r="S28" s="872">
        <v>1.8</v>
      </c>
      <c r="T28" s="871">
        <f>SUM(T7:T27)</f>
        <v>1010985.8</v>
      </c>
      <c r="U28" s="872">
        <v>1.7</v>
      </c>
      <c r="V28" s="871">
        <f>SUM(V7:V27)</f>
        <v>788408.00000000012</v>
      </c>
      <c r="W28" s="872">
        <v>2.1</v>
      </c>
      <c r="X28" s="851">
        <f>SUM(X7:X27)</f>
        <v>852202.1</v>
      </c>
      <c r="Y28" s="853">
        <v>2</v>
      </c>
      <c r="Z28" s="851">
        <f>SUM(Z7:Z27)</f>
        <v>229053.69999999995</v>
      </c>
      <c r="AA28" s="852">
        <v>4</v>
      </c>
      <c r="AB28" s="851">
        <f>SUM(AB7:AB27)</f>
        <v>994777.4</v>
      </c>
      <c r="AC28" s="852">
        <v>1.8</v>
      </c>
      <c r="AD28" s="871">
        <f>SUM(AD7:AD27)</f>
        <v>620318</v>
      </c>
      <c r="AE28" s="872">
        <v>2.2999999999999998</v>
      </c>
      <c r="AF28" s="851">
        <f>SUM(AF7:AF27)</f>
        <v>168601.8</v>
      </c>
      <c r="AG28" s="852">
        <v>4.5</v>
      </c>
      <c r="AH28" s="851">
        <f>SUM(AH7:AH27)</f>
        <v>84711.6</v>
      </c>
      <c r="AI28" s="852">
        <v>6.6</v>
      </c>
      <c r="AJ28" s="851">
        <v>8582967.6999999993</v>
      </c>
      <c r="AK28" s="853">
        <v>0.4</v>
      </c>
      <c r="AL28" s="854">
        <f t="shared" si="0"/>
        <v>8582967.6999999993</v>
      </c>
      <c r="AM28" s="851">
        <v>121523.6</v>
      </c>
      <c r="AN28" s="855">
        <v>5.6</v>
      </c>
      <c r="AO28" s="851">
        <v>178581.3</v>
      </c>
      <c r="AP28" s="852">
        <v>4.5</v>
      </c>
      <c r="AQ28" s="871">
        <v>690810.6</v>
      </c>
      <c r="AR28" s="872">
        <v>2</v>
      </c>
      <c r="AS28" s="851">
        <f>SUM(AS7:AS27)</f>
        <v>990915.60000000009</v>
      </c>
      <c r="AT28" s="855">
        <v>1.7</v>
      </c>
      <c r="AU28" s="892" t="s">
        <v>429</v>
      </c>
      <c r="AV28" s="893">
        <f t="shared" si="1"/>
        <v>6498652.6999999993</v>
      </c>
      <c r="AW28" s="894">
        <f t="shared" si="2"/>
        <v>0.6787896297002074</v>
      </c>
      <c r="AX28" s="893">
        <f t="shared" si="3"/>
        <v>9573883.2999999989</v>
      </c>
    </row>
    <row r="29" spans="1:50" ht="19.5" customHeight="1" x14ac:dyDescent="0.3">
      <c r="B29" s="831"/>
      <c r="D29" s="831"/>
      <c r="F29" s="831"/>
      <c r="M29" s="856"/>
      <c r="AL29" s="831">
        <f>SUM(AL7:AL27)</f>
        <v>8582967.6999999993</v>
      </c>
    </row>
    <row r="30" spans="1:50" ht="19.5" customHeight="1" x14ac:dyDescent="0.3">
      <c r="A30" s="819" t="s">
        <v>2152</v>
      </c>
      <c r="B30" s="857"/>
      <c r="D30" s="857"/>
      <c r="F30" s="857"/>
      <c r="H30" s="857"/>
      <c r="J30" s="857"/>
      <c r="L30" s="857"/>
      <c r="N30" s="857"/>
    </row>
    <row r="31" spans="1:50" ht="19.5" customHeight="1" x14ac:dyDescent="0.3">
      <c r="AI31" s="831"/>
      <c r="AJ31" s="831"/>
    </row>
    <row r="32" spans="1:50" ht="19.5" customHeight="1" x14ac:dyDescent="0.3">
      <c r="AI32" s="831"/>
      <c r="AJ32" s="831"/>
    </row>
    <row r="33" spans="32:36" ht="19.5" customHeight="1" x14ac:dyDescent="0.3">
      <c r="AI33" s="831"/>
      <c r="AJ33" s="831"/>
    </row>
    <row r="34" spans="32:36" ht="19.5" customHeight="1" x14ac:dyDescent="0.3">
      <c r="AI34" s="831"/>
      <c r="AJ34" s="831"/>
    </row>
    <row r="35" spans="32:36" ht="19.5" customHeight="1" x14ac:dyDescent="0.3">
      <c r="AI35" s="831"/>
      <c r="AJ35" s="831"/>
    </row>
    <row r="36" spans="32:36" ht="19.5" customHeight="1" x14ac:dyDescent="0.3">
      <c r="AI36" s="831"/>
      <c r="AJ36" s="831"/>
    </row>
    <row r="37" spans="32:36" ht="19.5" customHeight="1" x14ac:dyDescent="0.3">
      <c r="AI37" s="831"/>
      <c r="AJ37" s="831"/>
    </row>
    <row r="38" spans="32:36" ht="19.5" customHeight="1" x14ac:dyDescent="0.3">
      <c r="AI38" s="831"/>
      <c r="AJ38" s="831"/>
    </row>
    <row r="39" spans="32:36" ht="19.5" customHeight="1" x14ac:dyDescent="0.3">
      <c r="AI39" s="831"/>
      <c r="AJ39" s="831"/>
    </row>
    <row r="40" spans="32:36" ht="19.5" customHeight="1" x14ac:dyDescent="0.3">
      <c r="AF40" s="858"/>
      <c r="AI40" s="831"/>
      <c r="AJ40" s="831"/>
    </row>
    <row r="41" spans="32:36" ht="19.5" customHeight="1" x14ac:dyDescent="0.3">
      <c r="AI41" s="831"/>
      <c r="AJ41" s="831"/>
    </row>
    <row r="42" spans="32:36" ht="19.5" customHeight="1" x14ac:dyDescent="0.3">
      <c r="AI42" s="831"/>
      <c r="AJ42" s="831"/>
    </row>
    <row r="43" spans="32:36" ht="19.5" customHeight="1" x14ac:dyDescent="0.3">
      <c r="AI43" s="831"/>
      <c r="AJ43" s="831"/>
    </row>
    <row r="44" spans="32:36" ht="19.5" customHeight="1" x14ac:dyDescent="0.3">
      <c r="AI44" s="831"/>
      <c r="AJ44" s="831"/>
    </row>
    <row r="45" spans="32:36" ht="19.5" customHeight="1" x14ac:dyDescent="0.3">
      <c r="AI45" s="831"/>
      <c r="AJ45" s="831"/>
    </row>
    <row r="46" spans="32:36" ht="19.5" customHeight="1" x14ac:dyDescent="0.3">
      <c r="AI46" s="831"/>
      <c r="AJ46" s="831"/>
    </row>
    <row r="47" spans="32:36" ht="19.5" customHeight="1" x14ac:dyDescent="0.3">
      <c r="AI47" s="831"/>
      <c r="AJ47" s="831"/>
    </row>
    <row r="48" spans="32:36" ht="19.5" customHeight="1" x14ac:dyDescent="0.3">
      <c r="AI48" s="831"/>
      <c r="AJ48" s="831"/>
    </row>
    <row r="49" spans="35:36" ht="19.5" customHeight="1" x14ac:dyDescent="0.3">
      <c r="AI49" s="831"/>
      <c r="AJ49" s="831"/>
    </row>
    <row r="50" spans="35:36" ht="19.5" customHeight="1" x14ac:dyDescent="0.3">
      <c r="AI50" s="831"/>
      <c r="AJ50" s="831"/>
    </row>
    <row r="51" spans="35:36" ht="19.5" customHeight="1" x14ac:dyDescent="0.3">
      <c r="AI51" s="831"/>
      <c r="AJ51" s="831"/>
    </row>
    <row r="52" spans="35:36" ht="19.5" customHeight="1" x14ac:dyDescent="0.3">
      <c r="AI52" s="831"/>
      <c r="AJ52" s="831"/>
    </row>
    <row r="53" spans="35:36" ht="19.5" customHeight="1" x14ac:dyDescent="0.3">
      <c r="AI53" s="831"/>
      <c r="AJ53" s="831"/>
    </row>
  </sheetData>
  <mergeCells count="28">
    <mergeCell ref="N1:Y1"/>
    <mergeCell ref="Z1:AJ1"/>
    <mergeCell ref="A3:A6"/>
    <mergeCell ref="B3:C4"/>
    <mergeCell ref="D3:E4"/>
    <mergeCell ref="F3:G4"/>
    <mergeCell ref="H3:I4"/>
    <mergeCell ref="J3:K4"/>
    <mergeCell ref="L3:M4"/>
    <mergeCell ref="N3:O4"/>
    <mergeCell ref="AM3:AN4"/>
    <mergeCell ref="P3:Q4"/>
    <mergeCell ref="R3:S4"/>
    <mergeCell ref="T3:U4"/>
    <mergeCell ref="V3:W4"/>
    <mergeCell ref="X3:Y4"/>
    <mergeCell ref="Z3:AA4"/>
    <mergeCell ref="AB3:AC4"/>
    <mergeCell ref="AD3:AE4"/>
    <mergeCell ref="AF3:AG4"/>
    <mergeCell ref="AH3:AI4"/>
    <mergeCell ref="AJ3:AK4"/>
    <mergeCell ref="AO3:AP4"/>
    <mergeCell ref="AQ3:AR4"/>
    <mergeCell ref="AS3:AT4"/>
    <mergeCell ref="AU3:AU6"/>
    <mergeCell ref="AX3:AX4"/>
    <mergeCell ref="AV3:AV4"/>
  </mergeCells>
  <printOptions horizontalCentered="1" verticalCentered="1"/>
  <pageMargins left="0.78740157480314965" right="0.78740157480314965" top="0.98425196850393704" bottom="0.74803149606299213" header="0.51181102362204722" footer="0.51181102362204722"/>
  <pageSetup paperSize="9" scale="79" orientation="landscape" r:id="rId1"/>
  <headerFooter alignWithMargins="0">
    <oddHeader>&amp;CEstensione e composizione dei boschi italiani   Capitolo 1 - Le categorie inventariali e forestali</oddHeader>
    <oddFooter>&amp;CINFC - Le stime di superficie</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710EC-0AAA-49FA-A069-ADBE26EA791B}">
  <sheetPr>
    <tabColor rgb="FF00B050"/>
  </sheetPr>
  <dimension ref="A1:Y49"/>
  <sheetViews>
    <sheetView workbookViewId="0">
      <selection activeCell="F10" sqref="F10"/>
    </sheetView>
  </sheetViews>
  <sheetFormatPr defaultRowHeight="14.4" x14ac:dyDescent="0.3"/>
  <cols>
    <col min="1" max="1" width="16.88671875" bestFit="1" customWidth="1"/>
    <col min="2" max="3" width="25.5546875" customWidth="1"/>
    <col min="4" max="10" width="15.109375" customWidth="1"/>
  </cols>
  <sheetData>
    <row r="1" spans="1:3" ht="18" x14ac:dyDescent="0.35">
      <c r="A1" s="51" t="s">
        <v>480</v>
      </c>
    </row>
    <row r="2" spans="1:3" x14ac:dyDescent="0.3">
      <c r="A2" s="19" t="s">
        <v>1241</v>
      </c>
      <c r="C2" s="59" t="s">
        <v>1541</v>
      </c>
    </row>
    <row r="3" spans="1:3" x14ac:dyDescent="0.3">
      <c r="A3" s="69" t="s">
        <v>1245</v>
      </c>
      <c r="B3" s="21"/>
    </row>
    <row r="4" spans="1:3" x14ac:dyDescent="0.3">
      <c r="A4" s="69" t="s">
        <v>1246</v>
      </c>
      <c r="B4" s="21"/>
    </row>
    <row r="5" spans="1:3" ht="72.75" customHeight="1" x14ac:dyDescent="0.3">
      <c r="A5" s="69"/>
      <c r="B5" s="76" t="s">
        <v>1247</v>
      </c>
      <c r="C5" s="76" t="s">
        <v>1248</v>
      </c>
    </row>
    <row r="6" spans="1:3" x14ac:dyDescent="0.3">
      <c r="A6" s="21"/>
      <c r="B6" s="6" t="s">
        <v>76</v>
      </c>
      <c r="C6" s="6" t="s">
        <v>76</v>
      </c>
    </row>
    <row r="7" spans="1:3" x14ac:dyDescent="0.3">
      <c r="A7" s="21" t="s">
        <v>54</v>
      </c>
      <c r="B7" s="81">
        <v>18.309999999999999</v>
      </c>
      <c r="C7" s="81">
        <v>415</v>
      </c>
    </row>
    <row r="8" spans="1:3" x14ac:dyDescent="0.3">
      <c r="A8" s="21" t="s">
        <v>56</v>
      </c>
      <c r="B8" s="81">
        <v>4884.47</v>
      </c>
      <c r="C8" s="81">
        <f>B8</f>
        <v>4884.47</v>
      </c>
    </row>
    <row r="9" spans="1:3" x14ac:dyDescent="0.3">
      <c r="A9" s="480" t="s">
        <v>1249</v>
      </c>
      <c r="B9" s="440"/>
      <c r="C9" s="440"/>
    </row>
    <row r="10" spans="1:3" x14ac:dyDescent="0.3">
      <c r="A10" t="s">
        <v>72</v>
      </c>
    </row>
    <row r="11" spans="1:3" x14ac:dyDescent="0.3">
      <c r="A11" t="s">
        <v>481</v>
      </c>
    </row>
    <row r="12" spans="1:3" x14ac:dyDescent="0.3">
      <c r="A12" t="s">
        <v>73</v>
      </c>
    </row>
    <row r="13" spans="1:3" x14ac:dyDescent="0.3">
      <c r="A13" t="s">
        <v>74</v>
      </c>
    </row>
    <row r="14" spans="1:3" x14ac:dyDescent="0.3">
      <c r="A14" t="s">
        <v>75</v>
      </c>
    </row>
    <row r="15" spans="1:3" x14ac:dyDescent="0.3">
      <c r="A15" t="s">
        <v>482</v>
      </c>
    </row>
    <row r="16" spans="1:3" x14ac:dyDescent="0.3">
      <c r="A16" t="s">
        <v>1540</v>
      </c>
    </row>
    <row r="17" spans="1:25" x14ac:dyDescent="0.3">
      <c r="A17" t="s">
        <v>1250</v>
      </c>
    </row>
    <row r="18" spans="1:25" x14ac:dyDescent="0.3">
      <c r="A18" t="s">
        <v>483</v>
      </c>
    </row>
    <row r="19" spans="1:25" x14ac:dyDescent="0.3">
      <c r="A19" t="s">
        <v>484</v>
      </c>
    </row>
    <row r="21" spans="1:25" x14ac:dyDescent="0.3">
      <c r="A21" t="s">
        <v>1251</v>
      </c>
    </row>
    <row r="22" spans="1:25" x14ac:dyDescent="0.3">
      <c r="A22" s="55" t="s">
        <v>1252</v>
      </c>
    </row>
    <row r="23" spans="1:25" x14ac:dyDescent="0.3">
      <c r="A23" s="64" t="s">
        <v>1253</v>
      </c>
      <c r="B23" s="64"/>
      <c r="C23" s="64"/>
    </row>
    <row r="25" spans="1:25" x14ac:dyDescent="0.3">
      <c r="A25" s="19" t="s">
        <v>1242</v>
      </c>
      <c r="D25" s="59" t="s">
        <v>1542</v>
      </c>
    </row>
    <row r="26" spans="1:25" x14ac:dyDescent="0.3">
      <c r="A26" s="59" t="s">
        <v>1545</v>
      </c>
      <c r="B26" s="59"/>
    </row>
    <row r="27" spans="1:25" x14ac:dyDescent="0.3">
      <c r="A27" t="s">
        <v>1543</v>
      </c>
    </row>
    <row r="28" spans="1:25" x14ac:dyDescent="0.3">
      <c r="A28" s="791">
        <f>1108.3-872.59</f>
        <v>235.70999999999992</v>
      </c>
      <c r="B28" s="444" t="s">
        <v>2105</v>
      </c>
      <c r="C28" t="s">
        <v>2110</v>
      </c>
      <c r="D28" s="59" t="s">
        <v>2111</v>
      </c>
      <c r="E28" s="59"/>
      <c r="F28" s="59"/>
      <c r="G28" s="59"/>
      <c r="H28" s="59"/>
      <c r="I28" s="59"/>
      <c r="J28" s="59"/>
      <c r="K28" s="59"/>
      <c r="L28" s="59"/>
      <c r="M28" s="59"/>
      <c r="N28" s="59"/>
      <c r="O28" s="59"/>
      <c r="P28" s="59"/>
      <c r="Q28" s="59"/>
      <c r="R28" s="59"/>
      <c r="S28" s="59"/>
      <c r="T28" s="59"/>
      <c r="U28" s="59"/>
      <c r="V28" s="59"/>
      <c r="W28" s="59"/>
      <c r="X28" s="59"/>
      <c r="Y28" s="59"/>
    </row>
    <row r="29" spans="1:25" x14ac:dyDescent="0.3">
      <c r="A29" s="792">
        <f>1098.72-830.18</f>
        <v>268.54000000000008</v>
      </c>
      <c r="B29" s="195" t="s">
        <v>2106</v>
      </c>
      <c r="C29" t="s">
        <v>2109</v>
      </c>
      <c r="D29" s="64"/>
      <c r="E29" s="59"/>
    </row>
    <row r="30" spans="1:25" x14ac:dyDescent="0.3">
      <c r="A30" s="792">
        <f>1105.74-859.62</f>
        <v>246.12</v>
      </c>
      <c r="B30" s="195" t="s">
        <v>2107</v>
      </c>
      <c r="C30" t="s">
        <v>2108</v>
      </c>
      <c r="D30" s="64"/>
      <c r="E30" s="59"/>
    </row>
    <row r="31" spans="1:25" x14ac:dyDescent="0.3">
      <c r="A31" s="53">
        <f>'PITESAI tipi ecosistemi Italia'!B56+'PITESAI tipi ecosistemi Italia'!B57</f>
        <v>336303</v>
      </c>
      <c r="B31" t="s">
        <v>1243</v>
      </c>
    </row>
    <row r="32" spans="1:25" x14ac:dyDescent="0.3">
      <c r="B32" t="s">
        <v>1244</v>
      </c>
    </row>
    <row r="33" spans="1:10" x14ac:dyDescent="0.3">
      <c r="B33" t="s">
        <v>1544</v>
      </c>
    </row>
    <row r="34" spans="1:10" ht="15" thickBot="1" x14ac:dyDescent="0.35">
      <c r="A34" s="793">
        <f>1000000*A28/A31</f>
        <v>700.88580833355604</v>
      </c>
      <c r="B34" t="s">
        <v>1550</v>
      </c>
      <c r="C34" t="s">
        <v>1551</v>
      </c>
    </row>
    <row r="35" spans="1:10" ht="15" thickBot="1" x14ac:dyDescent="0.35">
      <c r="A35" s="612">
        <f>A34*'indice PIL pro capite'!C19</f>
        <v>837.73164672913742</v>
      </c>
      <c r="B35" s="553" t="s">
        <v>2012</v>
      </c>
      <c r="C35" t="s">
        <v>1546</v>
      </c>
    </row>
    <row r="36" spans="1:10" x14ac:dyDescent="0.3">
      <c r="A36">
        <f>A35/A34</f>
        <v>1.1952469814176285</v>
      </c>
      <c r="C36" t="s">
        <v>1552</v>
      </c>
    </row>
    <row r="38" spans="1:10" ht="18" x14ac:dyDescent="0.35">
      <c r="A38" s="339" t="s">
        <v>1254</v>
      </c>
    </row>
    <row r="39" spans="1:10" x14ac:dyDescent="0.3">
      <c r="A39" s="19" t="s">
        <v>2013</v>
      </c>
    </row>
    <row r="40" spans="1:10" ht="41.4" x14ac:dyDescent="0.3">
      <c r="A40" s="474" t="s">
        <v>174</v>
      </c>
      <c r="B40" s="475" t="s">
        <v>129</v>
      </c>
      <c r="C40" s="475" t="s">
        <v>1168</v>
      </c>
      <c r="D40" s="475" t="s">
        <v>1140</v>
      </c>
      <c r="E40" s="475" t="s">
        <v>1141</v>
      </c>
      <c r="F40" s="475" t="s">
        <v>1142</v>
      </c>
      <c r="G40" s="475" t="s">
        <v>133</v>
      </c>
      <c r="H40" s="476" t="s">
        <v>134</v>
      </c>
      <c r="I40" s="430" t="s">
        <v>1165</v>
      </c>
      <c r="J40" s="476" t="s">
        <v>1166</v>
      </c>
    </row>
    <row r="41" spans="1:10" x14ac:dyDescent="0.3">
      <c r="A41" s="467" t="s">
        <v>1167</v>
      </c>
      <c r="B41" s="478"/>
      <c r="C41" s="478"/>
      <c r="D41" s="478"/>
      <c r="E41" s="478"/>
      <c r="F41" s="478"/>
      <c r="G41" s="478">
        <f>'SE8 purificazione acqua'!$A$35-0</f>
        <v>837.73164672913742</v>
      </c>
      <c r="H41" s="478">
        <f>'SE8 purificazione acqua'!$A$35-0</f>
        <v>837.73164672913742</v>
      </c>
      <c r="I41" s="478"/>
      <c r="J41" s="478"/>
    </row>
    <row r="42" spans="1:10" ht="41.4" x14ac:dyDescent="0.3">
      <c r="A42" s="477" t="s">
        <v>1168</v>
      </c>
      <c r="B42" s="478"/>
      <c r="C42" s="478"/>
      <c r="D42" s="478"/>
      <c r="E42" s="478"/>
      <c r="F42" s="478"/>
      <c r="G42" s="478">
        <f>'SE8 purificazione acqua'!$A$35-0</f>
        <v>837.73164672913742</v>
      </c>
      <c r="H42" s="478">
        <f>'SE8 purificazione acqua'!$A$35-0</f>
        <v>837.73164672913742</v>
      </c>
      <c r="I42" s="478"/>
      <c r="J42" s="478"/>
    </row>
    <row r="43" spans="1:10" ht="27.6" x14ac:dyDescent="0.3">
      <c r="A43" s="477" t="s">
        <v>1140</v>
      </c>
      <c r="B43" s="478"/>
      <c r="C43" s="478"/>
      <c r="D43" s="478"/>
      <c r="E43" s="478"/>
      <c r="F43" s="478"/>
      <c r="G43" s="478">
        <f>'SE8 purificazione acqua'!$A$35-0</f>
        <v>837.73164672913742</v>
      </c>
      <c r="H43" s="478">
        <f>'SE8 purificazione acqua'!$A$35-0</f>
        <v>837.73164672913742</v>
      </c>
      <c r="I43" s="478"/>
      <c r="J43" s="478"/>
    </row>
    <row r="44" spans="1:10" ht="27.6" x14ac:dyDescent="0.3">
      <c r="A44" s="477" t="s">
        <v>1141</v>
      </c>
      <c r="B44" s="478"/>
      <c r="C44" s="478"/>
      <c r="D44" s="478"/>
      <c r="E44" s="478"/>
      <c r="F44" s="478"/>
      <c r="G44" s="478">
        <f>'SE8 purificazione acqua'!$A$35-0</f>
        <v>837.73164672913742</v>
      </c>
      <c r="H44" s="478">
        <f>'SE8 purificazione acqua'!$A$35-0</f>
        <v>837.73164672913742</v>
      </c>
      <c r="I44" s="478"/>
      <c r="J44" s="478"/>
    </row>
    <row r="45" spans="1:10" ht="41.4" x14ac:dyDescent="0.3">
      <c r="A45" s="477" t="s">
        <v>1142</v>
      </c>
      <c r="B45" s="478"/>
      <c r="C45" s="478"/>
      <c r="D45" s="478"/>
      <c r="E45" s="478"/>
      <c r="F45" s="478"/>
      <c r="G45" s="478">
        <f>'SE8 purificazione acqua'!$A$35-0</f>
        <v>837.73164672913742</v>
      </c>
      <c r="H45" s="478">
        <f>'SE8 purificazione acqua'!$A$35-0</f>
        <v>837.73164672913742</v>
      </c>
      <c r="I45" s="478"/>
      <c r="J45" s="478"/>
    </row>
    <row r="46" spans="1:10" x14ac:dyDescent="0.3">
      <c r="A46" s="477" t="s">
        <v>133</v>
      </c>
      <c r="B46" s="478">
        <f>0-'SE8 purificazione acqua'!$A$35</f>
        <v>-837.73164672913742</v>
      </c>
      <c r="C46" s="478">
        <f>0-'SE8 purificazione acqua'!$A$35</f>
        <v>-837.73164672913742</v>
      </c>
      <c r="D46" s="478">
        <f>0-'SE8 purificazione acqua'!$A$35</f>
        <v>-837.73164672913742</v>
      </c>
      <c r="E46" s="478">
        <f>0-'SE8 purificazione acqua'!$A$35</f>
        <v>-837.73164672913742</v>
      </c>
      <c r="F46" s="478">
        <f>0-'SE8 purificazione acqua'!$A$35</f>
        <v>-837.73164672913742</v>
      </c>
      <c r="G46" s="552">
        <f>'SE8 purificazione acqua'!$A$35</f>
        <v>837.73164672913742</v>
      </c>
      <c r="H46" s="478">
        <f>'SE8 purificazione acqua'!$A$35-0</f>
        <v>837.73164672913742</v>
      </c>
      <c r="I46" s="478">
        <f>0-'SE8 purificazione acqua'!$A$35</f>
        <v>-837.73164672913742</v>
      </c>
      <c r="J46" s="478">
        <f>0-'SE8 purificazione acqua'!A35</f>
        <v>-837.73164672913742</v>
      </c>
    </row>
    <row r="47" spans="1:10" x14ac:dyDescent="0.3">
      <c r="A47" s="477" t="s">
        <v>134</v>
      </c>
      <c r="B47" s="478">
        <f>0-'SE8 purificazione acqua'!$A$35</f>
        <v>-837.73164672913742</v>
      </c>
      <c r="C47" s="478">
        <f>0-'SE8 purificazione acqua'!$A$35</f>
        <v>-837.73164672913742</v>
      </c>
      <c r="D47" s="478">
        <f>0-'SE8 purificazione acqua'!$A$35</f>
        <v>-837.73164672913742</v>
      </c>
      <c r="E47" s="478">
        <f>0-'SE8 purificazione acqua'!$A$35</f>
        <v>-837.73164672913742</v>
      </c>
      <c r="F47" s="478">
        <f>0-'SE8 purificazione acqua'!$A$35</f>
        <v>-837.73164672913742</v>
      </c>
      <c r="G47" s="478">
        <f>'SE8 purificazione acqua'!$A$35-0</f>
        <v>837.73164672913742</v>
      </c>
      <c r="H47" s="552">
        <f>'SE8 purificazione acqua'!$A$35</f>
        <v>837.73164672913742</v>
      </c>
      <c r="I47" s="478">
        <f>0-'SE8 purificazione acqua'!$A$35</f>
        <v>-837.73164672913742</v>
      </c>
      <c r="J47" s="478">
        <f>0-'SE8 purificazione acqua'!A35</f>
        <v>-837.73164672913742</v>
      </c>
    </row>
    <row r="48" spans="1:10" ht="41.4" x14ac:dyDescent="0.3">
      <c r="A48" s="492" t="s">
        <v>1165</v>
      </c>
      <c r="B48" s="478"/>
      <c r="C48" s="478"/>
      <c r="D48" s="478"/>
      <c r="E48" s="478"/>
      <c r="F48" s="478"/>
      <c r="G48" s="478">
        <f>'SE8 purificazione acqua'!$A$35-0</f>
        <v>837.73164672913742</v>
      </c>
      <c r="H48" s="478">
        <f>'SE8 purificazione acqua'!$A$35-0</f>
        <v>837.73164672913742</v>
      </c>
      <c r="I48" s="478"/>
      <c r="J48" s="478"/>
    </row>
    <row r="49" spans="1:10" ht="27.6" x14ac:dyDescent="0.3">
      <c r="A49" s="477" t="s">
        <v>1166</v>
      </c>
      <c r="B49" s="478"/>
      <c r="C49" s="478"/>
      <c r="D49" s="478"/>
      <c r="E49" s="478"/>
      <c r="F49" s="478"/>
      <c r="G49" s="478">
        <f>'SE8 purificazione acqua'!$A$35-0</f>
        <v>837.73164672913742</v>
      </c>
      <c r="H49" s="478">
        <f>'SE8 purificazione acqua'!$A$35-0</f>
        <v>837.73164672913742</v>
      </c>
      <c r="I49" s="478"/>
      <c r="J49" s="478"/>
    </row>
  </sheetData>
  <phoneticPr fontId="10" type="noConversion"/>
  <pageMargins left="0.7" right="0.7" top="0.75" bottom="0.75" header="0.3" footer="0.3"/>
  <pageSetup paperSize="9" orientation="portrait" horizontalDpi="300" verticalDpi="300"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DB7B9-CEAE-47C2-ABCD-896444DF8145}">
  <sheetPr>
    <tabColor rgb="FF00B050"/>
  </sheetPr>
  <dimension ref="A1:Q102"/>
  <sheetViews>
    <sheetView topLeftCell="H25" workbookViewId="0">
      <selection activeCell="Q31" sqref="Q31"/>
    </sheetView>
  </sheetViews>
  <sheetFormatPr defaultRowHeight="14.4" x14ac:dyDescent="0.3"/>
  <cols>
    <col min="1" max="1" width="22.109375" customWidth="1"/>
    <col min="2" max="2" width="18.44140625" customWidth="1"/>
    <col min="3" max="4" width="14.44140625" customWidth="1"/>
    <col min="5" max="6" width="14" customWidth="1"/>
    <col min="7" max="10" width="13.5546875" customWidth="1"/>
    <col min="11" max="11" width="15.44140625" customWidth="1"/>
    <col min="13" max="13" width="17.88671875" customWidth="1"/>
    <col min="14" max="14" width="12.6640625" customWidth="1"/>
    <col min="15" max="15" width="14.109375" customWidth="1"/>
  </cols>
  <sheetData>
    <row r="1" spans="1:11" ht="18" x14ac:dyDescent="0.35">
      <c r="A1" s="1055" t="s">
        <v>2448</v>
      </c>
      <c r="B1" s="59"/>
      <c r="C1" s="59"/>
      <c r="D1" s="59"/>
      <c r="E1" s="59"/>
      <c r="F1" s="59"/>
      <c r="G1" s="59"/>
    </row>
    <row r="2" spans="1:11" x14ac:dyDescent="0.3">
      <c r="A2" t="s">
        <v>217</v>
      </c>
    </row>
    <row r="3" spans="1:11" x14ac:dyDescent="0.3">
      <c r="A3" t="s">
        <v>1554</v>
      </c>
    </row>
    <row r="4" spans="1:11" x14ac:dyDescent="0.3">
      <c r="A4" t="s">
        <v>1977</v>
      </c>
    </row>
    <row r="5" spans="1:11" x14ac:dyDescent="0.3">
      <c r="A5" t="s">
        <v>1555</v>
      </c>
    </row>
    <row r="6" spans="1:11" x14ac:dyDescent="0.3">
      <c r="A6" t="s">
        <v>1970</v>
      </c>
    </row>
    <row r="7" spans="1:11" ht="15.6" x14ac:dyDescent="0.3">
      <c r="A7" s="50" t="s">
        <v>1972</v>
      </c>
      <c r="D7" t="s">
        <v>1971</v>
      </c>
    </row>
    <row r="8" spans="1:11" x14ac:dyDescent="0.3">
      <c r="A8" t="s">
        <v>1973</v>
      </c>
      <c r="E8" t="s">
        <v>1974</v>
      </c>
    </row>
    <row r="9" spans="1:11" ht="54" customHeight="1" x14ac:dyDescent="0.3">
      <c r="A9" s="1308" t="s">
        <v>2447</v>
      </c>
      <c r="B9" s="1270"/>
      <c r="C9" s="1307" t="s">
        <v>2389</v>
      </c>
      <c r="D9" s="1307"/>
      <c r="E9" s="1307" t="s">
        <v>429</v>
      </c>
      <c r="F9" s="1307"/>
    </row>
    <row r="10" spans="1:11" ht="66.75" customHeight="1" x14ac:dyDescent="0.3">
      <c r="A10" s="21"/>
      <c r="B10" s="33" t="s">
        <v>2386</v>
      </c>
      <c r="C10" s="1089" t="s">
        <v>60</v>
      </c>
      <c r="D10" s="1090" t="s">
        <v>2387</v>
      </c>
      <c r="E10" s="1091" t="s">
        <v>62</v>
      </c>
      <c r="F10" s="33" t="s">
        <v>2388</v>
      </c>
    </row>
    <row r="11" spans="1:11" x14ac:dyDescent="0.3">
      <c r="A11" s="21"/>
      <c r="B11" s="21" t="s">
        <v>63</v>
      </c>
      <c r="C11" s="21" t="s">
        <v>61</v>
      </c>
      <c r="D11" s="34" t="s">
        <v>64</v>
      </c>
      <c r="E11" s="36" t="s">
        <v>61</v>
      </c>
      <c r="F11" s="37" t="s">
        <v>76</v>
      </c>
    </row>
    <row r="12" spans="1:11" x14ac:dyDescent="0.3">
      <c r="A12" s="21"/>
      <c r="B12" s="21"/>
      <c r="C12" s="21"/>
      <c r="D12" s="34"/>
      <c r="E12" s="36"/>
      <c r="F12" s="37"/>
    </row>
    <row r="13" spans="1:11" x14ac:dyDescent="0.3">
      <c r="A13" s="21" t="s">
        <v>54</v>
      </c>
      <c r="B13" s="21">
        <v>11.01</v>
      </c>
      <c r="C13" s="21">
        <v>2.46</v>
      </c>
      <c r="D13" s="35">
        <f>B13*C13</f>
        <v>27.084599999999998</v>
      </c>
      <c r="E13" s="36">
        <v>8.77</v>
      </c>
      <c r="F13" s="38">
        <f>B13*E13</f>
        <v>96.557699999999997</v>
      </c>
      <c r="G13" t="s">
        <v>1975</v>
      </c>
    </row>
    <row r="14" spans="1:11" x14ac:dyDescent="0.3">
      <c r="A14" s="338" t="s">
        <v>59</v>
      </c>
      <c r="B14" s="338">
        <v>117.6</v>
      </c>
      <c r="C14" s="338"/>
      <c r="D14" s="613">
        <f>B14*C13</f>
        <v>289.29599999999999</v>
      </c>
      <c r="E14" s="614"/>
      <c r="F14" s="615">
        <f>B14*E13</f>
        <v>1031.3519999999999</v>
      </c>
    </row>
    <row r="15" spans="1:11" x14ac:dyDescent="0.3">
      <c r="A15" s="32" t="s">
        <v>1553</v>
      </c>
      <c r="B15" s="79">
        <f>SUM(B13:B14)/2</f>
        <v>64.304999999999993</v>
      </c>
      <c r="C15" s="21"/>
      <c r="D15" s="21"/>
      <c r="E15" s="21"/>
      <c r="F15" s="79">
        <f>(F13+F14)/2</f>
        <v>563.95484999999996</v>
      </c>
      <c r="G15" s="19" t="s">
        <v>1976</v>
      </c>
      <c r="J15" s="53">
        <f>F15*301000*100</f>
        <v>16975040985</v>
      </c>
      <c r="K15" t="s">
        <v>2112</v>
      </c>
    </row>
    <row r="16" spans="1:11" x14ac:dyDescent="0.3">
      <c r="K16" t="s">
        <v>2390</v>
      </c>
    </row>
    <row r="17" spans="1:17" x14ac:dyDescent="0.3">
      <c r="C17" t="s">
        <v>1978</v>
      </c>
    </row>
    <row r="18" spans="1:17" x14ac:dyDescent="0.3">
      <c r="C18" s="651" t="s">
        <v>1954</v>
      </c>
      <c r="G18" t="s">
        <v>1955</v>
      </c>
      <c r="K18" s="585"/>
    </row>
    <row r="19" spans="1:17" ht="82.2" customHeight="1" x14ac:dyDescent="0.3">
      <c r="A19" s="1092" t="s">
        <v>2449</v>
      </c>
      <c r="B19" t="s">
        <v>2015</v>
      </c>
      <c r="C19" s="50" t="s">
        <v>1980</v>
      </c>
    </row>
    <row r="20" spans="1:17" s="664" customFormat="1" ht="24.6" customHeight="1" x14ac:dyDescent="0.3">
      <c r="B20" s="948" t="s">
        <v>1969</v>
      </c>
      <c r="C20" s="794" t="s">
        <v>2175</v>
      </c>
      <c r="D20" s="794" t="s">
        <v>1556</v>
      </c>
      <c r="E20" s="794" t="s">
        <v>1479</v>
      </c>
      <c r="F20" s="794" t="s">
        <v>1480</v>
      </c>
      <c r="G20" s="794" t="s">
        <v>2254</v>
      </c>
      <c r="H20" s="186" t="s">
        <v>2252</v>
      </c>
      <c r="I20" s="930" t="s">
        <v>2253</v>
      </c>
      <c r="J20" s="927" t="s">
        <v>2255</v>
      </c>
      <c r="K20" s="933" t="s">
        <v>2243</v>
      </c>
    </row>
    <row r="21" spans="1:17" s="664" customFormat="1" ht="24.6" customHeight="1" x14ac:dyDescent="0.3">
      <c r="B21" s="455" t="s">
        <v>2242</v>
      </c>
      <c r="C21" s="928">
        <f>'tavola corr CORINE3-MAES'!I7</f>
        <v>0.2976440570308993</v>
      </c>
      <c r="D21" s="928">
        <f>'tavola corr CORINE3-MAES'!I5</f>
        <v>0.50053425932169449</v>
      </c>
      <c r="E21" s="928">
        <f>'tavola corr CORINE3-MAES'!I6</f>
        <v>3.9942132990916139E-2</v>
      </c>
      <c r="F21" s="928">
        <f>'tavola corr CORINE3-MAES'!I4</f>
        <v>5.4808577551503569E-2</v>
      </c>
      <c r="G21" s="928">
        <f>'tavola corr CORINE3-MAES'!I8</f>
        <v>3.8707462001503372E-2</v>
      </c>
      <c r="H21" s="928">
        <f>'tavola corr CORINE3-MAES'!I17</f>
        <v>3.4675967073524952E-2</v>
      </c>
      <c r="I21" s="928">
        <f>'tavola corr CORINE3-MAES'!I18</f>
        <v>2.0838347803710643E-2</v>
      </c>
      <c r="J21" s="928">
        <f>'tavola corr CORINE3-MAES'!I10+'tavola corr CORINE3-MAES'!I11+'tavola corr CORINE3-MAES'!I12</f>
        <v>1.284919622624775E-2</v>
      </c>
      <c r="K21" s="932">
        <f>SUM(C21:J21)</f>
        <v>1</v>
      </c>
      <c r="L21" s="929">
        <f>C21+D21+E21+G21+H21</f>
        <v>0.91150387841853808</v>
      </c>
    </row>
    <row r="22" spans="1:17" s="664" customFormat="1" ht="24.6" customHeight="1" x14ac:dyDescent="0.3">
      <c r="B22" s="948" t="s">
        <v>2262</v>
      </c>
      <c r="C22" s="941">
        <f>C21/$L$21</f>
        <v>0.32654173402675218</v>
      </c>
      <c r="D22" s="941">
        <f t="shared" ref="D22:H22" si="0">D21/$L$21</f>
        <v>0.54913014763044443</v>
      </c>
      <c r="E22" s="941">
        <f t="shared" si="0"/>
        <v>4.3820036246270129E-2</v>
      </c>
      <c r="F22" s="941"/>
      <c r="G22" s="941">
        <f t="shared" si="0"/>
        <v>4.2465493475091882E-2</v>
      </c>
      <c r="H22" s="941">
        <f t="shared" si="0"/>
        <v>3.8042588621441588E-2</v>
      </c>
      <c r="I22" s="942"/>
      <c r="J22" s="941"/>
      <c r="K22" s="932">
        <f>SUM(C22:J22)</f>
        <v>1.0000000000000002</v>
      </c>
    </row>
    <row r="23" spans="1:17" s="664" customFormat="1" ht="24.6" customHeight="1" x14ac:dyDescent="0.3">
      <c r="B23" s="948" t="s">
        <v>2249</v>
      </c>
      <c r="C23" s="939" t="s">
        <v>2244</v>
      </c>
      <c r="D23" s="940">
        <v>0.3</v>
      </c>
      <c r="E23" s="940" t="s">
        <v>2245</v>
      </c>
      <c r="F23" s="940" t="s">
        <v>1557</v>
      </c>
      <c r="G23" s="940" t="s">
        <v>2247</v>
      </c>
      <c r="H23" s="940" t="s">
        <v>2248</v>
      </c>
      <c r="I23" s="937" t="s">
        <v>1557</v>
      </c>
      <c r="J23" s="940" t="s">
        <v>1557</v>
      </c>
      <c r="K23" s="931" t="s">
        <v>2258</v>
      </c>
    </row>
    <row r="24" spans="1:17" s="664" customFormat="1" ht="24.6" customHeight="1" x14ac:dyDescent="0.3">
      <c r="B24" s="949" t="s">
        <v>2261</v>
      </c>
      <c r="C24" s="943">
        <f>(0.0001+0.003)/2</f>
        <v>1.5499999999999999E-3</v>
      </c>
      <c r="D24" s="944">
        <v>0.3</v>
      </c>
      <c r="E24" s="945">
        <f>(0.01+0.08)/2</f>
        <v>4.4999999999999998E-2</v>
      </c>
      <c r="F24" s="946" t="s">
        <v>1557</v>
      </c>
      <c r="G24" s="945">
        <f>(0.01+0.1)/2</f>
        <v>5.5E-2</v>
      </c>
      <c r="H24" s="945">
        <f>(0.1+0.55)/2</f>
        <v>0.32500000000000001</v>
      </c>
      <c r="I24" s="937" t="s">
        <v>1557</v>
      </c>
      <c r="J24" s="940" t="s">
        <v>1557</v>
      </c>
      <c r="K24" s="931" t="s">
        <v>2259</v>
      </c>
    </row>
    <row r="25" spans="1:17" ht="24.6" customHeight="1" x14ac:dyDescent="0.3">
      <c r="B25" s="446" t="s">
        <v>2260</v>
      </c>
      <c r="C25" s="935">
        <f>($H$24-C24)/$H$24</f>
        <v>0.99523076923076925</v>
      </c>
      <c r="D25" s="935">
        <f>($H$24-D24)/$H$24</f>
        <v>7.6923076923076983E-2</v>
      </c>
      <c r="E25" s="935">
        <f>($H$24-E24)/$H$24</f>
        <v>0.86153846153846159</v>
      </c>
      <c r="F25" s="794" t="s">
        <v>1557</v>
      </c>
      <c r="G25" s="935">
        <f>($H$24-G24)/$H$24</f>
        <v>0.83076923076923082</v>
      </c>
      <c r="H25" s="935">
        <f>($H$24-H24)/$H$24</f>
        <v>0</v>
      </c>
      <c r="I25" s="795" t="s">
        <v>1557</v>
      </c>
      <c r="J25" s="795" t="s">
        <v>1557</v>
      </c>
    </row>
    <row r="26" spans="1:17" ht="24.6" customHeight="1" x14ac:dyDescent="0.3">
      <c r="B26" s="455" t="s">
        <v>2256</v>
      </c>
      <c r="C26" s="934">
        <v>0.01</v>
      </c>
      <c r="D26" s="934">
        <v>20</v>
      </c>
      <c r="E26" s="934">
        <v>1</v>
      </c>
      <c r="F26" s="934" t="s">
        <v>1557</v>
      </c>
      <c r="G26" s="934">
        <v>1</v>
      </c>
      <c r="H26" s="934">
        <v>10</v>
      </c>
      <c r="I26" s="934"/>
      <c r="J26" s="934"/>
      <c r="K26">
        <v>11.69</v>
      </c>
      <c r="L26" t="s">
        <v>2257</v>
      </c>
      <c r="N26" s="947">
        <f>C26*C22+D26*D22+E26*E22+G26*G22+H26*H22</f>
        <v>11.452579785884936</v>
      </c>
      <c r="O26" t="s">
        <v>2380</v>
      </c>
    </row>
    <row r="27" spans="1:17" x14ac:dyDescent="0.3">
      <c r="B27" s="195" t="s">
        <v>2014</v>
      </c>
      <c r="C27" s="806">
        <f>F15*C25*'indice PIL pro capite'!C16</f>
        <v>587.71336030326358</v>
      </c>
      <c r="D27" s="796">
        <f>F15*D25*'indice PIL pro capite'!C16</f>
        <v>45.425364067341476</v>
      </c>
      <c r="E27" s="796">
        <f>F15*E25*'indice PIL pro capite'!C16</f>
        <v>508.76407755422417</v>
      </c>
      <c r="F27" s="796">
        <v>0</v>
      </c>
      <c r="G27" s="796">
        <f>F15*G25*'indice PIL pro capite'!C16</f>
        <v>490.59393192728754</v>
      </c>
      <c r="H27" s="796">
        <f>F15*H25*'indice PIL pro capite'!C16</f>
        <v>0</v>
      </c>
      <c r="I27" s="21"/>
      <c r="J27" s="195">
        <v>0</v>
      </c>
    </row>
    <row r="28" spans="1:17" ht="15" thickBot="1" x14ac:dyDescent="0.35">
      <c r="B28" s="64"/>
      <c r="C28" s="936" t="s">
        <v>2246</v>
      </c>
      <c r="D28" s="68"/>
      <c r="E28" s="68"/>
      <c r="F28" s="68"/>
      <c r="G28" s="68"/>
      <c r="H28" s="68"/>
      <c r="J28" s="67"/>
    </row>
    <row r="29" spans="1:17" ht="16.2" thickBot="1" x14ac:dyDescent="0.35">
      <c r="A29" s="1155" t="s">
        <v>2450</v>
      </c>
      <c r="B29" s="59"/>
      <c r="C29" s="1156"/>
      <c r="D29" s="307"/>
      <c r="E29" s="68"/>
      <c r="F29" s="68"/>
      <c r="G29" s="68"/>
      <c r="H29" s="68"/>
      <c r="J29" s="67"/>
      <c r="N29" s="1108">
        <v>10</v>
      </c>
      <c r="O29" s="1160" t="s">
        <v>2401</v>
      </c>
      <c r="P29" s="1159" t="s">
        <v>2402</v>
      </c>
      <c r="Q29" s="553"/>
    </row>
    <row r="30" spans="1:17" ht="46.2" customHeight="1" thickBot="1" x14ac:dyDescent="0.35">
      <c r="A30" s="59" t="s">
        <v>2381</v>
      </c>
      <c r="B30" s="64" t="s">
        <v>2396</v>
      </c>
      <c r="C30" s="936"/>
      <c r="D30" s="68"/>
      <c r="E30" s="68"/>
      <c r="F30" s="68"/>
      <c r="G30" s="68"/>
      <c r="H30" s="68"/>
      <c r="J30" s="67"/>
      <c r="K30" s="1309" t="s">
        <v>2403</v>
      </c>
      <c r="L30" s="1310"/>
      <c r="M30" s="1311"/>
      <c r="N30" s="59"/>
    </row>
    <row r="31" spans="1:17" ht="56.4" customHeight="1" x14ac:dyDescent="0.3">
      <c r="B31" s="1319" t="s">
        <v>2395</v>
      </c>
      <c r="C31" s="1320"/>
      <c r="D31" s="1320"/>
      <c r="E31" s="1319" t="s">
        <v>2392</v>
      </c>
      <c r="F31" s="1320"/>
      <c r="G31" s="1320"/>
      <c r="H31" s="1319" t="s">
        <v>2393</v>
      </c>
      <c r="I31" s="1320"/>
      <c r="J31" s="1320"/>
      <c r="K31" s="1312">
        <v>2018</v>
      </c>
      <c r="L31" s="1313"/>
      <c r="M31" s="1313"/>
      <c r="N31" s="1186"/>
    </row>
    <row r="32" spans="1:17" ht="46.2" customHeight="1" x14ac:dyDescent="0.3">
      <c r="B32" s="6" t="s">
        <v>2383</v>
      </c>
      <c r="C32" s="6" t="s">
        <v>2384</v>
      </c>
      <c r="D32" s="1087" t="s">
        <v>2400</v>
      </c>
      <c r="E32" s="6" t="s">
        <v>2383</v>
      </c>
      <c r="F32" s="6" t="s">
        <v>2384</v>
      </c>
      <c r="G32" s="1087" t="s">
        <v>2385</v>
      </c>
      <c r="H32" s="6" t="s">
        <v>2383</v>
      </c>
      <c r="I32" s="6" t="s">
        <v>2391</v>
      </c>
      <c r="J32" s="1087" t="s">
        <v>2385</v>
      </c>
      <c r="K32" s="464" t="s">
        <v>2399</v>
      </c>
      <c r="L32" s="464" t="s">
        <v>2398</v>
      </c>
      <c r="M32" s="464" t="s">
        <v>2405</v>
      </c>
      <c r="N32" s="464" t="s">
        <v>2404</v>
      </c>
      <c r="O32" s="1111" t="s">
        <v>12</v>
      </c>
      <c r="P32" s="1097" t="s">
        <v>2397</v>
      </c>
    </row>
    <row r="33" spans="1:15" ht="32.4" customHeight="1" x14ac:dyDescent="0.3">
      <c r="A33" s="1061" t="s">
        <v>1053</v>
      </c>
      <c r="B33" s="456">
        <v>1168457</v>
      </c>
      <c r="C33" s="806"/>
      <c r="D33" s="806"/>
      <c r="E33" s="456">
        <v>1434508.03</v>
      </c>
      <c r="F33" s="21"/>
      <c r="G33" s="195"/>
      <c r="H33" s="1095">
        <v>1433935.23</v>
      </c>
      <c r="I33" s="796"/>
      <c r="J33" s="796"/>
      <c r="K33" s="1098">
        <f>H33</f>
        <v>1433935.23</v>
      </c>
      <c r="L33" s="1103">
        <f>K33*1000/'tavola corr CORINE3-MAES'!G7</f>
        <v>157.18639804035001</v>
      </c>
      <c r="M33" s="489">
        <f>K33*1000*$N$29/1000000</f>
        <v>14339.3523</v>
      </c>
      <c r="N33" s="1105">
        <f>L33*$N$29</f>
        <v>1571.8639804035001</v>
      </c>
      <c r="O33" s="1106">
        <f>N33*'tavola corr CORINE3-MAES'!G7/1000000</f>
        <v>14339.3523</v>
      </c>
    </row>
    <row r="34" spans="1:15" ht="32.4" customHeight="1" x14ac:dyDescent="0.3">
      <c r="A34" s="1061" t="s">
        <v>1054</v>
      </c>
      <c r="B34" s="456">
        <v>362790</v>
      </c>
      <c r="C34" s="806">
        <v>3739</v>
      </c>
      <c r="D34" s="1107">
        <f>C34*1000000/(B34*1000)</f>
        <v>10.306237768405964</v>
      </c>
      <c r="E34" s="456">
        <v>410376.9</v>
      </c>
      <c r="F34" s="1058">
        <v>2464.4899999999998</v>
      </c>
      <c r="G34" s="1088">
        <f>F34*1000000/(E34*1000)</f>
        <v>6.0054306175615633</v>
      </c>
      <c r="H34" s="1095">
        <v>423922.23</v>
      </c>
      <c r="I34" s="806">
        <v>2515.3000000000002</v>
      </c>
      <c r="J34" s="1088">
        <f>I34*1000000/(H34*1000)</f>
        <v>5.9333996237942044</v>
      </c>
      <c r="K34" s="1098">
        <f t="shared" ref="K34:L42" si="1">H34</f>
        <v>423922.23</v>
      </c>
      <c r="L34" s="1103">
        <f>K34*1000/'tavola corr CORINE3-MAES'!G5</f>
        <v>27.633444658134803</v>
      </c>
      <c r="M34" s="489">
        <f t="shared" ref="M34:M38" si="2">K34*1000*$N$29/1000000</f>
        <v>4239.2223000000004</v>
      </c>
      <c r="N34" s="1105">
        <f t="shared" ref="N34:N38" si="3">L34*$N$29</f>
        <v>276.334446581348</v>
      </c>
      <c r="O34" s="1106">
        <f>N34*'tavola corr CORINE3-MAES'!G5/1000000</f>
        <v>4239.2222999999994</v>
      </c>
    </row>
    <row r="35" spans="1:15" ht="32.4" customHeight="1" x14ac:dyDescent="0.3">
      <c r="A35" s="1061" t="s">
        <v>1055</v>
      </c>
      <c r="B35" s="456">
        <v>177348</v>
      </c>
      <c r="C35" s="806"/>
      <c r="D35" s="806"/>
      <c r="E35" s="456">
        <v>117481.03</v>
      </c>
      <c r="F35" s="21"/>
      <c r="G35" s="195"/>
      <c r="H35" s="1095">
        <v>117677.5</v>
      </c>
      <c r="I35" s="796"/>
      <c r="J35" s="796"/>
      <c r="K35" s="1098">
        <f t="shared" si="1"/>
        <v>117677.5</v>
      </c>
      <c r="L35" s="1103">
        <f>K35*1000/'tavola corr CORINE3-MAES'!G6</f>
        <v>96.12687473105052</v>
      </c>
      <c r="M35" s="489">
        <f t="shared" si="2"/>
        <v>1176.7750000000001</v>
      </c>
      <c r="N35" s="1105">
        <f t="shared" si="3"/>
        <v>961.2687473105052</v>
      </c>
      <c r="O35" s="1106">
        <f>N35*'tavola corr CORINE3-MAES'!G6/1000000</f>
        <v>1176.7750000000001</v>
      </c>
    </row>
    <row r="36" spans="1:15" ht="32.4" customHeight="1" x14ac:dyDescent="0.3">
      <c r="A36" s="1061" t="s">
        <v>1059</v>
      </c>
      <c r="B36" s="456">
        <v>82871</v>
      </c>
      <c r="C36" s="806"/>
      <c r="D36" s="806"/>
      <c r="E36" s="456">
        <v>123677.92</v>
      </c>
      <c r="F36" s="21"/>
      <c r="G36" s="195"/>
      <c r="H36" s="459">
        <v>122596.69</v>
      </c>
      <c r="I36" s="796"/>
      <c r="J36" s="796"/>
      <c r="K36" s="1098">
        <f t="shared" si="1"/>
        <v>122596.69</v>
      </c>
      <c r="L36" s="1103">
        <f>K36*1000/'tavola corr CORINE3-MAES'!G8</f>
        <v>103.33957982042661</v>
      </c>
      <c r="M36" s="489">
        <f t="shared" si="2"/>
        <v>1225.9668999999999</v>
      </c>
      <c r="N36" s="1105">
        <f t="shared" si="3"/>
        <v>1033.3957982042662</v>
      </c>
      <c r="O36" s="1106">
        <f>N36*'tavola corr CORINE3-MAES'!G8/1000000</f>
        <v>1225.9668999999999</v>
      </c>
    </row>
    <row r="37" spans="1:15" ht="32.4" customHeight="1" x14ac:dyDescent="0.3">
      <c r="A37" s="1063" t="s">
        <v>1056</v>
      </c>
      <c r="B37" s="456">
        <v>24017</v>
      </c>
      <c r="C37" s="806"/>
      <c r="D37" s="806"/>
      <c r="E37" s="456">
        <v>65139.92</v>
      </c>
      <c r="F37" s="21"/>
      <c r="G37" s="195"/>
      <c r="H37" s="459">
        <v>67948.47</v>
      </c>
      <c r="I37" s="796"/>
      <c r="J37" s="796"/>
      <c r="K37" s="1098">
        <f t="shared" si="1"/>
        <v>67948.47</v>
      </c>
      <c r="L37" s="1103">
        <f>K37*1000/'tavola corr CORINE3-MAES'!G9</f>
        <v>39.935335787762646</v>
      </c>
      <c r="M37" s="489">
        <f t="shared" si="2"/>
        <v>679.48469999999998</v>
      </c>
      <c r="N37" s="1105">
        <f t="shared" si="3"/>
        <v>399.35335787762648</v>
      </c>
      <c r="O37" s="1106">
        <f>N37*'tavola corr CORINE3-MAES'!G9/1000000</f>
        <v>679.48469999999998</v>
      </c>
    </row>
    <row r="38" spans="1:15" ht="32.4" customHeight="1" x14ac:dyDescent="0.3">
      <c r="A38" s="1063" t="s">
        <v>1518</v>
      </c>
      <c r="B38" s="456">
        <v>263</v>
      </c>
      <c r="C38" s="806"/>
      <c r="D38" s="806"/>
      <c r="E38" s="456">
        <v>365.02</v>
      </c>
      <c r="F38" s="21"/>
      <c r="G38" s="195"/>
      <c r="H38" s="459">
        <v>365.52</v>
      </c>
      <c r="I38" s="796"/>
      <c r="J38" s="796"/>
      <c r="K38" s="1098">
        <f t="shared" si="1"/>
        <v>365.52</v>
      </c>
      <c r="L38" s="1104">
        <f>K38*1000/'tavola corr CORINE3-MAES'!G4</f>
        <v>0.21759316877740065</v>
      </c>
      <c r="M38" s="489">
        <f t="shared" si="2"/>
        <v>3.6551999999999998</v>
      </c>
      <c r="N38" s="1105">
        <f t="shared" si="3"/>
        <v>2.1759316877740065</v>
      </c>
      <c r="O38" s="1106">
        <f>N38*'tavola corr CORINE3-MAES'!G4/1000000</f>
        <v>3.6551999999999998</v>
      </c>
    </row>
    <row r="39" spans="1:15" ht="32.4" customHeight="1" x14ac:dyDescent="0.3">
      <c r="A39" s="1063" t="s">
        <v>1388</v>
      </c>
      <c r="B39" s="456" t="s">
        <v>2322</v>
      </c>
      <c r="C39" s="806"/>
      <c r="D39" s="806"/>
      <c r="E39" s="796"/>
      <c r="F39" s="21"/>
      <c r="G39" s="195"/>
      <c r="H39" s="456" t="s">
        <v>2322</v>
      </c>
      <c r="I39" s="796"/>
      <c r="J39" s="796"/>
      <c r="K39" s="1098" t="str">
        <f t="shared" si="1"/>
        <v>n.a.</v>
      </c>
      <c r="L39" s="1103">
        <f t="shared" si="1"/>
        <v>0</v>
      </c>
      <c r="M39" s="1105"/>
    </row>
    <row r="40" spans="1:15" ht="32.4" customHeight="1" x14ac:dyDescent="0.3">
      <c r="A40" s="1063" t="s">
        <v>2336</v>
      </c>
      <c r="B40" s="456" t="s">
        <v>2322</v>
      </c>
      <c r="C40" s="806"/>
      <c r="D40" s="806"/>
      <c r="E40" s="796"/>
      <c r="F40" s="21"/>
      <c r="G40" s="195"/>
      <c r="H40" s="456" t="s">
        <v>2322</v>
      </c>
      <c r="I40" s="796"/>
      <c r="J40" s="796"/>
      <c r="K40" s="1098" t="str">
        <f t="shared" si="1"/>
        <v>n.a.</v>
      </c>
      <c r="L40" s="1103">
        <f t="shared" si="1"/>
        <v>0</v>
      </c>
      <c r="M40" s="1105"/>
    </row>
    <row r="41" spans="1:15" ht="32.4" customHeight="1" x14ac:dyDescent="0.3">
      <c r="A41" s="1061" t="s">
        <v>1519</v>
      </c>
      <c r="B41" s="456" t="s">
        <v>2322</v>
      </c>
      <c r="C41" s="6"/>
      <c r="D41" s="6"/>
      <c r="E41" s="21"/>
      <c r="F41" s="21"/>
      <c r="G41" s="21"/>
      <c r="H41" s="456" t="s">
        <v>2322</v>
      </c>
      <c r="I41" s="21"/>
      <c r="J41" s="21"/>
      <c r="K41" s="1098" t="str">
        <f t="shared" si="1"/>
        <v>n.a.</v>
      </c>
      <c r="L41" s="1103">
        <f t="shared" si="1"/>
        <v>0</v>
      </c>
      <c r="M41" s="1105"/>
    </row>
    <row r="42" spans="1:15" ht="32.4" customHeight="1" thickBot="1" x14ac:dyDescent="0.35">
      <c r="A42" s="1061" t="s">
        <v>2241</v>
      </c>
      <c r="B42" s="456" t="s">
        <v>2322</v>
      </c>
      <c r="C42" s="6"/>
      <c r="D42" s="6"/>
      <c r="E42" s="21"/>
      <c r="F42" s="21"/>
      <c r="G42" s="21"/>
      <c r="H42" s="456" t="s">
        <v>2322</v>
      </c>
      <c r="I42" s="21"/>
      <c r="J42" s="21"/>
      <c r="K42" s="1098" t="str">
        <f t="shared" si="1"/>
        <v>n.a.</v>
      </c>
      <c r="L42" s="1103">
        <f t="shared" si="1"/>
        <v>0</v>
      </c>
      <c r="M42" s="1105"/>
    </row>
    <row r="43" spans="1:15" ht="32.4" customHeight="1" thickBot="1" x14ac:dyDescent="0.35">
      <c r="A43" s="1099" t="s">
        <v>137</v>
      </c>
      <c r="B43" s="1100">
        <f>SUM(B33:B38)</f>
        <v>1815746</v>
      </c>
      <c r="C43" s="1100"/>
      <c r="D43" s="1100"/>
      <c r="E43" s="1100">
        <f>SUM(E33:E38)</f>
        <v>2151548.8200000003</v>
      </c>
      <c r="F43" s="1101"/>
      <c r="G43" s="1101"/>
      <c r="H43" s="1102">
        <f>SUM(H33:H38)</f>
        <v>2166445.64</v>
      </c>
      <c r="I43" s="50"/>
      <c r="J43" s="50"/>
      <c r="K43" s="50"/>
      <c r="L43" s="50"/>
      <c r="M43" s="1109">
        <f>SUM(M33:M42)</f>
        <v>21664.456400000003</v>
      </c>
      <c r="N43" s="1124">
        <f>M43*1000000/('tavola corr CORINE3-MAES'!G4+'tavola corr CORINE3-MAES'!G5+'tavola corr CORINE3-MAES'!G6+'tavola corr CORINE3-MAES'!G7+'tavola corr CORINE3-MAES'!G8+'tavola corr CORINE3-MAES'!G9)</f>
        <v>716.05591322443559</v>
      </c>
      <c r="O43" s="1110">
        <f>SUM(O33:O42)</f>
        <v>21664.456400000003</v>
      </c>
    </row>
    <row r="44" spans="1:15" ht="32.4" customHeight="1" x14ac:dyDescent="0.3">
      <c r="A44" s="1084" t="s">
        <v>2394</v>
      </c>
      <c r="B44" s="1093">
        <v>123828</v>
      </c>
      <c r="C44" s="170">
        <v>1282</v>
      </c>
      <c r="D44" s="1088">
        <f>C44*1000000/(B44*1000)</f>
        <v>10.353070387957489</v>
      </c>
      <c r="H44" s="1094">
        <v>162798.79</v>
      </c>
      <c r="I44" s="170">
        <v>969.42</v>
      </c>
      <c r="J44" s="1088">
        <f>I44*1000000/(H44*1000)</f>
        <v>5.9547125626670816</v>
      </c>
      <c r="N44" s="59" t="s">
        <v>2406</v>
      </c>
      <c r="O44" s="59"/>
    </row>
    <row r="45" spans="1:15" ht="32.4" customHeight="1" x14ac:dyDescent="0.3">
      <c r="A45" s="1317" t="s">
        <v>2407</v>
      </c>
      <c r="B45" s="1318"/>
      <c r="C45" s="1318"/>
      <c r="D45" s="1318"/>
      <c r="E45" s="1318"/>
      <c r="F45" s="1318"/>
      <c r="G45" s="1318"/>
      <c r="H45" s="1318"/>
      <c r="I45" s="1318"/>
      <c r="J45" s="1318"/>
      <c r="K45" s="1318"/>
      <c r="N45" s="64"/>
      <c r="O45" s="64"/>
    </row>
    <row r="46" spans="1:15" ht="64.5" customHeight="1" x14ac:dyDescent="0.3">
      <c r="A46" s="1084"/>
      <c r="B46" s="1112" t="str">
        <f>A47</f>
        <v>Woodland and forest</v>
      </c>
      <c r="C46" s="1096" t="str">
        <f>A48</f>
        <v>Cropland</v>
      </c>
      <c r="D46" s="1113" t="str">
        <f>A49</f>
        <v>Grassland</v>
      </c>
      <c r="E46" s="1096" t="str">
        <f>A50</f>
        <v>Heathland and shrub</v>
      </c>
      <c r="F46" s="1096" t="str">
        <f>A51</f>
        <v>Sparsely vegetated land</v>
      </c>
      <c r="G46" s="1096" t="str">
        <f>A52</f>
        <v xml:space="preserve">Urban </v>
      </c>
      <c r="H46" s="1114" t="str">
        <f>A53</f>
        <v>Wetlands</v>
      </c>
      <c r="I46" s="1096" t="str">
        <f>A54</f>
        <v>River and lakes</v>
      </c>
      <c r="J46" s="1113" t="str">
        <f>A55</f>
        <v>Marine inlets and transitional waters</v>
      </c>
      <c r="K46" s="1096" t="str">
        <f>A56</f>
        <v>Marine</v>
      </c>
      <c r="N46" s="64"/>
      <c r="O46" s="64"/>
    </row>
    <row r="47" spans="1:15" ht="32.4" customHeight="1" x14ac:dyDescent="0.3">
      <c r="A47" s="1115" t="s">
        <v>1053</v>
      </c>
      <c r="B47" s="1122">
        <f>N33</f>
        <v>1571.8639804035001</v>
      </c>
      <c r="C47" s="1117">
        <f>C48-B47</f>
        <v>-1295.5295338221522</v>
      </c>
      <c r="D47" s="806">
        <f>D49-B47</f>
        <v>-610.59523309299493</v>
      </c>
      <c r="E47" s="178">
        <f>E50-B47</f>
        <v>-538.46818219923398</v>
      </c>
      <c r="F47" s="178">
        <f>F51-B47</f>
        <v>-1172.5106225258737</v>
      </c>
      <c r="G47" s="178">
        <f>$G$52-B47</f>
        <v>-1569.6880487157262</v>
      </c>
      <c r="H47" s="1116" t="s">
        <v>2322</v>
      </c>
      <c r="I47" s="1116" t="s">
        <v>2322</v>
      </c>
      <c r="J47" s="1116" t="s">
        <v>2322</v>
      </c>
      <c r="K47" s="1116" t="s">
        <v>2322</v>
      </c>
      <c r="N47" s="64"/>
      <c r="O47" s="64"/>
    </row>
    <row r="48" spans="1:15" ht="32.4" customHeight="1" x14ac:dyDescent="0.3">
      <c r="A48" s="1115" t="s">
        <v>1054</v>
      </c>
      <c r="B48" s="1123">
        <f>$B$47-C48</f>
        <v>1295.5295338221522</v>
      </c>
      <c r="C48" s="1054">
        <f>N34</f>
        <v>276.334446581348</v>
      </c>
      <c r="D48" s="806">
        <f>D49-C48</f>
        <v>684.93430072915726</v>
      </c>
      <c r="E48" s="178">
        <f>E50-C48</f>
        <v>757.06135162291821</v>
      </c>
      <c r="F48" s="178">
        <f>F51-C48</f>
        <v>123.01891129627847</v>
      </c>
      <c r="G48" s="178">
        <f>$G$52-C48</f>
        <v>-274.15851489357402</v>
      </c>
      <c r="H48" s="1116" t="s">
        <v>2322</v>
      </c>
      <c r="I48" s="1116" t="s">
        <v>2322</v>
      </c>
      <c r="J48" s="1116" t="s">
        <v>2322</v>
      </c>
      <c r="K48" s="1116" t="s">
        <v>2322</v>
      </c>
      <c r="N48" s="64"/>
      <c r="O48" s="64"/>
    </row>
    <row r="49" spans="1:15" ht="32.4" customHeight="1" x14ac:dyDescent="0.3">
      <c r="A49" s="1115" t="s">
        <v>1055</v>
      </c>
      <c r="B49" s="1123">
        <f>$B$47-D49</f>
        <v>610.59523309299493</v>
      </c>
      <c r="C49" s="1118">
        <f>C48-D49</f>
        <v>-684.93430072915726</v>
      </c>
      <c r="D49" s="1121">
        <f>N35</f>
        <v>961.2687473105052</v>
      </c>
      <c r="E49" s="304">
        <f>E50-D49</f>
        <v>72.127050893760952</v>
      </c>
      <c r="F49" s="304">
        <f>F51-D49</f>
        <v>-561.91538943287878</v>
      </c>
      <c r="G49" s="178">
        <f>$G$52-D49</f>
        <v>-959.09281562273122</v>
      </c>
      <c r="H49" s="1116" t="s">
        <v>2322</v>
      </c>
      <c r="I49" s="1116" t="s">
        <v>2322</v>
      </c>
      <c r="J49" s="1116" t="s">
        <v>2322</v>
      </c>
      <c r="K49" s="1116" t="s">
        <v>2322</v>
      </c>
      <c r="N49" s="64"/>
      <c r="O49" s="64"/>
    </row>
    <row r="50" spans="1:15" ht="32.4" customHeight="1" x14ac:dyDescent="0.3">
      <c r="A50" s="1115" t="s">
        <v>1059</v>
      </c>
      <c r="B50" s="1123">
        <f>$B$47-E50</f>
        <v>538.46818219923398</v>
      </c>
      <c r="C50" s="1117">
        <f>C48-E50</f>
        <v>-757.06135162291821</v>
      </c>
      <c r="D50" s="806">
        <f>D49-E50</f>
        <v>-72.127050893760952</v>
      </c>
      <c r="E50" s="1119">
        <f>N36</f>
        <v>1033.3957982042662</v>
      </c>
      <c r="F50" s="178">
        <f>F51-E50</f>
        <v>-634.04244032663973</v>
      </c>
      <c r="G50" s="178">
        <f>$G$52-E50</f>
        <v>-1031.2198665164922</v>
      </c>
      <c r="H50" s="1116" t="s">
        <v>2322</v>
      </c>
      <c r="I50" s="1116" t="s">
        <v>2322</v>
      </c>
      <c r="J50" s="1116" t="s">
        <v>2322</v>
      </c>
      <c r="K50" s="1116" t="s">
        <v>2322</v>
      </c>
      <c r="N50" s="64"/>
      <c r="O50" s="64"/>
    </row>
    <row r="51" spans="1:15" ht="32.4" customHeight="1" x14ac:dyDescent="0.3">
      <c r="A51" s="492" t="s">
        <v>1056</v>
      </c>
      <c r="B51" s="1123">
        <f>$B$47-F51</f>
        <v>1172.5106225258737</v>
      </c>
      <c r="C51" s="1117">
        <f>C48-F51</f>
        <v>-123.01891129627847</v>
      </c>
      <c r="D51" s="806">
        <f>D49-F51</f>
        <v>561.91538943287878</v>
      </c>
      <c r="E51" s="178">
        <f>E50-F51</f>
        <v>634.04244032663973</v>
      </c>
      <c r="F51" s="1119">
        <f>N37</f>
        <v>399.35335787762648</v>
      </c>
      <c r="G51" s="178">
        <f>$G$52-F51</f>
        <v>-397.1774261898525</v>
      </c>
      <c r="H51" s="1116" t="s">
        <v>2322</v>
      </c>
      <c r="I51" s="1116" t="s">
        <v>2322</v>
      </c>
      <c r="J51" s="1116" t="s">
        <v>2322</v>
      </c>
      <c r="K51" s="1116" t="s">
        <v>2322</v>
      </c>
      <c r="N51" s="64"/>
      <c r="O51" s="64"/>
    </row>
    <row r="52" spans="1:15" ht="32.4" customHeight="1" x14ac:dyDescent="0.3">
      <c r="A52" s="492" t="s">
        <v>1518</v>
      </c>
      <c r="B52" s="1123">
        <f>$B$47-G52</f>
        <v>1569.6880487157262</v>
      </c>
      <c r="C52" s="1117">
        <f>C48-G52</f>
        <v>274.15851489357402</v>
      </c>
      <c r="D52" s="806">
        <f>D49-G52</f>
        <v>959.09281562273122</v>
      </c>
      <c r="E52" s="178">
        <f>E50-G52</f>
        <v>1031.2198665164922</v>
      </c>
      <c r="F52" s="178">
        <f>F51-G52</f>
        <v>397.1774261898525</v>
      </c>
      <c r="G52" s="1119">
        <f>N38</f>
        <v>2.1759316877740065</v>
      </c>
      <c r="H52" s="1116" t="s">
        <v>2322</v>
      </c>
      <c r="I52" s="1116" t="s">
        <v>2322</v>
      </c>
      <c r="J52" s="1116" t="s">
        <v>2322</v>
      </c>
      <c r="K52" s="1116" t="s">
        <v>2322</v>
      </c>
      <c r="N52" s="64"/>
      <c r="O52" s="64"/>
    </row>
    <row r="53" spans="1:15" ht="32.4" customHeight="1" x14ac:dyDescent="0.3">
      <c r="A53" s="492" t="s">
        <v>1388</v>
      </c>
      <c r="B53" s="1116" t="s">
        <v>2322</v>
      </c>
      <c r="C53" s="1116" t="s">
        <v>2322</v>
      </c>
      <c r="D53" s="1116" t="s">
        <v>2322</v>
      </c>
      <c r="E53" s="1116" t="s">
        <v>2322</v>
      </c>
      <c r="F53" s="1116" t="s">
        <v>2322</v>
      </c>
      <c r="G53" s="1116" t="s">
        <v>2322</v>
      </c>
      <c r="H53" s="1120" t="s">
        <v>2322</v>
      </c>
      <c r="I53" s="1116" t="s">
        <v>2322</v>
      </c>
      <c r="J53" s="1116" t="s">
        <v>2322</v>
      </c>
      <c r="K53" s="1116" t="s">
        <v>2322</v>
      </c>
      <c r="N53" s="64"/>
      <c r="O53" s="64"/>
    </row>
    <row r="54" spans="1:15" ht="32.4" customHeight="1" x14ac:dyDescent="0.3">
      <c r="A54" s="492" t="s">
        <v>2336</v>
      </c>
      <c r="B54" s="1116" t="s">
        <v>2322</v>
      </c>
      <c r="C54" s="1116" t="s">
        <v>2322</v>
      </c>
      <c r="D54" s="1116" t="s">
        <v>2322</v>
      </c>
      <c r="E54" s="1116" t="s">
        <v>2322</v>
      </c>
      <c r="F54" s="1116" t="s">
        <v>2322</v>
      </c>
      <c r="G54" s="1116" t="s">
        <v>2322</v>
      </c>
      <c r="H54" s="1116" t="s">
        <v>2322</v>
      </c>
      <c r="I54" s="1120" t="s">
        <v>2322</v>
      </c>
      <c r="J54" s="1116" t="s">
        <v>2322</v>
      </c>
      <c r="K54" s="1116" t="s">
        <v>2322</v>
      </c>
      <c r="N54" s="64"/>
      <c r="O54" s="64"/>
    </row>
    <row r="55" spans="1:15" ht="32.4" customHeight="1" x14ac:dyDescent="0.3">
      <c r="A55" s="1115" t="s">
        <v>1519</v>
      </c>
      <c r="B55" s="1116" t="s">
        <v>2322</v>
      </c>
      <c r="C55" s="1116" t="s">
        <v>2322</v>
      </c>
      <c r="D55" s="1116" t="s">
        <v>2322</v>
      </c>
      <c r="E55" s="1116" t="s">
        <v>2322</v>
      </c>
      <c r="F55" s="1116" t="s">
        <v>2322</v>
      </c>
      <c r="G55" s="1116" t="s">
        <v>2322</v>
      </c>
      <c r="H55" s="1116" t="s">
        <v>2322</v>
      </c>
      <c r="I55" s="1116" t="s">
        <v>2322</v>
      </c>
      <c r="J55" s="1120" t="s">
        <v>2322</v>
      </c>
      <c r="K55" s="1116" t="s">
        <v>2322</v>
      </c>
      <c r="N55" s="64"/>
      <c r="O55" s="64"/>
    </row>
    <row r="56" spans="1:15" ht="32.4" customHeight="1" x14ac:dyDescent="0.3">
      <c r="A56" s="1115" t="s">
        <v>2241</v>
      </c>
      <c r="B56" s="1116" t="s">
        <v>2322</v>
      </c>
      <c r="C56" s="1116" t="s">
        <v>2322</v>
      </c>
      <c r="D56" s="1116" t="s">
        <v>2322</v>
      </c>
      <c r="E56" s="1116" t="s">
        <v>2322</v>
      </c>
      <c r="F56" s="1116" t="s">
        <v>2322</v>
      </c>
      <c r="G56" s="1116" t="s">
        <v>2322</v>
      </c>
      <c r="H56" s="1116" t="s">
        <v>2322</v>
      </c>
      <c r="I56" s="1116" t="s">
        <v>2322</v>
      </c>
      <c r="J56" s="1116" t="s">
        <v>2322</v>
      </c>
      <c r="K56" s="1120" t="s">
        <v>2322</v>
      </c>
      <c r="N56" s="64"/>
      <c r="O56" s="64"/>
    </row>
    <row r="57" spans="1:15" ht="21" customHeight="1" x14ac:dyDescent="0.3">
      <c r="A57" s="1084"/>
      <c r="B57" s="1086"/>
      <c r="C57" s="299"/>
      <c r="D57" s="1085"/>
      <c r="E57" s="171"/>
      <c r="F57" s="299"/>
      <c r="G57" s="1085"/>
    </row>
    <row r="58" spans="1:15" ht="32.4" customHeight="1" x14ac:dyDescent="0.3">
      <c r="A58" s="1084"/>
      <c r="B58" s="1086"/>
      <c r="C58" s="299"/>
      <c r="D58" s="1085"/>
      <c r="E58" s="171"/>
      <c r="F58" s="299"/>
      <c r="G58" s="1085"/>
    </row>
    <row r="59" spans="1:15" ht="32.4" customHeight="1" x14ac:dyDescent="0.3">
      <c r="A59" s="1084"/>
      <c r="B59" s="54" t="s">
        <v>2382</v>
      </c>
      <c r="C59" s="54"/>
      <c r="D59" s="54"/>
      <c r="E59" s="299"/>
      <c r="F59" s="299"/>
      <c r="G59" s="299"/>
    </row>
    <row r="60" spans="1:15" x14ac:dyDescent="0.3">
      <c r="B60" s="19" t="s">
        <v>1621</v>
      </c>
      <c r="D60" t="s">
        <v>1622</v>
      </c>
      <c r="H60" s="653" t="s">
        <v>1627</v>
      </c>
    </row>
    <row r="61" spans="1:15" ht="46.2" customHeight="1" x14ac:dyDescent="0.3">
      <c r="B61" s="19"/>
      <c r="H61" s="1315" t="s">
        <v>1635</v>
      </c>
      <c r="I61" s="1316"/>
      <c r="J61" s="1316"/>
      <c r="K61" s="1316"/>
      <c r="L61" s="1316"/>
      <c r="M61" s="1316"/>
      <c r="N61" s="1316"/>
      <c r="O61" s="1316"/>
    </row>
    <row r="62" spans="1:15" x14ac:dyDescent="0.3">
      <c r="D62" s="651" t="s">
        <v>1623</v>
      </c>
      <c r="H62" s="653" t="s">
        <v>1624</v>
      </c>
    </row>
    <row r="63" spans="1:15" x14ac:dyDescent="0.3">
      <c r="B63" s="19" t="s">
        <v>1618</v>
      </c>
      <c r="C63" s="651" t="s">
        <v>1619</v>
      </c>
      <c r="H63" t="s">
        <v>1952</v>
      </c>
    </row>
    <row r="64" spans="1:15" ht="40.950000000000003" customHeight="1" x14ac:dyDescent="0.3">
      <c r="H64" s="1186" t="s">
        <v>1951</v>
      </c>
      <c r="I64" s="1186"/>
      <c r="J64" s="1186"/>
      <c r="K64" s="1186"/>
      <c r="L64" s="1186"/>
      <c r="M64" s="1186"/>
      <c r="N64" s="1186"/>
    </row>
    <row r="65" spans="2:16" ht="60.6" customHeight="1" x14ac:dyDescent="0.3">
      <c r="B65" s="19" t="s">
        <v>1634</v>
      </c>
      <c r="C65" s="651" t="s">
        <v>1632</v>
      </c>
      <c r="H65" s="1186" t="s">
        <v>1633</v>
      </c>
      <c r="I65" s="1186"/>
      <c r="J65" s="1186"/>
      <c r="K65" s="1186"/>
      <c r="L65" s="1186"/>
      <c r="M65" s="1186"/>
      <c r="N65" s="1186"/>
      <c r="O65" s="1186"/>
      <c r="P65" s="1186"/>
    </row>
    <row r="66" spans="2:16" x14ac:dyDescent="0.3">
      <c r="B66" s="19" t="s">
        <v>1614</v>
      </c>
      <c r="C66" s="651" t="s">
        <v>1615</v>
      </c>
      <c r="H66" s="1186" t="s">
        <v>1617</v>
      </c>
      <c r="I66" s="1186"/>
      <c r="J66" s="1186"/>
      <c r="K66" s="1186"/>
      <c r="L66" s="1186"/>
      <c r="M66" s="1186"/>
      <c r="N66" s="1186"/>
    </row>
    <row r="67" spans="2:16" x14ac:dyDescent="0.3">
      <c r="C67" t="s">
        <v>1958</v>
      </c>
      <c r="H67" t="s">
        <v>1956</v>
      </c>
    </row>
    <row r="68" spans="2:16" x14ac:dyDescent="0.3">
      <c r="C68" s="651" t="s">
        <v>1957</v>
      </c>
      <c r="H68" t="s">
        <v>1616</v>
      </c>
    </row>
    <row r="69" spans="2:16" ht="79.95" customHeight="1" x14ac:dyDescent="0.3">
      <c r="B69" s="371" t="s">
        <v>1629</v>
      </c>
      <c r="C69" s="665" t="s">
        <v>1630</v>
      </c>
      <c r="D69" s="373"/>
      <c r="E69" s="373"/>
      <c r="F69" s="373"/>
      <c r="G69" s="373"/>
      <c r="H69" s="1314" t="s">
        <v>1631</v>
      </c>
      <c r="I69" s="1314"/>
      <c r="J69" s="1314"/>
      <c r="K69" s="1314"/>
      <c r="L69" s="1314"/>
      <c r="M69" s="1314"/>
      <c r="N69" s="1314"/>
      <c r="O69" s="1314"/>
    </row>
    <row r="70" spans="2:16" ht="40.950000000000003" customHeight="1" x14ac:dyDescent="0.3">
      <c r="B70" s="19" t="s">
        <v>1625</v>
      </c>
      <c r="C70" s="651" t="s">
        <v>1626</v>
      </c>
      <c r="H70" s="1186" t="s">
        <v>1628</v>
      </c>
      <c r="I70" s="1186"/>
      <c r="J70" s="1186"/>
      <c r="K70" s="1186"/>
      <c r="L70" s="1186"/>
      <c r="M70" s="1186"/>
      <c r="N70" s="1186"/>
      <c r="O70" s="1186"/>
    </row>
    <row r="73" spans="2:16" x14ac:dyDescent="0.3">
      <c r="B73" s="651" t="s">
        <v>1620</v>
      </c>
    </row>
    <row r="75" spans="2:16" x14ac:dyDescent="0.3">
      <c r="B75" t="s">
        <v>1953</v>
      </c>
    </row>
    <row r="76" spans="2:16" ht="120" x14ac:dyDescent="0.3">
      <c r="B76" s="685" t="s">
        <v>1963</v>
      </c>
      <c r="C76" s="676"/>
      <c r="D76" s="676"/>
      <c r="E76" s="676"/>
      <c r="F76" s="676"/>
      <c r="G76" s="674" t="s">
        <v>1962</v>
      </c>
    </row>
    <row r="77" spans="2:16" ht="72" x14ac:dyDescent="0.3">
      <c r="B77" s="683" t="s">
        <v>1964</v>
      </c>
      <c r="C77" s="675"/>
      <c r="D77" s="675"/>
      <c r="E77" s="675"/>
      <c r="F77" s="675"/>
      <c r="G77" s="680" t="s">
        <v>1965</v>
      </c>
    </row>
    <row r="78" spans="2:16" x14ac:dyDescent="0.3">
      <c r="C78" s="195" t="s">
        <v>1556</v>
      </c>
      <c r="D78" s="695" t="s">
        <v>1968</v>
      </c>
      <c r="E78" s="64"/>
    </row>
    <row r="79" spans="2:16" x14ac:dyDescent="0.3">
      <c r="C79" s="195"/>
      <c r="D79" s="453" t="s">
        <v>1981</v>
      </c>
      <c r="E79" s="453" t="s">
        <v>1473</v>
      </c>
    </row>
    <row r="80" spans="2:16" x14ac:dyDescent="0.3">
      <c r="C80" s="21" t="s">
        <v>1489</v>
      </c>
      <c r="D80" s="684">
        <f>'Istat SAU regioni erosione'!J12</f>
        <v>0.61014577913638857</v>
      </c>
      <c r="E80" s="504">
        <f>$F$15*D80*'indice PIL pro capite'!C16</f>
        <v>360.30922396848797</v>
      </c>
    </row>
    <row r="81" spans="3:5" x14ac:dyDescent="0.3">
      <c r="C81" s="21" t="s">
        <v>1490</v>
      </c>
      <c r="D81" s="684">
        <f>'Istat SAU regioni erosione'!Q12</f>
        <v>0.98562897945969274</v>
      </c>
      <c r="E81" s="504">
        <f>$F$15*D81*'indice PIL pro capite'!C16</f>
        <v>582.04321795462363</v>
      </c>
    </row>
    <row r="82" spans="3:5" x14ac:dyDescent="0.3">
      <c r="C82" s="21" t="s">
        <v>1491</v>
      </c>
      <c r="D82" s="684">
        <f>'Istat SAU regioni erosione'!AD12</f>
        <v>0.69337492595284989</v>
      </c>
      <c r="E82" s="504">
        <f>$F$15*D82*'indice PIL pro capite'!C16</f>
        <v>409.45850980546351</v>
      </c>
    </row>
    <row r="83" spans="3:5" x14ac:dyDescent="0.3">
      <c r="C83" s="21" t="s">
        <v>1492</v>
      </c>
      <c r="D83" s="684">
        <f>'Istat SAU regioni erosione'!AK12</f>
        <v>0.95282769484740748</v>
      </c>
      <c r="E83" s="504">
        <f>$F$15*D83*'indice PIL pro capite'!C16</f>
        <v>562.67308411455963</v>
      </c>
    </row>
    <row r="84" spans="3:5" x14ac:dyDescent="0.3">
      <c r="C84" s="21" t="s">
        <v>1493</v>
      </c>
      <c r="D84" s="684">
        <f>'Istat SAU regioni erosione'!AQ12</f>
        <v>0.34675075983081349</v>
      </c>
      <c r="E84" s="504">
        <f>$F$15*D84*'indice PIL pro capite'!C16</f>
        <v>204.7666335772457</v>
      </c>
    </row>
    <row r="85" spans="3:5" x14ac:dyDescent="0.3">
      <c r="C85" s="21" t="s">
        <v>1494</v>
      </c>
      <c r="D85" s="684">
        <f>'Istat SAU regioni erosione'!AX12</f>
        <v>0.43492323367028402</v>
      </c>
      <c r="E85" s="504">
        <f>$F$15*D85*'indice PIL pro capite'!C16</f>
        <v>256.83510100063484</v>
      </c>
    </row>
    <row r="86" spans="3:5" x14ac:dyDescent="0.3">
      <c r="C86" s="21" t="s">
        <v>1495</v>
      </c>
      <c r="D86" s="684">
        <f>'Istat SAU regioni erosione'!W12</f>
        <v>0.93174136564682297</v>
      </c>
      <c r="E86" s="504">
        <f>$F$15*D86*'indice PIL pro capite'!C16</f>
        <v>550.22097976441489</v>
      </c>
    </row>
    <row r="87" spans="3:5" x14ac:dyDescent="0.3">
      <c r="C87" s="21" t="s">
        <v>1496</v>
      </c>
      <c r="D87" s="684">
        <f>'Istat SAU regioni erosione'!BE12</f>
        <v>0.54692594122596483</v>
      </c>
      <c r="E87" s="504">
        <f>$F$15*D87*'indice PIL pro capite'!C16</f>
        <v>322.97602997481692</v>
      </c>
    </row>
    <row r="88" spans="3:5" x14ac:dyDescent="0.3">
      <c r="C88" s="21" t="s">
        <v>1497</v>
      </c>
      <c r="D88" s="684">
        <f>'Istat SAU regioni erosione'!BL12</f>
        <v>0.59165549347311164</v>
      </c>
      <c r="E88" s="78">
        <f>$F$15*D88*'indice PIL pro capite'!C16</f>
        <v>349.39016051496253</v>
      </c>
    </row>
    <row r="89" spans="3:5" x14ac:dyDescent="0.3">
      <c r="C89" s="21" t="s">
        <v>1498</v>
      </c>
      <c r="D89" s="684">
        <f>'Istat SAU regioni erosione'!BS12</f>
        <v>0.5906021852773935</v>
      </c>
      <c r="E89" s="504">
        <f>$F$15*D89*'indice PIL pro capite'!C16</f>
        <v>348.76815070750951</v>
      </c>
    </row>
    <row r="90" spans="3:5" x14ac:dyDescent="0.3">
      <c r="C90" s="21" t="s">
        <v>1499</v>
      </c>
      <c r="D90" s="684">
        <f>'Istat SAU regioni erosione'!BZ12</f>
        <v>0.41863360904749619</v>
      </c>
      <c r="E90" s="504">
        <f>$F$15*D90*'indice PIL pro capite'!C16</f>
        <v>247.21559332349875</v>
      </c>
    </row>
    <row r="91" spans="3:5" x14ac:dyDescent="0.3">
      <c r="C91" s="21" t="s">
        <v>1500</v>
      </c>
      <c r="D91" s="684">
        <f>'Istat SAU regioni erosione'!CG12</f>
        <v>0.83784774344644708</v>
      </c>
      <c r="E91" s="504">
        <f>$F$15*D91*'indice PIL pro capite'!C16</f>
        <v>494.77400412771954</v>
      </c>
    </row>
    <row r="92" spans="3:5" x14ac:dyDescent="0.3">
      <c r="C92" s="21" t="s">
        <v>1501</v>
      </c>
      <c r="D92" s="684">
        <f>'Istat SAU regioni erosione'!CN12</f>
        <v>0.68679804348637663</v>
      </c>
      <c r="E92" s="504">
        <f>$F$15*D92*'indice PIL pro capite'!C16</f>
        <v>405.57466515938393</v>
      </c>
    </row>
    <row r="93" spans="3:5" x14ac:dyDescent="0.3">
      <c r="C93" s="21" t="s">
        <v>1502</v>
      </c>
      <c r="D93" s="684">
        <f>'Istat SAU regioni erosione'!CU12</f>
        <v>0.59355347088189681</v>
      </c>
      <c r="E93" s="504">
        <f>$F$15*D93*'indice PIL pro capite'!C16</f>
        <v>350.51097260717597</v>
      </c>
    </row>
    <row r="94" spans="3:5" x14ac:dyDescent="0.3">
      <c r="C94" s="21" t="s">
        <v>1503</v>
      </c>
      <c r="D94" s="684">
        <f>'Istat SAU regioni erosione'!DB12</f>
        <v>0.69167037392965247</v>
      </c>
      <c r="E94" s="504">
        <f>$F$15*D94*'indice PIL pro capite'!C16</f>
        <v>408.45192115453244</v>
      </c>
    </row>
    <row r="95" spans="3:5" x14ac:dyDescent="0.3">
      <c r="C95" s="21" t="s">
        <v>1504</v>
      </c>
      <c r="D95" s="684">
        <f>'Istat SAU regioni erosione'!DI12</f>
        <v>0.59814228002937342</v>
      </c>
      <c r="E95" s="504">
        <f>$F$15*D95*'indice PIL pro capite'!C16</f>
        <v>353.22080084725172</v>
      </c>
    </row>
    <row r="96" spans="3:5" x14ac:dyDescent="0.3">
      <c r="C96" s="21" t="s">
        <v>1079</v>
      </c>
      <c r="D96" s="684">
        <f>'Istat SAU regioni erosione'!DP12</f>
        <v>0.55877248048572725</v>
      </c>
      <c r="E96" s="504">
        <f>$F$15*D96*'indice PIL pro capite'!C16</f>
        <v>329.9717636393828</v>
      </c>
    </row>
    <row r="97" spans="3:6" x14ac:dyDescent="0.3">
      <c r="C97" s="21" t="s">
        <v>1505</v>
      </c>
      <c r="D97" s="684">
        <f>'Istat SAU regioni erosione'!DW12</f>
        <v>0.81565808393922767</v>
      </c>
      <c r="E97" s="504">
        <f>$F$15*D97*'indice PIL pro capite'!C16</f>
        <v>481.67035042632432</v>
      </c>
    </row>
    <row r="98" spans="3:6" x14ac:dyDescent="0.3">
      <c r="C98" s="21" t="s">
        <v>1506</v>
      </c>
      <c r="D98" s="684">
        <f>'Istat SAU regioni erosione'!ED12</f>
        <v>0.67660380127397923</v>
      </c>
      <c r="E98" s="504">
        <f>$F$15*D98*'indice PIL pro capite'!C16</f>
        <v>399.5546620288294</v>
      </c>
    </row>
    <row r="99" spans="3:6" x14ac:dyDescent="0.3">
      <c r="C99" s="21" t="s">
        <v>1507</v>
      </c>
      <c r="D99" s="684">
        <f>'Istat SAU regioni erosione'!EK12</f>
        <v>0.91592646662184141</v>
      </c>
      <c r="E99" s="504">
        <f>$F$15*D99*'indice PIL pro capite'!C16</f>
        <v>540.88181166774041</v>
      </c>
    </row>
    <row r="100" spans="3:6" x14ac:dyDescent="0.3">
      <c r="C100" s="32" t="s">
        <v>1508</v>
      </c>
      <c r="D100" s="682">
        <f>'Istat SAU regioni erosione'!C12</f>
        <v>0.66409689463658372</v>
      </c>
      <c r="E100" s="584">
        <f>$F$15*D100*'indice PIL pro capite'!C16</f>
        <v>392.16896179315017</v>
      </c>
      <c r="F100" s="694">
        <f>D27</f>
        <v>45.425364067341476</v>
      </c>
    </row>
    <row r="101" spans="3:6" x14ac:dyDescent="0.3">
      <c r="C101" s="83" t="s">
        <v>1967</v>
      </c>
    </row>
    <row r="102" spans="3:6" x14ac:dyDescent="0.3">
      <c r="C102" s="681" t="s">
        <v>1966</v>
      </c>
    </row>
  </sheetData>
  <mergeCells count="15">
    <mergeCell ref="A45:K45"/>
    <mergeCell ref="E31:G31"/>
    <mergeCell ref="B31:D31"/>
    <mergeCell ref="H31:J31"/>
    <mergeCell ref="H66:N66"/>
    <mergeCell ref="H70:O70"/>
    <mergeCell ref="H69:O69"/>
    <mergeCell ref="H61:O61"/>
    <mergeCell ref="H64:N64"/>
    <mergeCell ref="H65:P65"/>
    <mergeCell ref="C9:D9"/>
    <mergeCell ref="E9:F9"/>
    <mergeCell ref="A9:B9"/>
    <mergeCell ref="K30:M30"/>
    <mergeCell ref="K31:N31"/>
  </mergeCells>
  <hyperlinks>
    <hyperlink ref="H60" r:id="rId1" display="https://journals.sagepub.com/doi/10.1177/0309133309350264" xr:uid="{6F6C92C5-5567-49A1-B2A8-4AC6AEA17F6F}"/>
    <hyperlink ref="D62" r:id="rId2" location="B37-ijerph-15-01193" xr:uid="{B23972FB-5C60-4A04-8917-A3072327BF3B}"/>
    <hyperlink ref="C70" r:id="rId3" xr:uid="{747D682C-45BC-4624-93C5-B6E685897763}"/>
    <hyperlink ref="B73" r:id="rId4" xr:uid="{D5515DE5-01DF-4DF4-B7F2-9989923B3715}"/>
    <hyperlink ref="C69" r:id="rId5" xr:uid="{CC5DEAA1-2EDF-45B4-BF9D-B19D87A62C6F}"/>
    <hyperlink ref="C65" r:id="rId6" xr:uid="{A7796EAD-B1CF-4E46-89BF-52E11C1CB769}"/>
    <hyperlink ref="C63" r:id="rId7" xr:uid="{9FCD7B84-70F8-412C-A23E-ED379DD00459}"/>
    <hyperlink ref="C18" r:id="rId8" xr:uid="{377BA6CA-AAF7-4578-8214-A00B52BEA570}"/>
    <hyperlink ref="C66" r:id="rId9" xr:uid="{38F540A4-DEFF-4AF1-BE47-C19B709EEBE3}"/>
    <hyperlink ref="C68" r:id="rId10" xr:uid="{4BA95963-3DC0-48B7-AFAC-B037B824713E}"/>
    <hyperlink ref="C102" r:id="rId11" xr:uid="{143F9765-4D9F-4B94-A0AD-C45C54E83004}"/>
  </hyperlinks>
  <pageMargins left="0.7" right="0.7" top="0.75" bottom="0.75" header="0.3" footer="0.3"/>
  <pageSetup paperSize="9" orientation="portrait" horizontalDpi="300" verticalDpi="300" r:id="rId12"/>
  <drawing r:id="rId13"/>
  <legacyDrawing r:id="rId1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5BE88-AB23-4291-A48A-5BCE07F137C8}">
  <dimension ref="A1:ES294"/>
  <sheetViews>
    <sheetView showGridLines="0" workbookViewId="0">
      <pane xSplit="1" topLeftCell="AD1" activePane="topRight" state="frozen"/>
      <selection activeCell="A2" sqref="A2"/>
      <selection pane="topRight" activeCell="AD76" sqref="AD76"/>
    </sheetView>
  </sheetViews>
  <sheetFormatPr defaultColWidth="8.88671875" defaultRowHeight="13.2" customHeight="1" x14ac:dyDescent="0.25"/>
  <cols>
    <col min="1" max="1" width="66.88671875" style="342" customWidth="1"/>
    <col min="2" max="2" width="2.44140625" style="342" customWidth="1"/>
    <col min="3" max="3" width="12.44140625" style="342" customWidth="1"/>
    <col min="4" max="9" width="8.88671875" style="342"/>
    <col min="10" max="10" width="8.88671875" style="351"/>
    <col min="11" max="16" width="8.88671875" style="342"/>
    <col min="17" max="17" width="8.88671875" style="351"/>
    <col min="18" max="22" width="8.88671875" style="342"/>
    <col min="23" max="23" width="8.88671875" style="351"/>
    <col min="24" max="29" width="8.88671875" style="342"/>
    <col min="30" max="30" width="8.88671875" style="351"/>
    <col min="31" max="31" width="8.88671875" style="803"/>
    <col min="32" max="36" width="8.88671875" style="342"/>
    <col min="37" max="37" width="8.88671875" style="351"/>
    <col min="38" max="42" width="8.88671875" style="342"/>
    <col min="43" max="43" width="8.88671875" style="351"/>
    <col min="44" max="56" width="8.88671875" style="342"/>
    <col min="57" max="57" width="8.88671875" style="351"/>
    <col min="58" max="133" width="8.88671875" style="342"/>
    <col min="134" max="134" width="13.33203125" style="342" customWidth="1"/>
    <col min="135" max="140" width="8.88671875" style="342"/>
    <col min="141" max="141" width="11.33203125" style="342" customWidth="1"/>
    <col min="142" max="147" width="8.88671875" style="342"/>
    <col min="148" max="148" width="10.44140625" style="342" bestFit="1" customWidth="1"/>
    <col min="149" max="16384" width="8.88671875" style="342"/>
  </cols>
  <sheetData>
    <row r="1" spans="1:148" ht="13.2" hidden="1" customHeight="1" x14ac:dyDescent="0.25">
      <c r="A1" s="341" t="e">
        <f ca="1">DotStatQuery(B1)</f>
        <v>#NAME?</v>
      </c>
      <c r="B1" s="341" t="s">
        <v>1636</v>
      </c>
    </row>
    <row r="2" spans="1:148" ht="13.2" customHeight="1" x14ac:dyDescent="0.25">
      <c r="A2" s="343" t="s">
        <v>1637</v>
      </c>
    </row>
    <row r="3" spans="1:148" ht="13.2" customHeight="1" x14ac:dyDescent="0.25">
      <c r="A3" s="1166" t="s">
        <v>1066</v>
      </c>
      <c r="B3" s="1167"/>
      <c r="C3" s="1204" t="s">
        <v>429</v>
      </c>
      <c r="D3" s="1321"/>
      <c r="E3" s="1321"/>
      <c r="F3" s="1321"/>
      <c r="G3" s="1321"/>
      <c r="H3" s="1321"/>
      <c r="I3" s="1205"/>
      <c r="J3" s="1204" t="s">
        <v>1638</v>
      </c>
      <c r="K3" s="1321"/>
      <c r="L3" s="1321"/>
      <c r="M3" s="1321"/>
      <c r="N3" s="1321"/>
      <c r="O3" s="1321"/>
      <c r="P3" s="1205"/>
      <c r="Q3" s="1204" t="s">
        <v>1639</v>
      </c>
      <c r="R3" s="1321"/>
      <c r="S3" s="1321"/>
      <c r="T3" s="1321"/>
      <c r="U3" s="1321"/>
      <c r="V3" s="1205"/>
      <c r="W3" s="1204" t="s">
        <v>1640</v>
      </c>
      <c r="X3" s="1321"/>
      <c r="Y3" s="1321"/>
      <c r="Z3" s="1321"/>
      <c r="AA3" s="1321"/>
      <c r="AB3" s="1321"/>
      <c r="AC3" s="1205"/>
      <c r="AD3" s="1204" t="s">
        <v>1641</v>
      </c>
      <c r="AE3" s="1321"/>
      <c r="AF3" s="1321"/>
      <c r="AG3" s="1321"/>
      <c r="AH3" s="1321"/>
      <c r="AI3" s="1321"/>
      <c r="AJ3" s="1205"/>
      <c r="AK3" s="1204" t="s">
        <v>1642</v>
      </c>
      <c r="AL3" s="1321"/>
      <c r="AM3" s="1321"/>
      <c r="AN3" s="1321"/>
      <c r="AO3" s="1321"/>
      <c r="AP3" s="1205"/>
      <c r="AQ3" s="1204" t="s">
        <v>1643</v>
      </c>
      <c r="AR3" s="1321"/>
      <c r="AS3" s="1321"/>
      <c r="AT3" s="1321"/>
      <c r="AU3" s="1321"/>
      <c r="AV3" s="1321"/>
      <c r="AW3" s="1205"/>
      <c r="AX3" s="1204" t="s">
        <v>1644</v>
      </c>
      <c r="AY3" s="1321"/>
      <c r="AZ3" s="1321"/>
      <c r="BA3" s="1321"/>
      <c r="BB3" s="1321"/>
      <c r="BC3" s="1321"/>
      <c r="BD3" s="1205"/>
      <c r="BE3" s="1204" t="s">
        <v>1645</v>
      </c>
      <c r="BF3" s="1321"/>
      <c r="BG3" s="1321"/>
      <c r="BH3" s="1321"/>
      <c r="BI3" s="1321"/>
      <c r="BJ3" s="1321"/>
      <c r="BK3" s="1205"/>
      <c r="BL3" s="1204" t="s">
        <v>1646</v>
      </c>
      <c r="BM3" s="1321"/>
      <c r="BN3" s="1321"/>
      <c r="BO3" s="1321"/>
      <c r="BP3" s="1321"/>
      <c r="BQ3" s="1321"/>
      <c r="BR3" s="1205"/>
      <c r="BS3" s="1204" t="s">
        <v>1647</v>
      </c>
      <c r="BT3" s="1321"/>
      <c r="BU3" s="1321"/>
      <c r="BV3" s="1321"/>
      <c r="BW3" s="1321"/>
      <c r="BX3" s="1321"/>
      <c r="BY3" s="1205"/>
      <c r="BZ3" s="1204" t="s">
        <v>1648</v>
      </c>
      <c r="CA3" s="1321"/>
      <c r="CB3" s="1321"/>
      <c r="CC3" s="1321"/>
      <c r="CD3" s="1321"/>
      <c r="CE3" s="1321"/>
      <c r="CF3" s="1205"/>
      <c r="CG3" s="1204" t="s">
        <v>1649</v>
      </c>
      <c r="CH3" s="1321"/>
      <c r="CI3" s="1321"/>
      <c r="CJ3" s="1321"/>
      <c r="CK3" s="1321"/>
      <c r="CL3" s="1321"/>
      <c r="CM3" s="1205"/>
      <c r="CN3" s="1204" t="s">
        <v>1650</v>
      </c>
      <c r="CO3" s="1321"/>
      <c r="CP3" s="1321"/>
      <c r="CQ3" s="1321"/>
      <c r="CR3" s="1321"/>
      <c r="CS3" s="1321"/>
      <c r="CT3" s="1205"/>
      <c r="CU3" s="1204" t="s">
        <v>1651</v>
      </c>
      <c r="CV3" s="1321"/>
      <c r="CW3" s="1321"/>
      <c r="CX3" s="1321"/>
      <c r="CY3" s="1321"/>
      <c r="CZ3" s="1321"/>
      <c r="DA3" s="1205"/>
      <c r="DB3" s="1204" t="s">
        <v>1652</v>
      </c>
      <c r="DC3" s="1321"/>
      <c r="DD3" s="1321"/>
      <c r="DE3" s="1321"/>
      <c r="DF3" s="1321"/>
      <c r="DG3" s="1321"/>
      <c r="DH3" s="1205"/>
      <c r="DI3" s="1204" t="s">
        <v>1653</v>
      </c>
      <c r="DJ3" s="1321"/>
      <c r="DK3" s="1321"/>
      <c r="DL3" s="1321"/>
      <c r="DM3" s="1321"/>
      <c r="DN3" s="1321"/>
      <c r="DO3" s="1205"/>
      <c r="DP3" s="1204" t="s">
        <v>1654</v>
      </c>
      <c r="DQ3" s="1321"/>
      <c r="DR3" s="1321"/>
      <c r="DS3" s="1321"/>
      <c r="DT3" s="1321"/>
      <c r="DU3" s="1321"/>
      <c r="DV3" s="1205"/>
      <c r="DW3" s="1204" t="s">
        <v>1655</v>
      </c>
      <c r="DX3" s="1321"/>
      <c r="DY3" s="1321"/>
      <c r="DZ3" s="1321"/>
      <c r="EA3" s="1321"/>
      <c r="EB3" s="1321"/>
      <c r="EC3" s="1205"/>
      <c r="ED3" s="1204" t="s">
        <v>1656</v>
      </c>
      <c r="EE3" s="1321"/>
      <c r="EF3" s="1321"/>
      <c r="EG3" s="1321"/>
      <c r="EH3" s="1321"/>
      <c r="EI3" s="1321"/>
      <c r="EJ3" s="1205"/>
      <c r="EK3" s="1204" t="s">
        <v>1657</v>
      </c>
      <c r="EL3" s="1321"/>
      <c r="EM3" s="1321"/>
      <c r="EN3" s="1321"/>
      <c r="EO3" s="1321"/>
      <c r="EP3" s="1321"/>
      <c r="EQ3" s="1205"/>
    </row>
    <row r="4" spans="1:148" ht="13.2" customHeight="1" x14ac:dyDescent="0.25">
      <c r="A4" s="1166" t="s">
        <v>1073</v>
      </c>
      <c r="B4" s="1167"/>
      <c r="C4" s="1204" t="s">
        <v>1592</v>
      </c>
      <c r="D4" s="1321"/>
      <c r="E4" s="1321"/>
      <c r="F4" s="1321"/>
      <c r="G4" s="1321"/>
      <c r="H4" s="1321"/>
      <c r="I4" s="1321"/>
      <c r="J4" s="1321"/>
      <c r="K4" s="1321"/>
      <c r="L4" s="1321"/>
      <c r="M4" s="1321"/>
      <c r="N4" s="1321"/>
      <c r="O4" s="1321"/>
      <c r="P4" s="1321"/>
      <c r="Q4" s="1321"/>
      <c r="R4" s="1321"/>
      <c r="S4" s="1321"/>
      <c r="T4" s="1321"/>
      <c r="U4" s="1321"/>
      <c r="V4" s="1321"/>
      <c r="W4" s="1321"/>
      <c r="X4" s="1321"/>
      <c r="Y4" s="1321"/>
      <c r="Z4" s="1321"/>
      <c r="AA4" s="1321"/>
      <c r="AB4" s="1321"/>
      <c r="AC4" s="1321"/>
      <c r="AD4" s="1321"/>
      <c r="AE4" s="1321"/>
      <c r="AF4" s="1321"/>
      <c r="AG4" s="1321"/>
      <c r="AH4" s="1321"/>
      <c r="AI4" s="1321"/>
      <c r="AJ4" s="1321"/>
      <c r="AK4" s="1321"/>
      <c r="AL4" s="1321"/>
      <c r="AM4" s="1321"/>
      <c r="AN4" s="1321"/>
      <c r="AO4" s="1321"/>
      <c r="AP4" s="1321"/>
      <c r="AQ4" s="1321"/>
      <c r="AR4" s="1321"/>
      <c r="AS4" s="1321"/>
      <c r="AT4" s="1321"/>
      <c r="AU4" s="1321"/>
      <c r="AV4" s="1321"/>
      <c r="AW4" s="1321"/>
      <c r="AX4" s="1321"/>
      <c r="AY4" s="1321"/>
      <c r="AZ4" s="1321"/>
      <c r="BA4" s="1321"/>
      <c r="BB4" s="1321"/>
      <c r="BC4" s="1321"/>
      <c r="BD4" s="1321"/>
      <c r="BE4" s="1321"/>
      <c r="BF4" s="1321"/>
      <c r="BG4" s="1321"/>
      <c r="BH4" s="1321"/>
      <c r="BI4" s="1321"/>
      <c r="BJ4" s="1321"/>
      <c r="BK4" s="1321"/>
      <c r="BL4" s="1321"/>
      <c r="BM4" s="1321"/>
      <c r="BN4" s="1321"/>
      <c r="BO4" s="1321"/>
      <c r="BP4" s="1321"/>
      <c r="BQ4" s="1321"/>
      <c r="BR4" s="1321"/>
      <c r="BS4" s="1321"/>
      <c r="BT4" s="1321"/>
      <c r="BU4" s="1321"/>
      <c r="BV4" s="1321"/>
      <c r="BW4" s="1321"/>
      <c r="BX4" s="1321"/>
      <c r="BY4" s="1321"/>
      <c r="BZ4" s="1321"/>
      <c r="CA4" s="1321"/>
      <c r="CB4" s="1321"/>
      <c r="CC4" s="1321"/>
      <c r="CD4" s="1321"/>
      <c r="CE4" s="1321"/>
      <c r="CF4" s="1321"/>
      <c r="CG4" s="1321"/>
      <c r="CH4" s="1321"/>
      <c r="CI4" s="1321"/>
      <c r="CJ4" s="1321"/>
      <c r="CK4" s="1321"/>
      <c r="CL4" s="1321"/>
      <c r="CM4" s="1321"/>
      <c r="CN4" s="1321"/>
      <c r="CO4" s="1321"/>
      <c r="CP4" s="1321"/>
      <c r="CQ4" s="1321"/>
      <c r="CR4" s="1321"/>
      <c r="CS4" s="1321"/>
      <c r="CT4" s="1321"/>
      <c r="CU4" s="1321"/>
      <c r="CV4" s="1321"/>
      <c r="CW4" s="1321"/>
      <c r="CX4" s="1321"/>
      <c r="CY4" s="1321"/>
      <c r="CZ4" s="1321"/>
      <c r="DA4" s="1321"/>
      <c r="DB4" s="1321"/>
      <c r="DC4" s="1321"/>
      <c r="DD4" s="1321"/>
      <c r="DE4" s="1321"/>
      <c r="DF4" s="1321"/>
      <c r="DG4" s="1321"/>
      <c r="DH4" s="1321"/>
      <c r="DI4" s="1321"/>
      <c r="DJ4" s="1321"/>
      <c r="DK4" s="1321"/>
      <c r="DL4" s="1321"/>
      <c r="DM4" s="1321"/>
      <c r="DN4" s="1321"/>
      <c r="DO4" s="1321"/>
      <c r="DP4" s="1321"/>
      <c r="DQ4" s="1321"/>
      <c r="DR4" s="1321"/>
      <c r="DS4" s="1321"/>
      <c r="DT4" s="1321"/>
      <c r="DU4" s="1321"/>
      <c r="DV4" s="1321"/>
      <c r="DW4" s="1321"/>
      <c r="DX4" s="1321"/>
      <c r="DY4" s="1321"/>
      <c r="DZ4" s="1321"/>
      <c r="EA4" s="1321"/>
      <c r="EB4" s="1321"/>
      <c r="EC4" s="1321"/>
      <c r="ED4" s="1321"/>
      <c r="EE4" s="1321"/>
      <c r="EF4" s="1321"/>
      <c r="EG4" s="1321"/>
      <c r="EH4" s="1321"/>
      <c r="EI4" s="1321"/>
      <c r="EJ4" s="1321"/>
      <c r="EK4" s="1321"/>
      <c r="EL4" s="1321"/>
      <c r="EM4" s="1321"/>
      <c r="EN4" s="1321"/>
      <c r="EO4" s="1321"/>
      <c r="EP4" s="1321"/>
      <c r="EQ4" s="1205"/>
    </row>
    <row r="5" spans="1:148" ht="40.950000000000003" customHeight="1" x14ac:dyDescent="0.25">
      <c r="A5" s="1166" t="s">
        <v>1658</v>
      </c>
      <c r="B5" s="1167"/>
      <c r="C5" s="344" t="s">
        <v>1659</v>
      </c>
      <c r="D5" s="344" t="s">
        <v>1660</v>
      </c>
      <c r="E5" s="344" t="s">
        <v>1661</v>
      </c>
      <c r="F5" s="344" t="s">
        <v>1662</v>
      </c>
      <c r="G5" s="344" t="s">
        <v>1663</v>
      </c>
      <c r="H5" s="344" t="s">
        <v>1664</v>
      </c>
      <c r="I5" s="447" t="s">
        <v>1665</v>
      </c>
      <c r="J5" s="797" t="s">
        <v>1659</v>
      </c>
      <c r="K5" s="344" t="s">
        <v>1660</v>
      </c>
      <c r="L5" s="344" t="s">
        <v>1661</v>
      </c>
      <c r="M5" s="344" t="s">
        <v>1662</v>
      </c>
      <c r="N5" s="344" t="s">
        <v>1663</v>
      </c>
      <c r="O5" s="344" t="s">
        <v>1664</v>
      </c>
      <c r="P5" s="447" t="s">
        <v>1665</v>
      </c>
      <c r="Q5" s="797" t="s">
        <v>1659</v>
      </c>
      <c r="R5" s="344" t="s">
        <v>1661</v>
      </c>
      <c r="S5" s="344" t="s">
        <v>1662</v>
      </c>
      <c r="T5" s="344" t="s">
        <v>1663</v>
      </c>
      <c r="U5" s="344" t="s">
        <v>1664</v>
      </c>
      <c r="V5" s="447" t="s">
        <v>1665</v>
      </c>
      <c r="W5" s="797" t="s">
        <v>1659</v>
      </c>
      <c r="X5" s="344" t="s">
        <v>1660</v>
      </c>
      <c r="Y5" s="344" t="s">
        <v>1661</v>
      </c>
      <c r="Z5" s="344" t="s">
        <v>1662</v>
      </c>
      <c r="AA5" s="344" t="s">
        <v>1663</v>
      </c>
      <c r="AB5" s="344" t="s">
        <v>1664</v>
      </c>
      <c r="AC5" s="447" t="s">
        <v>1665</v>
      </c>
      <c r="AD5" s="797" t="s">
        <v>1659</v>
      </c>
      <c r="AE5" s="344" t="s">
        <v>1660</v>
      </c>
      <c r="AF5" s="344" t="s">
        <v>1661</v>
      </c>
      <c r="AG5" s="344" t="s">
        <v>1662</v>
      </c>
      <c r="AH5" s="344" t="s">
        <v>1663</v>
      </c>
      <c r="AI5" s="344" t="s">
        <v>1664</v>
      </c>
      <c r="AJ5" s="447" t="s">
        <v>1665</v>
      </c>
      <c r="AK5" s="797" t="s">
        <v>1659</v>
      </c>
      <c r="AL5" s="344" t="s">
        <v>1661</v>
      </c>
      <c r="AM5" s="344" t="s">
        <v>1662</v>
      </c>
      <c r="AN5" s="344" t="s">
        <v>1663</v>
      </c>
      <c r="AO5" s="344" t="s">
        <v>1664</v>
      </c>
      <c r="AP5" s="447" t="s">
        <v>1665</v>
      </c>
      <c r="AQ5" s="797" t="s">
        <v>1659</v>
      </c>
      <c r="AR5" s="344" t="s">
        <v>1660</v>
      </c>
      <c r="AS5" s="344" t="s">
        <v>1661</v>
      </c>
      <c r="AT5" s="344" t="s">
        <v>1662</v>
      </c>
      <c r="AU5" s="344" t="s">
        <v>1663</v>
      </c>
      <c r="AV5" s="344" t="s">
        <v>1664</v>
      </c>
      <c r="AW5" s="447" t="s">
        <v>1665</v>
      </c>
      <c r="AX5" s="344" t="s">
        <v>1659</v>
      </c>
      <c r="AY5" s="344" t="s">
        <v>1660</v>
      </c>
      <c r="AZ5" s="344" t="s">
        <v>1661</v>
      </c>
      <c r="BA5" s="344" t="s">
        <v>1662</v>
      </c>
      <c r="BB5" s="344" t="s">
        <v>1663</v>
      </c>
      <c r="BC5" s="344" t="s">
        <v>1664</v>
      </c>
      <c r="BD5" s="447" t="s">
        <v>1665</v>
      </c>
      <c r="BE5" s="797" t="s">
        <v>1659</v>
      </c>
      <c r="BF5" s="344" t="s">
        <v>1660</v>
      </c>
      <c r="BG5" s="344" t="s">
        <v>1661</v>
      </c>
      <c r="BH5" s="344" t="s">
        <v>1662</v>
      </c>
      <c r="BI5" s="344" t="s">
        <v>1663</v>
      </c>
      <c r="BJ5" s="344" t="s">
        <v>1664</v>
      </c>
      <c r="BK5" s="447" t="s">
        <v>1665</v>
      </c>
      <c r="BL5" s="344" t="s">
        <v>1659</v>
      </c>
      <c r="BM5" s="344" t="s">
        <v>1660</v>
      </c>
      <c r="BN5" s="344" t="s">
        <v>1661</v>
      </c>
      <c r="BO5" s="344" t="s">
        <v>1662</v>
      </c>
      <c r="BP5" s="344" t="s">
        <v>1663</v>
      </c>
      <c r="BQ5" s="344" t="s">
        <v>1664</v>
      </c>
      <c r="BR5" s="447" t="s">
        <v>1665</v>
      </c>
      <c r="BS5" s="344" t="s">
        <v>1659</v>
      </c>
      <c r="BT5" s="344" t="s">
        <v>1660</v>
      </c>
      <c r="BU5" s="344" t="s">
        <v>1661</v>
      </c>
      <c r="BV5" s="344" t="s">
        <v>1662</v>
      </c>
      <c r="BW5" s="344" t="s">
        <v>1663</v>
      </c>
      <c r="BX5" s="344" t="s">
        <v>1664</v>
      </c>
      <c r="BY5" s="447" t="s">
        <v>1665</v>
      </c>
      <c r="BZ5" s="344" t="s">
        <v>1659</v>
      </c>
      <c r="CA5" s="344" t="s">
        <v>1660</v>
      </c>
      <c r="CB5" s="344" t="s">
        <v>1661</v>
      </c>
      <c r="CC5" s="344" t="s">
        <v>1662</v>
      </c>
      <c r="CD5" s="344" t="s">
        <v>1663</v>
      </c>
      <c r="CE5" s="344" t="s">
        <v>1664</v>
      </c>
      <c r="CF5" s="447" t="s">
        <v>1665</v>
      </c>
      <c r="CG5" s="344" t="s">
        <v>1659</v>
      </c>
      <c r="CH5" s="344" t="s">
        <v>1660</v>
      </c>
      <c r="CI5" s="344" t="s">
        <v>1661</v>
      </c>
      <c r="CJ5" s="344" t="s">
        <v>1662</v>
      </c>
      <c r="CK5" s="344" t="s">
        <v>1663</v>
      </c>
      <c r="CL5" s="344" t="s">
        <v>1664</v>
      </c>
      <c r="CM5" s="447" t="s">
        <v>1665</v>
      </c>
      <c r="CN5" s="344" t="s">
        <v>1659</v>
      </c>
      <c r="CO5" s="344" t="s">
        <v>1660</v>
      </c>
      <c r="CP5" s="344" t="s">
        <v>1661</v>
      </c>
      <c r="CQ5" s="344" t="s">
        <v>1662</v>
      </c>
      <c r="CR5" s="344" t="s">
        <v>1663</v>
      </c>
      <c r="CS5" s="344" t="s">
        <v>1664</v>
      </c>
      <c r="CT5" s="447" t="s">
        <v>1665</v>
      </c>
      <c r="CU5" s="344" t="s">
        <v>1659</v>
      </c>
      <c r="CV5" s="344" t="s">
        <v>1660</v>
      </c>
      <c r="CW5" s="344" t="s">
        <v>1661</v>
      </c>
      <c r="CX5" s="344" t="s">
        <v>1662</v>
      </c>
      <c r="CY5" s="344" t="s">
        <v>1663</v>
      </c>
      <c r="CZ5" s="344" t="s">
        <v>1664</v>
      </c>
      <c r="DA5" s="447" t="s">
        <v>1665</v>
      </c>
      <c r="DB5" s="344" t="s">
        <v>1659</v>
      </c>
      <c r="DC5" s="344" t="s">
        <v>1660</v>
      </c>
      <c r="DD5" s="344" t="s">
        <v>1661</v>
      </c>
      <c r="DE5" s="344" t="s">
        <v>1662</v>
      </c>
      <c r="DF5" s="344" t="s">
        <v>1663</v>
      </c>
      <c r="DG5" s="344" t="s">
        <v>1664</v>
      </c>
      <c r="DH5" s="447" t="s">
        <v>1665</v>
      </c>
      <c r="DI5" s="344" t="s">
        <v>1659</v>
      </c>
      <c r="DJ5" s="344" t="s">
        <v>1660</v>
      </c>
      <c r="DK5" s="344" t="s">
        <v>1661</v>
      </c>
      <c r="DL5" s="344" t="s">
        <v>1662</v>
      </c>
      <c r="DM5" s="344" t="s">
        <v>1663</v>
      </c>
      <c r="DN5" s="344" t="s">
        <v>1664</v>
      </c>
      <c r="DO5" s="447" t="s">
        <v>1665</v>
      </c>
      <c r="DP5" s="344" t="s">
        <v>1659</v>
      </c>
      <c r="DQ5" s="344" t="s">
        <v>1660</v>
      </c>
      <c r="DR5" s="344" t="s">
        <v>1661</v>
      </c>
      <c r="DS5" s="344" t="s">
        <v>1662</v>
      </c>
      <c r="DT5" s="344" t="s">
        <v>1663</v>
      </c>
      <c r="DU5" s="344" t="s">
        <v>1664</v>
      </c>
      <c r="DV5" s="447" t="s">
        <v>1665</v>
      </c>
      <c r="DW5" s="344" t="s">
        <v>1659</v>
      </c>
      <c r="DX5" s="344" t="s">
        <v>1660</v>
      </c>
      <c r="DY5" s="344" t="s">
        <v>1661</v>
      </c>
      <c r="DZ5" s="344" t="s">
        <v>1662</v>
      </c>
      <c r="EA5" s="344" t="s">
        <v>1663</v>
      </c>
      <c r="EB5" s="344" t="s">
        <v>1664</v>
      </c>
      <c r="EC5" s="447" t="s">
        <v>1665</v>
      </c>
      <c r="ED5" s="344" t="s">
        <v>1659</v>
      </c>
      <c r="EE5" s="344" t="s">
        <v>1660</v>
      </c>
      <c r="EF5" s="344" t="s">
        <v>1661</v>
      </c>
      <c r="EG5" s="344" t="s">
        <v>1662</v>
      </c>
      <c r="EH5" s="344" t="s">
        <v>1663</v>
      </c>
      <c r="EI5" s="344" t="s">
        <v>1664</v>
      </c>
      <c r="EJ5" s="447" t="s">
        <v>1665</v>
      </c>
      <c r="EK5" s="344" t="s">
        <v>1659</v>
      </c>
      <c r="EL5" s="344" t="s">
        <v>1660</v>
      </c>
      <c r="EM5" s="344" t="s">
        <v>1661</v>
      </c>
      <c r="EN5" s="344" t="s">
        <v>1662</v>
      </c>
      <c r="EO5" s="344" t="s">
        <v>1663</v>
      </c>
      <c r="EP5" s="344" t="s">
        <v>1664</v>
      </c>
      <c r="EQ5" s="447" t="s">
        <v>1665</v>
      </c>
    </row>
    <row r="6" spans="1:148" ht="13.95" customHeight="1" x14ac:dyDescent="0.3">
      <c r="A6" s="345" t="s">
        <v>1666</v>
      </c>
      <c r="B6" s="346" t="s">
        <v>269</v>
      </c>
      <c r="C6" s="346" t="s">
        <v>269</v>
      </c>
      <c r="D6" s="346" t="s">
        <v>269</v>
      </c>
      <c r="E6" s="346" t="s">
        <v>269</v>
      </c>
      <c r="F6" s="346" t="s">
        <v>269</v>
      </c>
      <c r="G6" s="346" t="s">
        <v>269</v>
      </c>
      <c r="H6" s="346" t="s">
        <v>269</v>
      </c>
      <c r="I6" s="346" t="s">
        <v>269</v>
      </c>
      <c r="J6" s="346" t="s">
        <v>269</v>
      </c>
      <c r="K6" s="346" t="s">
        <v>269</v>
      </c>
      <c r="L6" s="346" t="s">
        <v>269</v>
      </c>
      <c r="M6" s="346" t="s">
        <v>269</v>
      </c>
      <c r="N6" s="346" t="s">
        <v>269</v>
      </c>
      <c r="O6" s="346" t="s">
        <v>269</v>
      </c>
      <c r="P6" s="346" t="s">
        <v>269</v>
      </c>
      <c r="Q6" s="346" t="s">
        <v>269</v>
      </c>
      <c r="R6" s="346" t="s">
        <v>269</v>
      </c>
      <c r="S6" s="346" t="s">
        <v>269</v>
      </c>
      <c r="T6" s="346" t="s">
        <v>269</v>
      </c>
      <c r="U6" s="346" t="s">
        <v>269</v>
      </c>
      <c r="V6" s="346" t="s">
        <v>269</v>
      </c>
      <c r="W6" s="346" t="s">
        <v>269</v>
      </c>
      <c r="X6" s="346" t="s">
        <v>269</v>
      </c>
      <c r="Y6" s="346" t="s">
        <v>269</v>
      </c>
      <c r="Z6" s="346" t="s">
        <v>269</v>
      </c>
      <c r="AA6" s="346" t="s">
        <v>269</v>
      </c>
      <c r="AB6" s="346" t="s">
        <v>269</v>
      </c>
      <c r="AC6" s="346" t="s">
        <v>269</v>
      </c>
      <c r="AD6" s="346" t="s">
        <v>269</v>
      </c>
      <c r="AE6" s="804" t="s">
        <v>269</v>
      </c>
      <c r="AF6" s="346" t="s">
        <v>269</v>
      </c>
      <c r="AG6" s="346" t="s">
        <v>269</v>
      </c>
      <c r="AH6" s="346" t="s">
        <v>269</v>
      </c>
      <c r="AI6" s="346" t="s">
        <v>269</v>
      </c>
      <c r="AJ6" s="346" t="s">
        <v>269</v>
      </c>
      <c r="AK6" s="346" t="s">
        <v>269</v>
      </c>
      <c r="AL6" s="346" t="s">
        <v>269</v>
      </c>
      <c r="AM6" s="346" t="s">
        <v>269</v>
      </c>
      <c r="AN6" s="346" t="s">
        <v>269</v>
      </c>
      <c r="AO6" s="346" t="s">
        <v>269</v>
      </c>
      <c r="AP6" s="346" t="s">
        <v>269</v>
      </c>
      <c r="AQ6" s="346" t="s">
        <v>269</v>
      </c>
      <c r="AR6" s="346" t="s">
        <v>269</v>
      </c>
      <c r="AS6" s="346" t="s">
        <v>269</v>
      </c>
      <c r="AT6" s="346" t="s">
        <v>269</v>
      </c>
      <c r="AU6" s="346" t="s">
        <v>269</v>
      </c>
      <c r="AV6" s="346" t="s">
        <v>269</v>
      </c>
      <c r="AW6" s="346" t="s">
        <v>269</v>
      </c>
      <c r="AX6" s="346" t="s">
        <v>269</v>
      </c>
      <c r="AY6" s="346" t="s">
        <v>269</v>
      </c>
      <c r="AZ6" s="346" t="s">
        <v>269</v>
      </c>
      <c r="BA6" s="346" t="s">
        <v>269</v>
      </c>
      <c r="BB6" s="346" t="s">
        <v>269</v>
      </c>
      <c r="BC6" s="346" t="s">
        <v>269</v>
      </c>
      <c r="BD6" s="346" t="s">
        <v>269</v>
      </c>
      <c r="BE6" s="346" t="s">
        <v>269</v>
      </c>
      <c r="BF6" s="346" t="s">
        <v>269</v>
      </c>
      <c r="BG6" s="346" t="s">
        <v>269</v>
      </c>
      <c r="BH6" s="346" t="s">
        <v>269</v>
      </c>
      <c r="BI6" s="346" t="s">
        <v>269</v>
      </c>
      <c r="BJ6" s="346" t="s">
        <v>269</v>
      </c>
      <c r="BK6" s="346" t="s">
        <v>269</v>
      </c>
      <c r="BL6" s="346" t="s">
        <v>269</v>
      </c>
      <c r="BM6" s="346" t="s">
        <v>269</v>
      </c>
      <c r="BN6" s="346" t="s">
        <v>269</v>
      </c>
      <c r="BO6" s="346" t="s">
        <v>269</v>
      </c>
      <c r="BP6" s="346" t="s">
        <v>269</v>
      </c>
      <c r="BQ6" s="346" t="s">
        <v>269</v>
      </c>
      <c r="BR6" s="346" t="s">
        <v>269</v>
      </c>
      <c r="BS6" s="346" t="s">
        <v>269</v>
      </c>
      <c r="BT6" s="346" t="s">
        <v>269</v>
      </c>
      <c r="BU6" s="346" t="s">
        <v>269</v>
      </c>
      <c r="BV6" s="346" t="s">
        <v>269</v>
      </c>
      <c r="BW6" s="346" t="s">
        <v>269</v>
      </c>
      <c r="BX6" s="346" t="s">
        <v>269</v>
      </c>
      <c r="BY6" s="346" t="s">
        <v>269</v>
      </c>
      <c r="BZ6" s="346" t="s">
        <v>269</v>
      </c>
      <c r="CA6" s="346" t="s">
        <v>269</v>
      </c>
      <c r="CB6" s="346" t="s">
        <v>269</v>
      </c>
      <c r="CC6" s="346" t="s">
        <v>269</v>
      </c>
      <c r="CD6" s="346" t="s">
        <v>269</v>
      </c>
      <c r="CE6" s="346" t="s">
        <v>269</v>
      </c>
      <c r="CF6" s="346" t="s">
        <v>269</v>
      </c>
      <c r="CG6" s="346" t="s">
        <v>269</v>
      </c>
      <c r="CH6" s="346" t="s">
        <v>269</v>
      </c>
      <c r="CI6" s="346" t="s">
        <v>269</v>
      </c>
      <c r="CJ6" s="346" t="s">
        <v>269</v>
      </c>
      <c r="CK6" s="346" t="s">
        <v>269</v>
      </c>
      <c r="CL6" s="346" t="s">
        <v>269</v>
      </c>
      <c r="CM6" s="346" t="s">
        <v>269</v>
      </c>
      <c r="CN6" s="346" t="s">
        <v>269</v>
      </c>
      <c r="CO6" s="346" t="s">
        <v>269</v>
      </c>
      <c r="CP6" s="346" t="s">
        <v>269</v>
      </c>
      <c r="CQ6" s="346" t="s">
        <v>269</v>
      </c>
      <c r="CR6" s="346" t="s">
        <v>269</v>
      </c>
      <c r="CS6" s="346" t="s">
        <v>269</v>
      </c>
      <c r="CT6" s="346" t="s">
        <v>269</v>
      </c>
      <c r="CU6" s="346" t="s">
        <v>269</v>
      </c>
      <c r="CV6" s="346" t="s">
        <v>269</v>
      </c>
      <c r="CW6" s="346" t="s">
        <v>269</v>
      </c>
      <c r="CX6" s="346" t="s">
        <v>269</v>
      </c>
      <c r="CY6" s="346" t="s">
        <v>269</v>
      </c>
      <c r="CZ6" s="346" t="s">
        <v>269</v>
      </c>
      <c r="DA6" s="346" t="s">
        <v>269</v>
      </c>
      <c r="DB6" s="346" t="s">
        <v>269</v>
      </c>
      <c r="DC6" s="346" t="s">
        <v>269</v>
      </c>
      <c r="DD6" s="346" t="s">
        <v>269</v>
      </c>
      <c r="DE6" s="346" t="s">
        <v>269</v>
      </c>
      <c r="DF6" s="346" t="s">
        <v>269</v>
      </c>
      <c r="DG6" s="346" t="s">
        <v>269</v>
      </c>
      <c r="DH6" s="346" t="s">
        <v>269</v>
      </c>
      <c r="DI6" s="346" t="s">
        <v>269</v>
      </c>
      <c r="DJ6" s="346" t="s">
        <v>269</v>
      </c>
      <c r="DK6" s="346" t="s">
        <v>269</v>
      </c>
      <c r="DL6" s="346" t="s">
        <v>269</v>
      </c>
      <c r="DM6" s="346" t="s">
        <v>269</v>
      </c>
      <c r="DN6" s="346" t="s">
        <v>269</v>
      </c>
      <c r="DO6" s="346" t="s">
        <v>269</v>
      </c>
      <c r="DP6" s="346" t="s">
        <v>269</v>
      </c>
      <c r="DQ6" s="346" t="s">
        <v>269</v>
      </c>
      <c r="DR6" s="346" t="s">
        <v>269</v>
      </c>
      <c r="DS6" s="346" t="s">
        <v>269</v>
      </c>
      <c r="DT6" s="346" t="s">
        <v>269</v>
      </c>
      <c r="DU6" s="346" t="s">
        <v>269</v>
      </c>
      <c r="DV6" s="346" t="s">
        <v>269</v>
      </c>
      <c r="DW6" s="346" t="s">
        <v>269</v>
      </c>
      <c r="DX6" s="346" t="s">
        <v>269</v>
      </c>
      <c r="DY6" s="346" t="s">
        <v>269</v>
      </c>
      <c r="DZ6" s="346" t="s">
        <v>269</v>
      </c>
      <c r="EA6" s="346" t="s">
        <v>269</v>
      </c>
      <c r="EB6" s="346" t="s">
        <v>269</v>
      </c>
      <c r="EC6" s="346" t="s">
        <v>269</v>
      </c>
      <c r="ED6" s="346" t="s">
        <v>269</v>
      </c>
      <c r="EE6" s="346" t="s">
        <v>269</v>
      </c>
      <c r="EF6" s="346" t="s">
        <v>269</v>
      </c>
      <c r="EG6" s="346" t="s">
        <v>269</v>
      </c>
      <c r="EH6" s="346" t="s">
        <v>269</v>
      </c>
      <c r="EI6" s="346" t="s">
        <v>269</v>
      </c>
      <c r="EJ6" s="346" t="s">
        <v>269</v>
      </c>
      <c r="EK6" s="346" t="s">
        <v>269</v>
      </c>
      <c r="EL6" s="346" t="s">
        <v>269</v>
      </c>
      <c r="EM6" s="346" t="s">
        <v>269</v>
      </c>
      <c r="EN6" s="346" t="s">
        <v>269</v>
      </c>
      <c r="EO6" s="346" t="s">
        <v>269</v>
      </c>
      <c r="EP6" s="346" t="s">
        <v>269</v>
      </c>
      <c r="EQ6" s="346" t="s">
        <v>269</v>
      </c>
    </row>
    <row r="7" spans="1:148" ht="13.95" customHeight="1" x14ac:dyDescent="0.3">
      <c r="A7" s="347" t="s">
        <v>1667</v>
      </c>
      <c r="B7" s="346" t="s">
        <v>269</v>
      </c>
      <c r="C7" s="654">
        <v>0</v>
      </c>
      <c r="D7" s="654">
        <v>0</v>
      </c>
      <c r="E7" s="654">
        <v>0</v>
      </c>
      <c r="F7" s="654">
        <v>0</v>
      </c>
      <c r="G7" s="654">
        <v>0</v>
      </c>
      <c r="H7" s="654">
        <v>0</v>
      </c>
      <c r="I7" s="654">
        <v>0</v>
      </c>
      <c r="J7" s="798">
        <v>0</v>
      </c>
      <c r="K7" s="654">
        <v>0</v>
      </c>
      <c r="L7" s="654">
        <v>0</v>
      </c>
      <c r="M7" s="654">
        <v>0</v>
      </c>
      <c r="N7" s="654">
        <v>0</v>
      </c>
      <c r="O7" s="654">
        <v>0</v>
      </c>
      <c r="P7" s="654">
        <v>0</v>
      </c>
      <c r="Q7" s="798">
        <v>0</v>
      </c>
      <c r="R7" s="654">
        <v>0</v>
      </c>
      <c r="S7" s="654">
        <v>0</v>
      </c>
      <c r="T7" s="654">
        <v>0</v>
      </c>
      <c r="U7" s="654">
        <v>0</v>
      </c>
      <c r="V7" s="654">
        <v>0</v>
      </c>
      <c r="W7" s="798">
        <v>0</v>
      </c>
      <c r="X7" s="654">
        <v>0</v>
      </c>
      <c r="Y7" s="654">
        <v>0</v>
      </c>
      <c r="Z7" s="654">
        <v>0</v>
      </c>
      <c r="AA7" s="654">
        <v>0</v>
      </c>
      <c r="AB7" s="654">
        <v>0</v>
      </c>
      <c r="AC7" s="654">
        <v>0</v>
      </c>
      <c r="AD7" s="798">
        <v>0</v>
      </c>
      <c r="AE7" s="654">
        <v>0</v>
      </c>
      <c r="AF7" s="654">
        <v>0</v>
      </c>
      <c r="AG7" s="654">
        <v>0</v>
      </c>
      <c r="AH7" s="654">
        <v>0</v>
      </c>
      <c r="AI7" s="654">
        <v>0</v>
      </c>
      <c r="AJ7" s="654">
        <v>0</v>
      </c>
      <c r="AK7" s="798">
        <v>0</v>
      </c>
      <c r="AL7" s="654">
        <v>0</v>
      </c>
      <c r="AM7" s="654">
        <v>0</v>
      </c>
      <c r="AN7" s="654">
        <v>0</v>
      </c>
      <c r="AO7" s="654">
        <v>0</v>
      </c>
      <c r="AP7" s="654">
        <v>0</v>
      </c>
      <c r="AQ7" s="798">
        <v>0</v>
      </c>
      <c r="AR7" s="654">
        <v>0</v>
      </c>
      <c r="AS7" s="654">
        <v>0</v>
      </c>
      <c r="AT7" s="654">
        <v>0</v>
      </c>
      <c r="AU7" s="654">
        <v>0</v>
      </c>
      <c r="AV7" s="654">
        <v>0</v>
      </c>
      <c r="AW7" s="654">
        <v>0</v>
      </c>
      <c r="AX7" s="654">
        <v>0</v>
      </c>
      <c r="AY7" s="654">
        <v>0</v>
      </c>
      <c r="AZ7" s="654">
        <v>0</v>
      </c>
      <c r="BA7" s="654">
        <v>0</v>
      </c>
      <c r="BB7" s="654">
        <v>0</v>
      </c>
      <c r="BC7" s="654">
        <v>0</v>
      </c>
      <c r="BD7" s="654">
        <v>0</v>
      </c>
      <c r="BE7" s="798">
        <v>0</v>
      </c>
      <c r="BF7" s="654">
        <v>0</v>
      </c>
      <c r="BG7" s="654">
        <v>0</v>
      </c>
      <c r="BH7" s="654">
        <v>0</v>
      </c>
      <c r="BI7" s="654">
        <v>0</v>
      </c>
      <c r="BJ7" s="654">
        <v>0</v>
      </c>
      <c r="BK7" s="654">
        <v>0</v>
      </c>
      <c r="BL7" s="654">
        <v>0</v>
      </c>
      <c r="BM7" s="654">
        <v>0</v>
      </c>
      <c r="BN7" s="654">
        <v>0</v>
      </c>
      <c r="BO7" s="654">
        <v>0</v>
      </c>
      <c r="BP7" s="654">
        <v>0</v>
      </c>
      <c r="BQ7" s="654">
        <v>0</v>
      </c>
      <c r="BR7" s="654">
        <v>0</v>
      </c>
      <c r="BS7" s="654">
        <v>0</v>
      </c>
      <c r="BT7" s="654">
        <v>0</v>
      </c>
      <c r="BU7" s="654">
        <v>0</v>
      </c>
      <c r="BV7" s="654">
        <v>0</v>
      </c>
      <c r="BW7" s="654">
        <v>0</v>
      </c>
      <c r="BX7" s="654">
        <v>0</v>
      </c>
      <c r="BY7" s="654">
        <v>0</v>
      </c>
      <c r="BZ7" s="654">
        <v>0</v>
      </c>
      <c r="CA7" s="654">
        <v>0</v>
      </c>
      <c r="CB7" s="654">
        <v>0</v>
      </c>
      <c r="CC7" s="654">
        <v>0</v>
      </c>
      <c r="CD7" s="654">
        <v>0</v>
      </c>
      <c r="CE7" s="654">
        <v>0</v>
      </c>
      <c r="CF7" s="654">
        <v>0</v>
      </c>
      <c r="CG7" s="654">
        <v>0</v>
      </c>
      <c r="CH7" s="654">
        <v>0</v>
      </c>
      <c r="CI7" s="654">
        <v>0</v>
      </c>
      <c r="CJ7" s="654">
        <v>0</v>
      </c>
      <c r="CK7" s="654">
        <v>0</v>
      </c>
      <c r="CL7" s="654">
        <v>0</v>
      </c>
      <c r="CM7" s="654">
        <v>0</v>
      </c>
      <c r="CN7" s="654">
        <v>0</v>
      </c>
      <c r="CO7" s="654">
        <v>0</v>
      </c>
      <c r="CP7" s="654">
        <v>0</v>
      </c>
      <c r="CQ7" s="654">
        <v>0</v>
      </c>
      <c r="CR7" s="654">
        <v>0</v>
      </c>
      <c r="CS7" s="654">
        <v>0</v>
      </c>
      <c r="CT7" s="654">
        <v>0</v>
      </c>
      <c r="CU7" s="654">
        <v>0</v>
      </c>
      <c r="CV7" s="654">
        <v>0</v>
      </c>
      <c r="CW7" s="654">
        <v>0</v>
      </c>
      <c r="CX7" s="654">
        <v>0</v>
      </c>
      <c r="CY7" s="654">
        <v>0</v>
      </c>
      <c r="CZ7" s="654">
        <v>0</v>
      </c>
      <c r="DA7" s="654">
        <v>0</v>
      </c>
      <c r="DB7" s="654">
        <v>0</v>
      </c>
      <c r="DC7" s="654">
        <v>0</v>
      </c>
      <c r="DD7" s="654">
        <v>0</v>
      </c>
      <c r="DE7" s="654">
        <v>0</v>
      </c>
      <c r="DF7" s="654">
        <v>0</v>
      </c>
      <c r="DG7" s="654">
        <v>0</v>
      </c>
      <c r="DH7" s="654">
        <v>0</v>
      </c>
      <c r="DI7" s="654">
        <v>0</v>
      </c>
      <c r="DJ7" s="654">
        <v>0</v>
      </c>
      <c r="DK7" s="654">
        <v>0</v>
      </c>
      <c r="DL7" s="654">
        <v>0</v>
      </c>
      <c r="DM7" s="654">
        <v>0</v>
      </c>
      <c r="DN7" s="654">
        <v>0</v>
      </c>
      <c r="DO7" s="654">
        <v>0</v>
      </c>
      <c r="DP7" s="654">
        <v>0</v>
      </c>
      <c r="DQ7" s="654">
        <v>0</v>
      </c>
      <c r="DR7" s="654">
        <v>0</v>
      </c>
      <c r="DS7" s="654">
        <v>0</v>
      </c>
      <c r="DT7" s="654">
        <v>0</v>
      </c>
      <c r="DU7" s="654">
        <v>0</v>
      </c>
      <c r="DV7" s="654">
        <v>0</v>
      </c>
      <c r="DW7" s="654">
        <v>0</v>
      </c>
      <c r="DX7" s="654">
        <v>0</v>
      </c>
      <c r="DY7" s="654">
        <v>0</v>
      </c>
      <c r="DZ7" s="654">
        <v>0</v>
      </c>
      <c r="EA7" s="654">
        <v>0</v>
      </c>
      <c r="EB7" s="654">
        <v>0</v>
      </c>
      <c r="EC7" s="654">
        <v>0</v>
      </c>
      <c r="ED7" s="654">
        <v>0</v>
      </c>
      <c r="EE7" s="654">
        <v>0</v>
      </c>
      <c r="EF7" s="654">
        <v>0</v>
      </c>
      <c r="EG7" s="654">
        <v>0</v>
      </c>
      <c r="EH7" s="654">
        <v>0</v>
      </c>
      <c r="EI7" s="654">
        <v>0</v>
      </c>
      <c r="EJ7" s="654">
        <v>0</v>
      </c>
      <c r="EK7" s="654">
        <v>0</v>
      </c>
      <c r="EL7" s="654">
        <v>0</v>
      </c>
      <c r="EM7" s="654">
        <v>0</v>
      </c>
      <c r="EN7" s="654">
        <v>0</v>
      </c>
      <c r="EO7" s="654">
        <v>0</v>
      </c>
      <c r="EP7" s="654">
        <v>0</v>
      </c>
      <c r="EQ7" s="654">
        <v>0</v>
      </c>
    </row>
    <row r="8" spans="1:148" ht="20.7" customHeight="1" x14ac:dyDescent="0.3">
      <c r="A8" s="347" t="s">
        <v>1668</v>
      </c>
      <c r="B8" s="346" t="s">
        <v>269</v>
      </c>
      <c r="C8" s="655">
        <v>0</v>
      </c>
      <c r="D8" s="655">
        <v>0</v>
      </c>
      <c r="E8" s="655">
        <v>0</v>
      </c>
      <c r="F8" s="655">
        <v>0</v>
      </c>
      <c r="G8" s="655">
        <v>0</v>
      </c>
      <c r="H8" s="655">
        <v>0</v>
      </c>
      <c r="I8" s="655">
        <v>0</v>
      </c>
      <c r="J8" s="799">
        <v>0</v>
      </c>
      <c r="K8" s="655">
        <v>0</v>
      </c>
      <c r="L8" s="655">
        <v>0</v>
      </c>
      <c r="M8" s="655">
        <v>0</v>
      </c>
      <c r="N8" s="655">
        <v>0</v>
      </c>
      <c r="O8" s="655">
        <v>0</v>
      </c>
      <c r="P8" s="655">
        <v>0</v>
      </c>
      <c r="Q8" s="799">
        <v>0</v>
      </c>
      <c r="R8" s="655">
        <v>0</v>
      </c>
      <c r="S8" s="655">
        <v>0</v>
      </c>
      <c r="T8" s="655">
        <v>0</v>
      </c>
      <c r="U8" s="655">
        <v>0</v>
      </c>
      <c r="V8" s="655">
        <v>0</v>
      </c>
      <c r="W8" s="799">
        <v>0</v>
      </c>
      <c r="X8" s="655">
        <v>0</v>
      </c>
      <c r="Y8" s="655">
        <v>0</v>
      </c>
      <c r="Z8" s="655">
        <v>0</v>
      </c>
      <c r="AA8" s="655">
        <v>0</v>
      </c>
      <c r="AB8" s="655">
        <v>0</v>
      </c>
      <c r="AC8" s="655">
        <v>0</v>
      </c>
      <c r="AD8" s="799">
        <v>0</v>
      </c>
      <c r="AE8" s="655">
        <v>0</v>
      </c>
      <c r="AF8" s="655">
        <v>0</v>
      </c>
      <c r="AG8" s="655">
        <v>0</v>
      </c>
      <c r="AH8" s="655">
        <v>0</v>
      </c>
      <c r="AI8" s="655">
        <v>0</v>
      </c>
      <c r="AJ8" s="655">
        <v>0</v>
      </c>
      <c r="AK8" s="799">
        <v>0</v>
      </c>
      <c r="AL8" s="655">
        <v>0</v>
      </c>
      <c r="AM8" s="655">
        <v>0</v>
      </c>
      <c r="AN8" s="655">
        <v>0</v>
      </c>
      <c r="AO8" s="655">
        <v>0</v>
      </c>
      <c r="AP8" s="655">
        <v>0</v>
      </c>
      <c r="AQ8" s="799">
        <v>0</v>
      </c>
      <c r="AR8" s="655">
        <v>0</v>
      </c>
      <c r="AS8" s="655">
        <v>0</v>
      </c>
      <c r="AT8" s="655">
        <v>0</v>
      </c>
      <c r="AU8" s="655">
        <v>0</v>
      </c>
      <c r="AV8" s="655">
        <v>0</v>
      </c>
      <c r="AW8" s="655">
        <v>0</v>
      </c>
      <c r="AX8" s="655">
        <v>0</v>
      </c>
      <c r="AY8" s="655">
        <v>0</v>
      </c>
      <c r="AZ8" s="655">
        <v>0</v>
      </c>
      <c r="BA8" s="655">
        <v>0</v>
      </c>
      <c r="BB8" s="655">
        <v>0</v>
      </c>
      <c r="BC8" s="655">
        <v>0</v>
      </c>
      <c r="BD8" s="655">
        <v>0</v>
      </c>
      <c r="BE8" s="799">
        <v>0</v>
      </c>
      <c r="BF8" s="655">
        <v>0</v>
      </c>
      <c r="BG8" s="655">
        <v>0</v>
      </c>
      <c r="BH8" s="655">
        <v>0</v>
      </c>
      <c r="BI8" s="655">
        <v>0</v>
      </c>
      <c r="BJ8" s="655">
        <v>0</v>
      </c>
      <c r="BK8" s="655">
        <v>0</v>
      </c>
      <c r="BL8" s="655">
        <v>0</v>
      </c>
      <c r="BM8" s="655">
        <v>0</v>
      </c>
      <c r="BN8" s="655">
        <v>0</v>
      </c>
      <c r="BO8" s="655">
        <v>0</v>
      </c>
      <c r="BP8" s="655">
        <v>0</v>
      </c>
      <c r="BQ8" s="655">
        <v>0</v>
      </c>
      <c r="BR8" s="655">
        <v>0</v>
      </c>
      <c r="BS8" s="655">
        <v>0</v>
      </c>
      <c r="BT8" s="655">
        <v>0</v>
      </c>
      <c r="BU8" s="655">
        <v>0</v>
      </c>
      <c r="BV8" s="655">
        <v>0</v>
      </c>
      <c r="BW8" s="655">
        <v>0</v>
      </c>
      <c r="BX8" s="655">
        <v>0</v>
      </c>
      <c r="BY8" s="655">
        <v>0</v>
      </c>
      <c r="BZ8" s="655">
        <v>0</v>
      </c>
      <c r="CA8" s="655">
        <v>0</v>
      </c>
      <c r="CB8" s="655">
        <v>0</v>
      </c>
      <c r="CC8" s="655">
        <v>0</v>
      </c>
      <c r="CD8" s="655">
        <v>0</v>
      </c>
      <c r="CE8" s="655">
        <v>0</v>
      </c>
      <c r="CF8" s="655">
        <v>0</v>
      </c>
      <c r="CG8" s="655">
        <v>0</v>
      </c>
      <c r="CH8" s="655">
        <v>0</v>
      </c>
      <c r="CI8" s="655">
        <v>0</v>
      </c>
      <c r="CJ8" s="655">
        <v>0</v>
      </c>
      <c r="CK8" s="655">
        <v>0</v>
      </c>
      <c r="CL8" s="655">
        <v>0</v>
      </c>
      <c r="CM8" s="655">
        <v>0</v>
      </c>
      <c r="CN8" s="655">
        <v>0</v>
      </c>
      <c r="CO8" s="655">
        <v>0</v>
      </c>
      <c r="CP8" s="655">
        <v>0</v>
      </c>
      <c r="CQ8" s="655">
        <v>0</v>
      </c>
      <c r="CR8" s="655">
        <v>0</v>
      </c>
      <c r="CS8" s="655">
        <v>0</v>
      </c>
      <c r="CT8" s="655">
        <v>0</v>
      </c>
      <c r="CU8" s="655">
        <v>0</v>
      </c>
      <c r="CV8" s="655">
        <v>0</v>
      </c>
      <c r="CW8" s="655">
        <v>0</v>
      </c>
      <c r="CX8" s="655">
        <v>0</v>
      </c>
      <c r="CY8" s="655">
        <v>0</v>
      </c>
      <c r="CZ8" s="655">
        <v>0</v>
      </c>
      <c r="DA8" s="655">
        <v>0</v>
      </c>
      <c r="DB8" s="655">
        <v>0</v>
      </c>
      <c r="DC8" s="655">
        <v>0</v>
      </c>
      <c r="DD8" s="655">
        <v>0</v>
      </c>
      <c r="DE8" s="655">
        <v>0</v>
      </c>
      <c r="DF8" s="655">
        <v>0</v>
      </c>
      <c r="DG8" s="655">
        <v>0</v>
      </c>
      <c r="DH8" s="655">
        <v>0</v>
      </c>
      <c r="DI8" s="655">
        <v>0</v>
      </c>
      <c r="DJ8" s="655">
        <v>0</v>
      </c>
      <c r="DK8" s="655">
        <v>0</v>
      </c>
      <c r="DL8" s="655">
        <v>0</v>
      </c>
      <c r="DM8" s="655">
        <v>0</v>
      </c>
      <c r="DN8" s="655">
        <v>0</v>
      </c>
      <c r="DO8" s="655">
        <v>0</v>
      </c>
      <c r="DP8" s="655">
        <v>0</v>
      </c>
      <c r="DQ8" s="655">
        <v>0</v>
      </c>
      <c r="DR8" s="655">
        <v>0</v>
      </c>
      <c r="DS8" s="655">
        <v>0</v>
      </c>
      <c r="DT8" s="655">
        <v>0</v>
      </c>
      <c r="DU8" s="655">
        <v>0</v>
      </c>
      <c r="DV8" s="655">
        <v>0</v>
      </c>
      <c r="DW8" s="655">
        <v>0</v>
      </c>
      <c r="DX8" s="655">
        <v>0</v>
      </c>
      <c r="DY8" s="655">
        <v>0</v>
      </c>
      <c r="DZ8" s="655">
        <v>0</v>
      </c>
      <c r="EA8" s="655">
        <v>0</v>
      </c>
      <c r="EB8" s="655">
        <v>0</v>
      </c>
      <c r="EC8" s="655">
        <v>0</v>
      </c>
      <c r="ED8" s="655">
        <v>0</v>
      </c>
      <c r="EE8" s="655">
        <v>0</v>
      </c>
      <c r="EF8" s="655">
        <v>0</v>
      </c>
      <c r="EG8" s="655">
        <v>0</v>
      </c>
      <c r="EH8" s="655">
        <v>0</v>
      </c>
      <c r="EI8" s="655">
        <v>0</v>
      </c>
      <c r="EJ8" s="655">
        <v>0</v>
      </c>
      <c r="EK8" s="655">
        <v>0</v>
      </c>
      <c r="EL8" s="655">
        <v>0</v>
      </c>
      <c r="EM8" s="655">
        <v>0</v>
      </c>
      <c r="EN8" s="655">
        <v>0</v>
      </c>
      <c r="EO8" s="655">
        <v>0</v>
      </c>
      <c r="EP8" s="655">
        <v>0</v>
      </c>
      <c r="EQ8" s="655">
        <v>0</v>
      </c>
    </row>
    <row r="9" spans="1:148" ht="13.95" customHeight="1" x14ac:dyDescent="0.3">
      <c r="A9" s="347" t="s">
        <v>1669</v>
      </c>
      <c r="B9" s="346" t="s">
        <v>269</v>
      </c>
      <c r="C9" s="671">
        <f>C11+C13</f>
        <v>12112364.949999999</v>
      </c>
      <c r="D9" s="671">
        <f t="shared" ref="D9:BO9" si="0">D11+D13</f>
        <v>0</v>
      </c>
      <c r="E9" s="671">
        <f t="shared" si="0"/>
        <v>0</v>
      </c>
      <c r="F9" s="671">
        <f t="shared" si="0"/>
        <v>0</v>
      </c>
      <c r="G9" s="671">
        <f t="shared" si="0"/>
        <v>0</v>
      </c>
      <c r="H9" s="671">
        <f t="shared" si="0"/>
        <v>0</v>
      </c>
      <c r="I9" s="671">
        <f t="shared" si="0"/>
        <v>0</v>
      </c>
      <c r="J9" s="800">
        <f t="shared" si="0"/>
        <v>720212.8</v>
      </c>
      <c r="K9" s="671">
        <f t="shared" si="0"/>
        <v>0</v>
      </c>
      <c r="L9" s="671">
        <f t="shared" si="0"/>
        <v>0</v>
      </c>
      <c r="M9" s="671">
        <f t="shared" si="0"/>
        <v>0</v>
      </c>
      <c r="N9" s="671">
        <f t="shared" si="0"/>
        <v>0</v>
      </c>
      <c r="O9" s="671">
        <f t="shared" si="0"/>
        <v>0</v>
      </c>
      <c r="P9" s="671">
        <f t="shared" si="0"/>
        <v>0</v>
      </c>
      <c r="Q9" s="800">
        <f t="shared" si="0"/>
        <v>55598</v>
      </c>
      <c r="R9" s="671">
        <f t="shared" si="0"/>
        <v>0</v>
      </c>
      <c r="S9" s="671">
        <f t="shared" si="0"/>
        <v>0</v>
      </c>
      <c r="T9" s="671">
        <f t="shared" si="0"/>
        <v>0</v>
      </c>
      <c r="U9" s="671">
        <f t="shared" si="0"/>
        <v>0</v>
      </c>
      <c r="V9" s="671">
        <f t="shared" si="0"/>
        <v>0</v>
      </c>
      <c r="W9" s="800">
        <f t="shared" si="0"/>
        <v>59054.799999999996</v>
      </c>
      <c r="X9" s="671">
        <f t="shared" si="0"/>
        <v>0</v>
      </c>
      <c r="Y9" s="671">
        <f t="shared" si="0"/>
        <v>0</v>
      </c>
      <c r="Z9" s="671">
        <f t="shared" si="0"/>
        <v>0</v>
      </c>
      <c r="AA9" s="671">
        <f t="shared" si="0"/>
        <v>0</v>
      </c>
      <c r="AB9" s="671">
        <f t="shared" si="0"/>
        <v>0</v>
      </c>
      <c r="AC9" s="671">
        <f t="shared" si="0"/>
        <v>0</v>
      </c>
      <c r="AD9" s="800">
        <f t="shared" si="0"/>
        <v>917742.95</v>
      </c>
      <c r="AE9" s="671">
        <f t="shared" si="0"/>
        <v>0</v>
      </c>
      <c r="AF9" s="671">
        <f t="shared" si="0"/>
        <v>0</v>
      </c>
      <c r="AG9" s="671">
        <f t="shared" si="0"/>
        <v>0</v>
      </c>
      <c r="AH9" s="671">
        <f t="shared" si="0"/>
        <v>0</v>
      </c>
      <c r="AI9" s="671">
        <f t="shared" si="0"/>
        <v>0</v>
      </c>
      <c r="AJ9" s="671">
        <f t="shared" si="0"/>
        <v>0</v>
      </c>
      <c r="AK9" s="800">
        <f t="shared" si="0"/>
        <v>370726</v>
      </c>
      <c r="AL9" s="671">
        <f t="shared" si="0"/>
        <v>0</v>
      </c>
      <c r="AM9" s="671">
        <f t="shared" si="0"/>
        <v>0</v>
      </c>
      <c r="AN9" s="671">
        <f t="shared" si="0"/>
        <v>0</v>
      </c>
      <c r="AO9" s="671">
        <f t="shared" si="0"/>
        <v>0</v>
      </c>
      <c r="AP9" s="671">
        <f t="shared" si="0"/>
        <v>0</v>
      </c>
      <c r="AQ9" s="800">
        <f t="shared" si="0"/>
        <v>606549.5</v>
      </c>
      <c r="AR9" s="671">
        <f t="shared" si="0"/>
        <v>0</v>
      </c>
      <c r="AS9" s="671">
        <f t="shared" si="0"/>
        <v>0</v>
      </c>
      <c r="AT9" s="671">
        <f t="shared" si="0"/>
        <v>0</v>
      </c>
      <c r="AU9" s="671">
        <f t="shared" si="0"/>
        <v>0</v>
      </c>
      <c r="AV9" s="671">
        <f t="shared" si="0"/>
        <v>0</v>
      </c>
      <c r="AW9" s="671">
        <f t="shared" si="0"/>
        <v>0</v>
      </c>
      <c r="AX9" s="671">
        <f t="shared" si="0"/>
        <v>192009.31</v>
      </c>
      <c r="AY9" s="671">
        <f t="shared" si="0"/>
        <v>0</v>
      </c>
      <c r="AZ9" s="671">
        <f t="shared" si="0"/>
        <v>0</v>
      </c>
      <c r="BA9" s="671">
        <f t="shared" si="0"/>
        <v>0</v>
      </c>
      <c r="BB9" s="671">
        <f t="shared" si="0"/>
        <v>0</v>
      </c>
      <c r="BC9" s="671">
        <f t="shared" si="0"/>
        <v>0</v>
      </c>
      <c r="BD9" s="671">
        <f t="shared" si="0"/>
        <v>0</v>
      </c>
      <c r="BE9" s="800">
        <f t="shared" si="0"/>
        <v>928876.84000000008</v>
      </c>
      <c r="BF9" s="671">
        <f t="shared" si="0"/>
        <v>0</v>
      </c>
      <c r="BG9" s="671">
        <f t="shared" si="0"/>
        <v>0</v>
      </c>
      <c r="BH9" s="671">
        <f t="shared" si="0"/>
        <v>0</v>
      </c>
      <c r="BI9" s="671">
        <f t="shared" si="0"/>
        <v>0</v>
      </c>
      <c r="BJ9" s="671">
        <f t="shared" si="0"/>
        <v>0</v>
      </c>
      <c r="BK9" s="671">
        <f t="shared" si="0"/>
        <v>0</v>
      </c>
      <c r="BL9" s="671">
        <f t="shared" si="0"/>
        <v>591206.67999999993</v>
      </c>
      <c r="BM9" s="671">
        <f t="shared" si="0"/>
        <v>0</v>
      </c>
      <c r="BN9" s="671">
        <f t="shared" si="0"/>
        <v>0</v>
      </c>
      <c r="BO9" s="671">
        <f t="shared" si="0"/>
        <v>0</v>
      </c>
      <c r="BP9" s="671">
        <f t="shared" ref="BP9:EA9" si="1">BP11+BP13</f>
        <v>0</v>
      </c>
      <c r="BQ9" s="671">
        <f t="shared" si="1"/>
        <v>0</v>
      </c>
      <c r="BR9" s="671">
        <f t="shared" si="1"/>
        <v>0</v>
      </c>
      <c r="BS9" s="671">
        <f t="shared" si="1"/>
        <v>308753.48</v>
      </c>
      <c r="BT9" s="671">
        <f t="shared" si="1"/>
        <v>0</v>
      </c>
      <c r="BU9" s="671">
        <f t="shared" si="1"/>
        <v>0</v>
      </c>
      <c r="BV9" s="671">
        <f t="shared" si="1"/>
        <v>0</v>
      </c>
      <c r="BW9" s="671">
        <f t="shared" si="1"/>
        <v>0</v>
      </c>
      <c r="BX9" s="671">
        <f t="shared" si="1"/>
        <v>0</v>
      </c>
      <c r="BY9" s="671">
        <f t="shared" si="1"/>
        <v>0</v>
      </c>
      <c r="BZ9" s="671">
        <f t="shared" si="1"/>
        <v>379862</v>
      </c>
      <c r="CA9" s="671">
        <f t="shared" si="1"/>
        <v>0</v>
      </c>
      <c r="CB9" s="671">
        <f t="shared" si="1"/>
        <v>0</v>
      </c>
      <c r="CC9" s="671">
        <f t="shared" si="1"/>
        <v>0</v>
      </c>
      <c r="CD9" s="671">
        <f t="shared" si="1"/>
        <v>0</v>
      </c>
      <c r="CE9" s="671">
        <f t="shared" si="1"/>
        <v>0</v>
      </c>
      <c r="CF9" s="671">
        <f t="shared" si="1"/>
        <v>0</v>
      </c>
      <c r="CG9" s="671">
        <f t="shared" si="1"/>
        <v>748524.89</v>
      </c>
      <c r="CH9" s="671">
        <f t="shared" si="1"/>
        <v>0</v>
      </c>
      <c r="CI9" s="671">
        <f t="shared" si="1"/>
        <v>0</v>
      </c>
      <c r="CJ9" s="671">
        <f t="shared" si="1"/>
        <v>0</v>
      </c>
      <c r="CK9" s="671">
        <f t="shared" si="1"/>
        <v>0</v>
      </c>
      <c r="CL9" s="671">
        <f t="shared" si="1"/>
        <v>0</v>
      </c>
      <c r="CM9" s="671">
        <f t="shared" si="1"/>
        <v>0</v>
      </c>
      <c r="CN9" s="671">
        <f t="shared" si="1"/>
        <v>470907.02</v>
      </c>
      <c r="CO9" s="671">
        <f t="shared" si="1"/>
        <v>0</v>
      </c>
      <c r="CP9" s="671">
        <f t="shared" si="1"/>
        <v>0</v>
      </c>
      <c r="CQ9" s="671">
        <f t="shared" si="1"/>
        <v>0</v>
      </c>
      <c r="CR9" s="671">
        <f t="shared" si="1"/>
        <v>0</v>
      </c>
      <c r="CS9" s="671">
        <f t="shared" si="1"/>
        <v>0</v>
      </c>
      <c r="CT9" s="671">
        <f t="shared" si="1"/>
        <v>0</v>
      </c>
      <c r="CU9" s="671">
        <f t="shared" si="1"/>
        <v>200511</v>
      </c>
      <c r="CV9" s="671">
        <f t="shared" si="1"/>
        <v>0</v>
      </c>
      <c r="CW9" s="671">
        <f t="shared" si="1"/>
        <v>0</v>
      </c>
      <c r="CX9" s="671">
        <f t="shared" si="1"/>
        <v>0</v>
      </c>
      <c r="CY9" s="671">
        <f t="shared" si="1"/>
        <v>0</v>
      </c>
      <c r="CZ9" s="671">
        <f t="shared" si="1"/>
        <v>0</v>
      </c>
      <c r="DA9" s="671">
        <f t="shared" si="1"/>
        <v>0</v>
      </c>
      <c r="DB9" s="671">
        <f t="shared" si="1"/>
        <v>526219.30000000005</v>
      </c>
      <c r="DC9" s="671">
        <f t="shared" si="1"/>
        <v>0</v>
      </c>
      <c r="DD9" s="671">
        <f t="shared" si="1"/>
        <v>0</v>
      </c>
      <c r="DE9" s="671">
        <f t="shared" si="1"/>
        <v>0</v>
      </c>
      <c r="DF9" s="671">
        <f t="shared" si="1"/>
        <v>0</v>
      </c>
      <c r="DG9" s="671">
        <f t="shared" si="1"/>
        <v>0</v>
      </c>
      <c r="DH9" s="671">
        <f t="shared" si="1"/>
        <v>0</v>
      </c>
      <c r="DI9" s="671">
        <f t="shared" si="1"/>
        <v>1519522.88</v>
      </c>
      <c r="DJ9" s="671">
        <f t="shared" si="1"/>
        <v>0</v>
      </c>
      <c r="DK9" s="671">
        <f t="shared" si="1"/>
        <v>0</v>
      </c>
      <c r="DL9" s="671">
        <f t="shared" si="1"/>
        <v>0</v>
      </c>
      <c r="DM9" s="671">
        <f t="shared" si="1"/>
        <v>0</v>
      </c>
      <c r="DN9" s="671">
        <f t="shared" si="1"/>
        <v>0</v>
      </c>
      <c r="DO9" s="671">
        <f t="shared" si="1"/>
        <v>0</v>
      </c>
      <c r="DP9" s="671">
        <f t="shared" si="1"/>
        <v>388352.93</v>
      </c>
      <c r="DQ9" s="671">
        <f t="shared" si="1"/>
        <v>0</v>
      </c>
      <c r="DR9" s="671">
        <f t="shared" si="1"/>
        <v>0</v>
      </c>
      <c r="DS9" s="671">
        <f t="shared" si="1"/>
        <v>0</v>
      </c>
      <c r="DT9" s="671">
        <f t="shared" si="1"/>
        <v>0</v>
      </c>
      <c r="DU9" s="671">
        <f t="shared" si="1"/>
        <v>0</v>
      </c>
      <c r="DV9" s="671">
        <f t="shared" si="1"/>
        <v>0</v>
      </c>
      <c r="DW9" s="671">
        <f t="shared" si="1"/>
        <v>511343.28</v>
      </c>
      <c r="DX9" s="671">
        <f t="shared" si="1"/>
        <v>0</v>
      </c>
      <c r="DY9" s="671">
        <f t="shared" si="1"/>
        <v>0</v>
      </c>
      <c r="DZ9" s="671">
        <f t="shared" si="1"/>
        <v>0</v>
      </c>
      <c r="EA9" s="671">
        <f t="shared" si="1"/>
        <v>0</v>
      </c>
      <c r="EB9" s="671">
        <f t="shared" ref="EB9:EQ9" si="2">EB11+EB13</f>
        <v>0</v>
      </c>
      <c r="EC9" s="671">
        <f t="shared" si="2"/>
        <v>0</v>
      </c>
      <c r="ED9" s="671">
        <f t="shared" si="2"/>
        <v>1519569.5</v>
      </c>
      <c r="EE9" s="671">
        <f t="shared" si="2"/>
        <v>0</v>
      </c>
      <c r="EF9" s="671">
        <f t="shared" si="2"/>
        <v>0</v>
      </c>
      <c r="EG9" s="671">
        <f t="shared" si="2"/>
        <v>0</v>
      </c>
      <c r="EH9" s="671">
        <f t="shared" si="2"/>
        <v>0</v>
      </c>
      <c r="EI9" s="671">
        <f t="shared" si="2"/>
        <v>0</v>
      </c>
      <c r="EJ9" s="671">
        <f t="shared" si="2"/>
        <v>0</v>
      </c>
      <c r="EK9" s="671">
        <f t="shared" si="2"/>
        <v>1099680.2000000002</v>
      </c>
      <c r="EL9" s="671">
        <f t="shared" si="2"/>
        <v>0</v>
      </c>
      <c r="EM9" s="671">
        <f t="shared" si="2"/>
        <v>0</v>
      </c>
      <c r="EN9" s="671">
        <f t="shared" si="2"/>
        <v>0</v>
      </c>
      <c r="EO9" s="671">
        <f t="shared" si="2"/>
        <v>0</v>
      </c>
      <c r="EP9" s="671">
        <f t="shared" si="2"/>
        <v>0</v>
      </c>
      <c r="EQ9" s="671">
        <f t="shared" si="2"/>
        <v>0</v>
      </c>
    </row>
    <row r="10" spans="1:148" ht="13.95" customHeight="1" x14ac:dyDescent="0.3">
      <c r="A10" s="347" t="s">
        <v>1670</v>
      </c>
      <c r="B10" s="346" t="s">
        <v>269</v>
      </c>
      <c r="C10" s="450">
        <f>C15+C36+C48+C55</f>
        <v>3038138</v>
      </c>
      <c r="D10" s="450">
        <f t="shared" ref="D10:BO10" si="3">D15+D36+D48+D55</f>
        <v>0</v>
      </c>
      <c r="E10" s="450">
        <f t="shared" si="3"/>
        <v>0</v>
      </c>
      <c r="F10" s="450">
        <f t="shared" si="3"/>
        <v>150044976</v>
      </c>
      <c r="G10" s="450">
        <f t="shared" si="3"/>
        <v>0</v>
      </c>
      <c r="H10" s="450">
        <f t="shared" si="3"/>
        <v>0</v>
      </c>
      <c r="I10" s="450">
        <f t="shared" si="3"/>
        <v>145609893</v>
      </c>
      <c r="J10" s="451">
        <f t="shared" si="3"/>
        <v>230077</v>
      </c>
      <c r="K10" s="450">
        <f t="shared" si="3"/>
        <v>0</v>
      </c>
      <c r="L10" s="450">
        <f t="shared" si="3"/>
        <v>0</v>
      </c>
      <c r="M10" s="450">
        <f t="shared" si="3"/>
        <v>14262642</v>
      </c>
      <c r="N10" s="450">
        <f t="shared" si="3"/>
        <v>0</v>
      </c>
      <c r="O10" s="450">
        <f t="shared" si="3"/>
        <v>0</v>
      </c>
      <c r="P10" s="450">
        <f t="shared" si="3"/>
        <v>14173508</v>
      </c>
      <c r="Q10" s="451">
        <f t="shared" si="3"/>
        <v>175</v>
      </c>
      <c r="R10" s="450">
        <f t="shared" si="3"/>
        <v>0</v>
      </c>
      <c r="S10" s="450">
        <f t="shared" si="3"/>
        <v>35650</v>
      </c>
      <c r="T10" s="450">
        <f t="shared" si="3"/>
        <v>0</v>
      </c>
      <c r="U10" s="450">
        <f t="shared" si="3"/>
        <v>0</v>
      </c>
      <c r="V10" s="450">
        <f t="shared" si="3"/>
        <v>33525</v>
      </c>
      <c r="W10" s="451">
        <f t="shared" si="3"/>
        <v>1341</v>
      </c>
      <c r="X10" s="450">
        <f t="shared" si="3"/>
        <v>0</v>
      </c>
      <c r="Y10" s="450">
        <f t="shared" si="3"/>
        <v>0</v>
      </c>
      <c r="Z10" s="450">
        <f t="shared" si="3"/>
        <v>115514</v>
      </c>
      <c r="AA10" s="450">
        <f t="shared" si="3"/>
        <v>0</v>
      </c>
      <c r="AB10" s="450">
        <f t="shared" si="3"/>
        <v>0</v>
      </c>
      <c r="AC10" s="450">
        <f t="shared" si="3"/>
        <v>115124</v>
      </c>
      <c r="AD10" s="451">
        <f t="shared" si="3"/>
        <v>246811</v>
      </c>
      <c r="AE10" s="450">
        <f t="shared" si="3"/>
        <v>0</v>
      </c>
      <c r="AF10" s="450">
        <f t="shared" si="3"/>
        <v>0</v>
      </c>
      <c r="AG10" s="450">
        <f t="shared" si="3"/>
        <v>14384695</v>
      </c>
      <c r="AH10" s="450">
        <f t="shared" si="3"/>
        <v>0</v>
      </c>
      <c r="AI10" s="450">
        <f t="shared" si="3"/>
        <v>0</v>
      </c>
      <c r="AJ10" s="450">
        <f t="shared" si="3"/>
        <v>14277178</v>
      </c>
      <c r="AK10" s="451">
        <f t="shared" si="3"/>
        <v>932</v>
      </c>
      <c r="AL10" s="450">
        <f t="shared" si="3"/>
        <v>0</v>
      </c>
      <c r="AM10" s="450">
        <f t="shared" si="3"/>
        <v>153273</v>
      </c>
      <c r="AN10" s="450">
        <f t="shared" si="3"/>
        <v>0</v>
      </c>
      <c r="AO10" s="450">
        <f t="shared" si="3"/>
        <v>0</v>
      </c>
      <c r="AP10" s="450">
        <f t="shared" si="3"/>
        <v>153273</v>
      </c>
      <c r="AQ10" s="451">
        <f t="shared" si="3"/>
        <v>287902</v>
      </c>
      <c r="AR10" s="450">
        <f t="shared" si="3"/>
        <v>0</v>
      </c>
      <c r="AS10" s="450">
        <f t="shared" si="3"/>
        <v>0</v>
      </c>
      <c r="AT10" s="450">
        <f t="shared" si="3"/>
        <v>20638131</v>
      </c>
      <c r="AU10" s="450">
        <f t="shared" si="3"/>
        <v>0</v>
      </c>
      <c r="AV10" s="450">
        <f t="shared" si="3"/>
        <v>0</v>
      </c>
      <c r="AW10" s="450">
        <f t="shared" si="3"/>
        <v>19440415</v>
      </c>
      <c r="AX10" s="450">
        <f t="shared" si="3"/>
        <v>83853</v>
      </c>
      <c r="AY10" s="450">
        <f t="shared" si="3"/>
        <v>0</v>
      </c>
      <c r="AZ10" s="450">
        <f t="shared" si="3"/>
        <v>0</v>
      </c>
      <c r="BA10" s="450">
        <f t="shared" si="3"/>
        <v>4293141</v>
      </c>
      <c r="BB10" s="450">
        <f t="shared" si="3"/>
        <v>0</v>
      </c>
      <c r="BC10" s="450">
        <f t="shared" si="3"/>
        <v>0</v>
      </c>
      <c r="BD10" s="450">
        <f t="shared" si="3"/>
        <v>4246155</v>
      </c>
      <c r="BE10" s="451">
        <f t="shared" si="3"/>
        <v>341187</v>
      </c>
      <c r="BF10" s="450">
        <f t="shared" si="3"/>
        <v>0</v>
      </c>
      <c r="BG10" s="450">
        <f t="shared" si="3"/>
        <v>0</v>
      </c>
      <c r="BH10" s="450">
        <f t="shared" si="3"/>
        <v>31556235</v>
      </c>
      <c r="BI10" s="450">
        <f t="shared" si="3"/>
        <v>0</v>
      </c>
      <c r="BJ10" s="450">
        <f t="shared" si="3"/>
        <v>0</v>
      </c>
      <c r="BK10" s="450">
        <f t="shared" si="3"/>
        <v>30125217</v>
      </c>
      <c r="BL10" s="450">
        <f t="shared" si="3"/>
        <v>176620</v>
      </c>
      <c r="BM10" s="450">
        <f t="shared" si="3"/>
        <v>0</v>
      </c>
      <c r="BN10" s="450">
        <f t="shared" si="3"/>
        <v>0</v>
      </c>
      <c r="BO10" s="450">
        <f t="shared" si="3"/>
        <v>5303530</v>
      </c>
      <c r="BP10" s="450">
        <f t="shared" ref="BP10:EA10" si="4">BP15+BP36+BP48+BP55</f>
        <v>0</v>
      </c>
      <c r="BQ10" s="450">
        <f t="shared" si="4"/>
        <v>0</v>
      </c>
      <c r="BR10" s="450">
        <f t="shared" si="4"/>
        <v>5245589</v>
      </c>
      <c r="BS10" s="450">
        <f t="shared" si="4"/>
        <v>112390</v>
      </c>
      <c r="BT10" s="450">
        <f t="shared" si="4"/>
        <v>0</v>
      </c>
      <c r="BU10" s="450">
        <f t="shared" si="4"/>
        <v>0</v>
      </c>
      <c r="BV10" s="450">
        <f t="shared" si="4"/>
        <v>4527569</v>
      </c>
      <c r="BW10" s="450">
        <f t="shared" si="4"/>
        <v>0</v>
      </c>
      <c r="BX10" s="450">
        <f t="shared" si="4"/>
        <v>0</v>
      </c>
      <c r="BY10" s="450">
        <f t="shared" si="4"/>
        <v>4526587</v>
      </c>
      <c r="BZ10" s="450">
        <f t="shared" si="4"/>
        <v>195729</v>
      </c>
      <c r="CA10" s="450">
        <f t="shared" si="4"/>
        <v>0</v>
      </c>
      <c r="CB10" s="450">
        <f t="shared" si="4"/>
        <v>0</v>
      </c>
      <c r="CC10" s="450">
        <f t="shared" si="4"/>
        <v>7343343</v>
      </c>
      <c r="CD10" s="450">
        <f t="shared" si="4"/>
        <v>0</v>
      </c>
      <c r="CE10" s="450">
        <f t="shared" si="4"/>
        <v>0</v>
      </c>
      <c r="CF10" s="450">
        <f t="shared" si="4"/>
        <v>7179865</v>
      </c>
      <c r="CG10" s="450">
        <f t="shared" si="4"/>
        <v>81668</v>
      </c>
      <c r="CH10" s="450">
        <f t="shared" si="4"/>
        <v>0</v>
      </c>
      <c r="CI10" s="450">
        <f t="shared" si="4"/>
        <v>0</v>
      </c>
      <c r="CJ10" s="450">
        <f t="shared" si="4"/>
        <v>3290291</v>
      </c>
      <c r="CK10" s="450">
        <f t="shared" si="4"/>
        <v>0</v>
      </c>
      <c r="CL10" s="450">
        <f t="shared" si="4"/>
        <v>0</v>
      </c>
      <c r="CM10" s="450">
        <f t="shared" si="4"/>
        <v>2795295</v>
      </c>
      <c r="CN10" s="450">
        <f t="shared" si="4"/>
        <v>96347</v>
      </c>
      <c r="CO10" s="450">
        <f t="shared" si="4"/>
        <v>0</v>
      </c>
      <c r="CP10" s="450">
        <f t="shared" si="4"/>
        <v>0</v>
      </c>
      <c r="CQ10" s="450">
        <f t="shared" si="4"/>
        <v>4947646</v>
      </c>
      <c r="CR10" s="450">
        <f t="shared" si="4"/>
        <v>0</v>
      </c>
      <c r="CS10" s="450">
        <f t="shared" si="4"/>
        <v>0</v>
      </c>
      <c r="CT10" s="450">
        <f t="shared" si="4"/>
        <v>4931286</v>
      </c>
      <c r="CU10" s="450">
        <f t="shared" si="4"/>
        <v>71445</v>
      </c>
      <c r="CV10" s="450">
        <f t="shared" si="4"/>
        <v>0</v>
      </c>
      <c r="CW10" s="450">
        <f t="shared" si="4"/>
        <v>0</v>
      </c>
      <c r="CX10" s="450">
        <f t="shared" si="4"/>
        <v>2479485</v>
      </c>
      <c r="CY10" s="450">
        <f t="shared" si="4"/>
        <v>0</v>
      </c>
      <c r="CZ10" s="450">
        <f t="shared" si="4"/>
        <v>0</v>
      </c>
      <c r="DA10" s="450">
        <f t="shared" si="4"/>
        <v>2479485</v>
      </c>
      <c r="DB10" s="450">
        <f t="shared" si="4"/>
        <v>109420</v>
      </c>
      <c r="DC10" s="450">
        <f t="shared" si="4"/>
        <v>0</v>
      </c>
      <c r="DD10" s="450">
        <f t="shared" si="4"/>
        <v>0</v>
      </c>
      <c r="DE10" s="450">
        <f t="shared" si="4"/>
        <v>5443984</v>
      </c>
      <c r="DF10" s="450">
        <f t="shared" si="4"/>
        <v>0</v>
      </c>
      <c r="DG10" s="450">
        <f t="shared" si="4"/>
        <v>0</v>
      </c>
      <c r="DH10" s="450">
        <f t="shared" si="4"/>
        <v>5355289</v>
      </c>
      <c r="DI10" s="450">
        <f t="shared" si="4"/>
        <v>428171</v>
      </c>
      <c r="DJ10" s="450">
        <f t="shared" si="4"/>
        <v>0</v>
      </c>
      <c r="DK10" s="450">
        <f t="shared" si="4"/>
        <v>0</v>
      </c>
      <c r="DL10" s="450">
        <f t="shared" si="4"/>
        <v>12574472</v>
      </c>
      <c r="DM10" s="450">
        <f t="shared" si="4"/>
        <v>0</v>
      </c>
      <c r="DN10" s="450">
        <f t="shared" si="4"/>
        <v>0</v>
      </c>
      <c r="DO10" s="450">
        <f t="shared" si="4"/>
        <v>12111498</v>
      </c>
      <c r="DP10" s="450">
        <f t="shared" si="4"/>
        <v>160016</v>
      </c>
      <c r="DQ10" s="450">
        <f t="shared" si="4"/>
        <v>0</v>
      </c>
      <c r="DR10" s="450">
        <f t="shared" si="4"/>
        <v>0</v>
      </c>
      <c r="DS10" s="450">
        <f t="shared" si="4"/>
        <v>4296036</v>
      </c>
      <c r="DT10" s="450">
        <f t="shared" si="4"/>
        <v>0</v>
      </c>
      <c r="DU10" s="450">
        <f t="shared" si="4"/>
        <v>0</v>
      </c>
      <c r="DV10" s="450">
        <f t="shared" si="4"/>
        <v>4272965</v>
      </c>
      <c r="DW10" s="450">
        <f t="shared" si="4"/>
        <v>67050</v>
      </c>
      <c r="DX10" s="450">
        <f t="shared" si="4"/>
        <v>0</v>
      </c>
      <c r="DY10" s="450">
        <f t="shared" si="4"/>
        <v>0</v>
      </c>
      <c r="DZ10" s="450">
        <f t="shared" si="4"/>
        <v>3037421</v>
      </c>
      <c r="EA10" s="450">
        <f t="shared" si="4"/>
        <v>0</v>
      </c>
      <c r="EB10" s="450">
        <f t="shared" ref="EB10:EQ10" si="5">EB15+EB36+EB48+EB55</f>
        <v>0</v>
      </c>
      <c r="EC10" s="450">
        <f t="shared" si="5"/>
        <v>2949343</v>
      </c>
      <c r="ED10" s="450">
        <f t="shared" si="5"/>
        <v>296925</v>
      </c>
      <c r="EE10" s="450">
        <f t="shared" si="5"/>
        <v>0</v>
      </c>
      <c r="EF10" s="450">
        <f t="shared" si="5"/>
        <v>0</v>
      </c>
      <c r="EG10" s="450">
        <f t="shared" si="5"/>
        <v>9682169</v>
      </c>
      <c r="EH10" s="450">
        <f t="shared" si="5"/>
        <v>0</v>
      </c>
      <c r="EI10" s="450">
        <f t="shared" si="5"/>
        <v>0</v>
      </c>
      <c r="EJ10" s="450">
        <f t="shared" si="5"/>
        <v>9536548</v>
      </c>
      <c r="EK10" s="450">
        <f t="shared" si="5"/>
        <v>50078</v>
      </c>
      <c r="EL10" s="450">
        <f t="shared" si="5"/>
        <v>0</v>
      </c>
      <c r="EM10" s="450">
        <f t="shared" si="5"/>
        <v>0</v>
      </c>
      <c r="EN10" s="450">
        <f t="shared" si="5"/>
        <v>1679749</v>
      </c>
      <c r="EO10" s="450">
        <f t="shared" si="5"/>
        <v>0</v>
      </c>
      <c r="EP10" s="450">
        <f t="shared" si="5"/>
        <v>0</v>
      </c>
      <c r="EQ10" s="450">
        <f t="shared" si="5"/>
        <v>1661749</v>
      </c>
    </row>
    <row r="11" spans="1:148" s="656" customFormat="1" ht="30.45" customHeight="1" x14ac:dyDescent="0.3">
      <c r="A11" s="670" t="s">
        <v>1959</v>
      </c>
      <c r="B11" s="666"/>
      <c r="C11" s="667">
        <f>C76+(D155/100)+(D180/100)+C184+C233+C262+C267+C70+(D70/100)</f>
        <v>8043783.9499999993</v>
      </c>
      <c r="D11" s="668"/>
      <c r="E11" s="668"/>
      <c r="F11" s="668"/>
      <c r="G11" s="668"/>
      <c r="H11" s="668"/>
      <c r="I11" s="668"/>
      <c r="J11" s="667">
        <f>J76+(K155/100)+(K180/100)+J184+J233+J262+J267+J70+(K70/100)</f>
        <v>439434.8</v>
      </c>
      <c r="K11" s="668"/>
      <c r="L11" s="669"/>
      <c r="M11" s="669"/>
      <c r="N11" s="669"/>
      <c r="O11" s="669"/>
      <c r="P11" s="669"/>
      <c r="Q11" s="667">
        <f>Q76+Q184+Q233+Q262+Q267+Q70</f>
        <v>54799</v>
      </c>
      <c r="R11" s="669"/>
      <c r="S11" s="669"/>
      <c r="T11" s="669"/>
      <c r="U11" s="669"/>
      <c r="V11" s="669"/>
      <c r="W11" s="667">
        <f>W76+(X155/100)+(X180/100)+W184+W233+W262+W267+W70+(X70/100)</f>
        <v>55023.799999999996</v>
      </c>
      <c r="X11" s="669"/>
      <c r="Y11" s="669"/>
      <c r="Z11" s="669"/>
      <c r="AA11" s="669"/>
      <c r="AB11" s="669"/>
      <c r="AC11" s="669"/>
      <c r="AD11" s="667">
        <f>AD76+(AE155/100)+(AE180/100)+AD184+AD233+AD262+AD267+AD70+(AE70/100)</f>
        <v>636339.94999999995</v>
      </c>
      <c r="AE11" s="669"/>
      <c r="AF11" s="669"/>
      <c r="AG11" s="669"/>
      <c r="AH11" s="669"/>
      <c r="AI11" s="669"/>
      <c r="AJ11" s="669"/>
      <c r="AK11" s="667">
        <f>AK76+AK184+AK233+AK262+AK267+AK70</f>
        <v>353238</v>
      </c>
      <c r="AL11" s="669"/>
      <c r="AM11" s="669"/>
      <c r="AN11" s="669"/>
      <c r="AO11" s="669"/>
      <c r="AP11" s="669"/>
      <c r="AQ11" s="667">
        <f>AQ76+(AR155/100)+(AR180/100)+AQ184+AQ233+AQ262+AQ267+AQ70+(AR70/100)</f>
        <v>210321.5</v>
      </c>
      <c r="AR11" s="669"/>
      <c r="AS11" s="669"/>
      <c r="AT11" s="669"/>
      <c r="AU11" s="669"/>
      <c r="AV11" s="669"/>
      <c r="AW11" s="667"/>
      <c r="AX11" s="667">
        <f>AX76+(AY155/100)+(AY180/100)+AX184+AX233+AX262+AX267+AX70+(AY70/100)</f>
        <v>83509.31</v>
      </c>
      <c r="AY11" s="669"/>
      <c r="AZ11" s="669"/>
      <c r="BA11" s="669"/>
      <c r="BB11" s="669"/>
      <c r="BC11" s="669"/>
      <c r="BD11" s="669"/>
      <c r="BE11" s="667">
        <f>BE76+(BF155/100)+(BF180/100)+BE184+BE233+BE262+BE267+BE70+(BF70/100)</f>
        <v>508026.84</v>
      </c>
      <c r="BF11" s="669"/>
      <c r="BG11" s="669"/>
      <c r="BH11" s="669"/>
      <c r="BI11" s="669"/>
      <c r="BJ11" s="669"/>
      <c r="BK11" s="669"/>
      <c r="BL11" s="667">
        <f>BL76+(BM155/100)+(BM180/100)+BL184+BL233+BL262+BL267+BL70+(BM70/100)</f>
        <v>349790.68</v>
      </c>
      <c r="BM11" s="669"/>
      <c r="BN11" s="669"/>
      <c r="BO11" s="669"/>
      <c r="BP11" s="669"/>
      <c r="BQ11" s="669"/>
      <c r="BR11" s="669"/>
      <c r="BS11" s="667">
        <f>BS76+(BT155/100)+(BT180/100)+BS184+BS233+BS262+BS267+BS70+(BT70/100)</f>
        <v>182350.47999999998</v>
      </c>
      <c r="BT11" s="669"/>
      <c r="BU11" s="669"/>
      <c r="BV11" s="669"/>
      <c r="BW11" s="669"/>
      <c r="BX11" s="669"/>
      <c r="BY11" s="669"/>
      <c r="BZ11" s="667">
        <f>BZ76+(CA155/100)+(CA180/100)+BZ184+BZ233+BZ262+BZ267+BZ70+(CA70/100)</f>
        <v>159023</v>
      </c>
      <c r="CA11" s="669"/>
      <c r="CB11" s="669"/>
      <c r="CC11" s="669"/>
      <c r="CD11" s="669"/>
      <c r="CE11" s="669"/>
      <c r="CF11" s="669"/>
      <c r="CG11" s="667">
        <f>CG76+(CH155/100)+(CH180/100)+CG184+CG233+CG262+CG267+CG70+(CH70/100)</f>
        <v>627149.89</v>
      </c>
      <c r="CH11" s="669"/>
      <c r="CI11" s="669"/>
      <c r="CJ11" s="669"/>
      <c r="CK11" s="669"/>
      <c r="CL11" s="669"/>
      <c r="CM11" s="669"/>
      <c r="CN11" s="667">
        <f>CN76+(CO155/100)+(CO180/100)+CN184+CN233+CN262+CN267+CN70+(CO70/100)</f>
        <v>323418.02</v>
      </c>
      <c r="CO11" s="669"/>
      <c r="CP11" s="669"/>
      <c r="CQ11" s="669"/>
      <c r="CR11" s="669"/>
      <c r="CS11" s="669"/>
      <c r="CT11" s="669"/>
      <c r="CU11" s="667">
        <f>CU76+(CV155/100)+(CV180/100)+CU184+CU233+CU262+CU267+CU70+(CV70/100)</f>
        <v>119014</v>
      </c>
      <c r="CV11" s="669"/>
      <c r="CW11" s="669"/>
      <c r="CX11" s="669"/>
      <c r="CY11" s="669"/>
      <c r="CZ11" s="669"/>
      <c r="DA11" s="669"/>
      <c r="DB11" s="667">
        <f>DB76+(DC155/100)+(DC180/100)+DB184+DB233+DB262+DB267+DB70+(DC70/100)</f>
        <v>363970.3</v>
      </c>
      <c r="DC11" s="669"/>
      <c r="DD11" s="669"/>
      <c r="DE11" s="669"/>
      <c r="DF11" s="669"/>
      <c r="DG11" s="669"/>
      <c r="DH11" s="669"/>
      <c r="DI11" s="667">
        <f>DI76+(DJ155/100)+(DJ180/100)+DI184+DI233+DI262+DI267+DI70+(DJ70/100)</f>
        <v>908890.87999999989</v>
      </c>
      <c r="DJ11" s="669"/>
      <c r="DK11" s="669"/>
      <c r="DL11" s="669"/>
      <c r="DM11" s="669"/>
      <c r="DN11" s="669"/>
      <c r="DO11" s="669"/>
      <c r="DP11" s="667">
        <f>DP76+(DQ155/100)+(DQ180/100)+DP184+DP233+DP262+DP267+DP70+(DQ70/100)</f>
        <v>217000.93</v>
      </c>
      <c r="DQ11" s="669"/>
      <c r="DR11" s="669"/>
      <c r="DS11" s="669"/>
      <c r="DT11" s="669"/>
      <c r="DU11" s="669"/>
      <c r="DV11" s="669"/>
      <c r="DW11" s="667">
        <f>DW76+(DX155/100)+(DX180/100)+DW184+DW233+DW262+DW267+DW70+(DX70/100)</f>
        <v>417081.28</v>
      </c>
      <c r="DX11" s="669"/>
      <c r="DY11" s="669"/>
      <c r="DZ11" s="669"/>
      <c r="EA11" s="669"/>
      <c r="EB11" s="669"/>
      <c r="EC11" s="669"/>
      <c r="ED11" s="667">
        <f>ED76+(EE155/100)+(EE180/100)+ED184+ED233+ED262+ED267+ED70+(EE70/100)</f>
        <v>1028146.5</v>
      </c>
      <c r="EE11" s="669"/>
      <c r="EF11" s="669"/>
      <c r="EG11" s="669"/>
      <c r="EH11" s="669"/>
      <c r="EI11" s="669"/>
      <c r="EJ11" s="669"/>
      <c r="EK11" s="667">
        <f>EK76+(EL155/100)+(EL180/100)+EK184+EK233+EK262+EK267+EK70+(EL70/100)</f>
        <v>1007226.2000000001</v>
      </c>
      <c r="EL11" s="669"/>
      <c r="EM11" s="669"/>
      <c r="EN11" s="669"/>
      <c r="EO11" s="669"/>
      <c r="EP11" s="669"/>
      <c r="EQ11" s="669"/>
      <c r="ER11" s="672">
        <f>EK11+ED11+DW11+DP11+DI11+CU11+CN11+CG11+BZ11+BS11+BL11+AX11+AQ11+AK11+AD11+W11+Q11+J11</f>
        <v>7171758.2199999988</v>
      </c>
    </row>
    <row r="12" spans="1:148" s="686" customFormat="1" ht="30.45" customHeight="1" x14ac:dyDescent="0.3">
      <c r="A12" s="679" t="s">
        <v>1961</v>
      </c>
      <c r="B12" s="666"/>
      <c r="C12" s="678">
        <f>C11/C9</f>
        <v>0.66409689463658372</v>
      </c>
      <c r="D12" s="678"/>
      <c r="E12" s="678"/>
      <c r="F12" s="678"/>
      <c r="G12" s="678"/>
      <c r="H12" s="678"/>
      <c r="I12" s="678"/>
      <c r="J12" s="678">
        <f t="shared" ref="J12:BO12" si="6">J11/J9</f>
        <v>0.61014577913638857</v>
      </c>
      <c r="K12" s="678"/>
      <c r="L12" s="678"/>
      <c r="M12" s="678"/>
      <c r="N12" s="678"/>
      <c r="O12" s="678"/>
      <c r="P12" s="678"/>
      <c r="Q12" s="678">
        <f t="shared" si="6"/>
        <v>0.98562897945969274</v>
      </c>
      <c r="R12" s="678" t="e">
        <f t="shared" si="6"/>
        <v>#DIV/0!</v>
      </c>
      <c r="S12" s="678" t="e">
        <f t="shared" si="6"/>
        <v>#DIV/0!</v>
      </c>
      <c r="T12" s="678" t="e">
        <f t="shared" si="6"/>
        <v>#DIV/0!</v>
      </c>
      <c r="U12" s="678" t="e">
        <f t="shared" si="6"/>
        <v>#DIV/0!</v>
      </c>
      <c r="V12" s="678" t="e">
        <f t="shared" si="6"/>
        <v>#DIV/0!</v>
      </c>
      <c r="W12" s="678">
        <f t="shared" si="6"/>
        <v>0.93174136564682297</v>
      </c>
      <c r="X12" s="678" t="e">
        <f t="shared" si="6"/>
        <v>#DIV/0!</v>
      </c>
      <c r="Y12" s="678" t="e">
        <f t="shared" si="6"/>
        <v>#DIV/0!</v>
      </c>
      <c r="Z12" s="678" t="e">
        <f t="shared" si="6"/>
        <v>#DIV/0!</v>
      </c>
      <c r="AA12" s="678" t="e">
        <f t="shared" si="6"/>
        <v>#DIV/0!</v>
      </c>
      <c r="AB12" s="678" t="e">
        <f t="shared" si="6"/>
        <v>#DIV/0!</v>
      </c>
      <c r="AC12" s="678" t="e">
        <f t="shared" si="6"/>
        <v>#DIV/0!</v>
      </c>
      <c r="AD12" s="678">
        <f t="shared" si="6"/>
        <v>0.69337492595284989</v>
      </c>
      <c r="AE12" s="805" t="e">
        <f t="shared" si="6"/>
        <v>#DIV/0!</v>
      </c>
      <c r="AF12" s="678" t="e">
        <f t="shared" si="6"/>
        <v>#DIV/0!</v>
      </c>
      <c r="AG12" s="678" t="e">
        <f t="shared" si="6"/>
        <v>#DIV/0!</v>
      </c>
      <c r="AH12" s="678" t="e">
        <f t="shared" si="6"/>
        <v>#DIV/0!</v>
      </c>
      <c r="AI12" s="678" t="e">
        <f t="shared" si="6"/>
        <v>#DIV/0!</v>
      </c>
      <c r="AJ12" s="678" t="e">
        <f t="shared" si="6"/>
        <v>#DIV/0!</v>
      </c>
      <c r="AK12" s="678">
        <f t="shared" si="6"/>
        <v>0.95282769484740748</v>
      </c>
      <c r="AL12" s="678" t="e">
        <f t="shared" si="6"/>
        <v>#DIV/0!</v>
      </c>
      <c r="AM12" s="678" t="e">
        <f t="shared" si="6"/>
        <v>#DIV/0!</v>
      </c>
      <c r="AN12" s="678" t="e">
        <f t="shared" si="6"/>
        <v>#DIV/0!</v>
      </c>
      <c r="AO12" s="678" t="e">
        <f t="shared" si="6"/>
        <v>#DIV/0!</v>
      </c>
      <c r="AP12" s="678" t="e">
        <f t="shared" si="6"/>
        <v>#DIV/0!</v>
      </c>
      <c r="AQ12" s="678">
        <f t="shared" si="6"/>
        <v>0.34675075983081349</v>
      </c>
      <c r="AR12" s="678" t="e">
        <f t="shared" si="6"/>
        <v>#DIV/0!</v>
      </c>
      <c r="AS12" s="678" t="e">
        <f t="shared" si="6"/>
        <v>#DIV/0!</v>
      </c>
      <c r="AT12" s="678" t="e">
        <f t="shared" si="6"/>
        <v>#DIV/0!</v>
      </c>
      <c r="AU12" s="678" t="e">
        <f t="shared" si="6"/>
        <v>#DIV/0!</v>
      </c>
      <c r="AV12" s="678" t="e">
        <f t="shared" si="6"/>
        <v>#DIV/0!</v>
      </c>
      <c r="AW12" s="678" t="e">
        <f t="shared" si="6"/>
        <v>#DIV/0!</v>
      </c>
      <c r="AX12" s="678">
        <f t="shared" si="6"/>
        <v>0.43492323367028402</v>
      </c>
      <c r="AY12" s="678" t="e">
        <f t="shared" si="6"/>
        <v>#DIV/0!</v>
      </c>
      <c r="AZ12" s="678" t="e">
        <f t="shared" si="6"/>
        <v>#DIV/0!</v>
      </c>
      <c r="BA12" s="678" t="e">
        <f t="shared" si="6"/>
        <v>#DIV/0!</v>
      </c>
      <c r="BB12" s="678" t="e">
        <f t="shared" si="6"/>
        <v>#DIV/0!</v>
      </c>
      <c r="BC12" s="678" t="e">
        <f t="shared" si="6"/>
        <v>#DIV/0!</v>
      </c>
      <c r="BD12" s="678" t="e">
        <f t="shared" si="6"/>
        <v>#DIV/0!</v>
      </c>
      <c r="BE12" s="678">
        <f t="shared" si="6"/>
        <v>0.54692594122596483</v>
      </c>
      <c r="BF12" s="678" t="e">
        <f t="shared" si="6"/>
        <v>#DIV/0!</v>
      </c>
      <c r="BG12" s="678" t="e">
        <f t="shared" si="6"/>
        <v>#DIV/0!</v>
      </c>
      <c r="BH12" s="678" t="e">
        <f t="shared" si="6"/>
        <v>#DIV/0!</v>
      </c>
      <c r="BI12" s="678" t="e">
        <f t="shared" si="6"/>
        <v>#DIV/0!</v>
      </c>
      <c r="BJ12" s="678" t="e">
        <f t="shared" si="6"/>
        <v>#DIV/0!</v>
      </c>
      <c r="BK12" s="678" t="e">
        <f t="shared" si="6"/>
        <v>#DIV/0!</v>
      </c>
      <c r="BL12" s="678">
        <f t="shared" si="6"/>
        <v>0.59165549347311164</v>
      </c>
      <c r="BM12" s="678" t="e">
        <f t="shared" si="6"/>
        <v>#DIV/0!</v>
      </c>
      <c r="BN12" s="678" t="e">
        <f t="shared" si="6"/>
        <v>#DIV/0!</v>
      </c>
      <c r="BO12" s="678" t="e">
        <f t="shared" si="6"/>
        <v>#DIV/0!</v>
      </c>
      <c r="BP12" s="678" t="e">
        <f t="shared" ref="BP12:EA12" si="7">BP11/BP9</f>
        <v>#DIV/0!</v>
      </c>
      <c r="BQ12" s="678" t="e">
        <f t="shared" si="7"/>
        <v>#DIV/0!</v>
      </c>
      <c r="BR12" s="678" t="e">
        <f t="shared" si="7"/>
        <v>#DIV/0!</v>
      </c>
      <c r="BS12" s="678">
        <f t="shared" si="7"/>
        <v>0.5906021852773935</v>
      </c>
      <c r="BT12" s="678" t="e">
        <f t="shared" si="7"/>
        <v>#DIV/0!</v>
      </c>
      <c r="BU12" s="678" t="e">
        <f t="shared" si="7"/>
        <v>#DIV/0!</v>
      </c>
      <c r="BV12" s="678" t="e">
        <f t="shared" si="7"/>
        <v>#DIV/0!</v>
      </c>
      <c r="BW12" s="678" t="e">
        <f t="shared" si="7"/>
        <v>#DIV/0!</v>
      </c>
      <c r="BX12" s="678" t="e">
        <f t="shared" si="7"/>
        <v>#DIV/0!</v>
      </c>
      <c r="BY12" s="678" t="e">
        <f t="shared" si="7"/>
        <v>#DIV/0!</v>
      </c>
      <c r="BZ12" s="678">
        <f t="shared" si="7"/>
        <v>0.41863360904749619</v>
      </c>
      <c r="CA12" s="678" t="e">
        <f t="shared" si="7"/>
        <v>#DIV/0!</v>
      </c>
      <c r="CB12" s="678" t="e">
        <f t="shared" si="7"/>
        <v>#DIV/0!</v>
      </c>
      <c r="CC12" s="678" t="e">
        <f t="shared" si="7"/>
        <v>#DIV/0!</v>
      </c>
      <c r="CD12" s="678" t="e">
        <f t="shared" si="7"/>
        <v>#DIV/0!</v>
      </c>
      <c r="CE12" s="678" t="e">
        <f t="shared" si="7"/>
        <v>#DIV/0!</v>
      </c>
      <c r="CF12" s="678" t="e">
        <f t="shared" si="7"/>
        <v>#DIV/0!</v>
      </c>
      <c r="CG12" s="678">
        <f t="shared" si="7"/>
        <v>0.83784774344644708</v>
      </c>
      <c r="CH12" s="678" t="e">
        <f t="shared" si="7"/>
        <v>#DIV/0!</v>
      </c>
      <c r="CI12" s="678" t="e">
        <f t="shared" si="7"/>
        <v>#DIV/0!</v>
      </c>
      <c r="CJ12" s="678" t="e">
        <f t="shared" si="7"/>
        <v>#DIV/0!</v>
      </c>
      <c r="CK12" s="678" t="e">
        <f t="shared" si="7"/>
        <v>#DIV/0!</v>
      </c>
      <c r="CL12" s="678" t="e">
        <f t="shared" si="7"/>
        <v>#DIV/0!</v>
      </c>
      <c r="CM12" s="678" t="e">
        <f t="shared" si="7"/>
        <v>#DIV/0!</v>
      </c>
      <c r="CN12" s="678">
        <f t="shared" si="7"/>
        <v>0.68679804348637663</v>
      </c>
      <c r="CO12" s="678" t="e">
        <f t="shared" si="7"/>
        <v>#DIV/0!</v>
      </c>
      <c r="CP12" s="678" t="e">
        <f t="shared" si="7"/>
        <v>#DIV/0!</v>
      </c>
      <c r="CQ12" s="678" t="e">
        <f t="shared" si="7"/>
        <v>#DIV/0!</v>
      </c>
      <c r="CR12" s="678" t="e">
        <f t="shared" si="7"/>
        <v>#DIV/0!</v>
      </c>
      <c r="CS12" s="678" t="e">
        <f t="shared" si="7"/>
        <v>#DIV/0!</v>
      </c>
      <c r="CT12" s="678" t="e">
        <f t="shared" si="7"/>
        <v>#DIV/0!</v>
      </c>
      <c r="CU12" s="678">
        <f t="shared" si="7"/>
        <v>0.59355347088189681</v>
      </c>
      <c r="CV12" s="678" t="e">
        <f t="shared" si="7"/>
        <v>#DIV/0!</v>
      </c>
      <c r="CW12" s="678" t="e">
        <f t="shared" si="7"/>
        <v>#DIV/0!</v>
      </c>
      <c r="CX12" s="678" t="e">
        <f t="shared" si="7"/>
        <v>#DIV/0!</v>
      </c>
      <c r="CY12" s="678" t="e">
        <f t="shared" si="7"/>
        <v>#DIV/0!</v>
      </c>
      <c r="CZ12" s="678" t="e">
        <f t="shared" si="7"/>
        <v>#DIV/0!</v>
      </c>
      <c r="DA12" s="678" t="e">
        <f t="shared" si="7"/>
        <v>#DIV/0!</v>
      </c>
      <c r="DB12" s="678">
        <f t="shared" si="7"/>
        <v>0.69167037392965247</v>
      </c>
      <c r="DC12" s="678" t="e">
        <f t="shared" si="7"/>
        <v>#DIV/0!</v>
      </c>
      <c r="DD12" s="678" t="e">
        <f t="shared" si="7"/>
        <v>#DIV/0!</v>
      </c>
      <c r="DE12" s="678" t="e">
        <f t="shared" si="7"/>
        <v>#DIV/0!</v>
      </c>
      <c r="DF12" s="678" t="e">
        <f t="shared" si="7"/>
        <v>#DIV/0!</v>
      </c>
      <c r="DG12" s="678" t="e">
        <f t="shared" si="7"/>
        <v>#DIV/0!</v>
      </c>
      <c r="DH12" s="678" t="e">
        <f t="shared" si="7"/>
        <v>#DIV/0!</v>
      </c>
      <c r="DI12" s="678">
        <f t="shared" si="7"/>
        <v>0.59814228002937342</v>
      </c>
      <c r="DJ12" s="678" t="e">
        <f t="shared" si="7"/>
        <v>#DIV/0!</v>
      </c>
      <c r="DK12" s="678" t="e">
        <f t="shared" si="7"/>
        <v>#DIV/0!</v>
      </c>
      <c r="DL12" s="678" t="e">
        <f t="shared" si="7"/>
        <v>#DIV/0!</v>
      </c>
      <c r="DM12" s="678" t="e">
        <f t="shared" si="7"/>
        <v>#DIV/0!</v>
      </c>
      <c r="DN12" s="678" t="e">
        <f t="shared" si="7"/>
        <v>#DIV/0!</v>
      </c>
      <c r="DO12" s="678" t="e">
        <f t="shared" si="7"/>
        <v>#DIV/0!</v>
      </c>
      <c r="DP12" s="678">
        <f t="shared" si="7"/>
        <v>0.55877248048572725</v>
      </c>
      <c r="DQ12" s="678" t="e">
        <f t="shared" si="7"/>
        <v>#DIV/0!</v>
      </c>
      <c r="DR12" s="678" t="e">
        <f t="shared" si="7"/>
        <v>#DIV/0!</v>
      </c>
      <c r="DS12" s="678" t="e">
        <f t="shared" si="7"/>
        <v>#DIV/0!</v>
      </c>
      <c r="DT12" s="678" t="e">
        <f t="shared" si="7"/>
        <v>#DIV/0!</v>
      </c>
      <c r="DU12" s="678" t="e">
        <f t="shared" si="7"/>
        <v>#DIV/0!</v>
      </c>
      <c r="DV12" s="678" t="e">
        <f t="shared" si="7"/>
        <v>#DIV/0!</v>
      </c>
      <c r="DW12" s="678">
        <f t="shared" si="7"/>
        <v>0.81565808393922767</v>
      </c>
      <c r="DX12" s="678" t="e">
        <f t="shared" si="7"/>
        <v>#DIV/0!</v>
      </c>
      <c r="DY12" s="678" t="e">
        <f t="shared" si="7"/>
        <v>#DIV/0!</v>
      </c>
      <c r="DZ12" s="678" t="e">
        <f t="shared" si="7"/>
        <v>#DIV/0!</v>
      </c>
      <c r="EA12" s="678" t="e">
        <f t="shared" si="7"/>
        <v>#DIV/0!</v>
      </c>
      <c r="EB12" s="678" t="e">
        <f t="shared" ref="EB12:EQ12" si="8">EB11/EB9</f>
        <v>#DIV/0!</v>
      </c>
      <c r="EC12" s="678" t="e">
        <f t="shared" si="8"/>
        <v>#DIV/0!</v>
      </c>
      <c r="ED12" s="678">
        <f t="shared" si="8"/>
        <v>0.67660380127397923</v>
      </c>
      <c r="EE12" s="678" t="e">
        <f t="shared" si="8"/>
        <v>#DIV/0!</v>
      </c>
      <c r="EF12" s="678" t="e">
        <f t="shared" si="8"/>
        <v>#DIV/0!</v>
      </c>
      <c r="EG12" s="678" t="e">
        <f t="shared" si="8"/>
        <v>#DIV/0!</v>
      </c>
      <c r="EH12" s="678" t="e">
        <f t="shared" si="8"/>
        <v>#DIV/0!</v>
      </c>
      <c r="EI12" s="678" t="e">
        <f t="shared" si="8"/>
        <v>#DIV/0!</v>
      </c>
      <c r="EJ12" s="678" t="e">
        <f t="shared" si="8"/>
        <v>#DIV/0!</v>
      </c>
      <c r="EK12" s="678">
        <f t="shared" si="8"/>
        <v>0.91592646662184141</v>
      </c>
      <c r="EL12" s="678" t="e">
        <f t="shared" si="8"/>
        <v>#DIV/0!</v>
      </c>
      <c r="EM12" s="678" t="e">
        <f t="shared" si="8"/>
        <v>#DIV/0!</v>
      </c>
      <c r="EN12" s="678" t="e">
        <f t="shared" si="8"/>
        <v>#DIV/0!</v>
      </c>
      <c r="EO12" s="678" t="e">
        <f t="shared" si="8"/>
        <v>#DIV/0!</v>
      </c>
      <c r="EP12" s="678" t="e">
        <f t="shared" si="8"/>
        <v>#DIV/0!</v>
      </c>
      <c r="EQ12" s="678" t="e">
        <f t="shared" si="8"/>
        <v>#DIV/0!</v>
      </c>
      <c r="ER12" s="672"/>
    </row>
    <row r="13" spans="1:148" s="656" customFormat="1" ht="37.950000000000003" customHeight="1" x14ac:dyDescent="0.3">
      <c r="A13" s="677" t="s">
        <v>1960</v>
      </c>
      <c r="B13" s="666"/>
      <c r="C13" s="667">
        <f>C16+C36+C48+C55+C101+C239</f>
        <v>4068581</v>
      </c>
      <c r="D13" s="668"/>
      <c r="E13" s="668"/>
      <c r="F13" s="668"/>
      <c r="G13" s="668"/>
      <c r="H13" s="668"/>
      <c r="I13" s="668"/>
      <c r="J13" s="667">
        <f>J16+J36+J48+J55+J101+J239</f>
        <v>280778</v>
      </c>
      <c r="K13" s="668"/>
      <c r="L13" s="669"/>
      <c r="M13" s="669"/>
      <c r="N13" s="669"/>
      <c r="O13" s="669"/>
      <c r="P13" s="669"/>
      <c r="Q13" s="667">
        <f>Q16+Q36+Q48+Q55+Q101+Q239</f>
        <v>799</v>
      </c>
      <c r="R13" s="669"/>
      <c r="S13" s="669"/>
      <c r="T13" s="669"/>
      <c r="U13" s="669"/>
      <c r="V13" s="669"/>
      <c r="W13" s="667">
        <f>W16+W36+W48+W55+W101+W239</f>
        <v>4031</v>
      </c>
      <c r="X13" s="669"/>
      <c r="Y13" s="669"/>
      <c r="Z13" s="669"/>
      <c r="AA13" s="669"/>
      <c r="AB13" s="669"/>
      <c r="AC13" s="669"/>
      <c r="AD13" s="667">
        <f>AD16+AD36+AD48+AD55+AD101+AD239</f>
        <v>281403</v>
      </c>
      <c r="AE13" s="669"/>
      <c r="AF13" s="669"/>
      <c r="AG13" s="669"/>
      <c r="AH13" s="669"/>
      <c r="AI13" s="669"/>
      <c r="AJ13" s="669"/>
      <c r="AK13" s="667">
        <f>AK16+AK36+AK48+AK55+AK101+AK239</f>
        <v>17488</v>
      </c>
      <c r="AL13" s="669"/>
      <c r="AM13" s="669"/>
      <c r="AN13" s="669"/>
      <c r="AO13" s="669"/>
      <c r="AP13" s="669"/>
      <c r="AQ13" s="667">
        <f>AQ16+AQ36+AQ48+AQ55+AQ101+AQ239</f>
        <v>396228</v>
      </c>
      <c r="AR13" s="669"/>
      <c r="AS13" s="669"/>
      <c r="AT13" s="669"/>
      <c r="AU13" s="669"/>
      <c r="AV13" s="669"/>
      <c r="AW13" s="667"/>
      <c r="AX13" s="667">
        <f>AX16+AX36+AX48+AX55+AX101+AX239</f>
        <v>108500</v>
      </c>
      <c r="AY13" s="669"/>
      <c r="AZ13" s="669"/>
      <c r="BA13" s="669"/>
      <c r="BB13" s="669"/>
      <c r="BC13" s="669"/>
      <c r="BD13" s="669"/>
      <c r="BE13" s="667">
        <f>BE16+BE36+BE48+BE55+BE101+BE239</f>
        <v>420850</v>
      </c>
      <c r="BF13" s="669"/>
      <c r="BG13" s="669"/>
      <c r="BH13" s="669"/>
      <c r="BI13" s="669"/>
      <c r="BJ13" s="669"/>
      <c r="BK13" s="669"/>
      <c r="BL13" s="667">
        <f>BL16+BL36+BL48+BL55+BL101+BL239</f>
        <v>241416</v>
      </c>
      <c r="BM13" s="669"/>
      <c r="BN13" s="669"/>
      <c r="BO13" s="669"/>
      <c r="BP13" s="669"/>
      <c r="BQ13" s="669"/>
      <c r="BR13" s="669"/>
      <c r="BS13" s="667">
        <f>BS16+BS36+BS48+BS55+BS101+BS239</f>
        <v>126403</v>
      </c>
      <c r="BT13" s="669"/>
      <c r="BU13" s="669"/>
      <c r="BV13" s="669"/>
      <c r="BW13" s="669"/>
      <c r="BX13" s="669"/>
      <c r="BY13" s="669"/>
      <c r="BZ13" s="667">
        <f>BZ16+BZ36+BZ48+BZ55+BZ101+BZ239</f>
        <v>220839</v>
      </c>
      <c r="CA13" s="669"/>
      <c r="CB13" s="669"/>
      <c r="CC13" s="669"/>
      <c r="CD13" s="669"/>
      <c r="CE13" s="669"/>
      <c r="CF13" s="669"/>
      <c r="CG13" s="667">
        <f>CG16+CG36+CG48+CG55+CG101+CG239</f>
        <v>121375</v>
      </c>
      <c r="CH13" s="669"/>
      <c r="CI13" s="669"/>
      <c r="CJ13" s="669"/>
      <c r="CK13" s="669"/>
      <c r="CL13" s="669"/>
      <c r="CM13" s="669"/>
      <c r="CN13" s="667">
        <f>CN16+CN36+CN48+CN55+CN101+CN239</f>
        <v>147489</v>
      </c>
      <c r="CO13" s="669"/>
      <c r="CP13" s="669"/>
      <c r="CQ13" s="669"/>
      <c r="CR13" s="669"/>
      <c r="CS13" s="669"/>
      <c r="CT13" s="669"/>
      <c r="CU13" s="667">
        <f>CU16+CU36+CU48+CU55+CU101+CU239</f>
        <v>81497</v>
      </c>
      <c r="CV13" s="669"/>
      <c r="CW13" s="669"/>
      <c r="CX13" s="669"/>
      <c r="CY13" s="669"/>
      <c r="CZ13" s="669"/>
      <c r="DA13" s="669"/>
      <c r="DB13" s="667">
        <f>DB16+DB36+DB48+DB55+DB101+DB239</f>
        <v>162249</v>
      </c>
      <c r="DC13" s="669"/>
      <c r="DD13" s="669"/>
      <c r="DE13" s="669"/>
      <c r="DF13" s="669"/>
      <c r="DG13" s="669"/>
      <c r="DH13" s="669"/>
      <c r="DI13" s="667">
        <f>DI16+DI36+DI48+DI55+DI101+DI239</f>
        <v>610632</v>
      </c>
      <c r="DJ13" s="669"/>
      <c r="DK13" s="669"/>
      <c r="DL13" s="669"/>
      <c r="DM13" s="669"/>
      <c r="DN13" s="669"/>
      <c r="DO13" s="669"/>
      <c r="DP13" s="667">
        <f>DP16+DP36+DP48+DP55+DP101+DP239</f>
        <v>171352</v>
      </c>
      <c r="DQ13" s="669"/>
      <c r="DR13" s="669"/>
      <c r="DS13" s="669"/>
      <c r="DT13" s="669"/>
      <c r="DU13" s="669"/>
      <c r="DV13" s="669"/>
      <c r="DW13" s="667">
        <f>DW16+DW36+DW48+DW55+DW101+DW239</f>
        <v>94262</v>
      </c>
      <c r="DX13" s="669"/>
      <c r="DY13" s="669"/>
      <c r="DZ13" s="669"/>
      <c r="EA13" s="669"/>
      <c r="EB13" s="669"/>
      <c r="EC13" s="669"/>
      <c r="ED13" s="667">
        <f>ED16+ED36+ED48+ED55+ED101+ED239</f>
        <v>491423</v>
      </c>
      <c r="EE13" s="669"/>
      <c r="EF13" s="669"/>
      <c r="EG13" s="669"/>
      <c r="EH13" s="669"/>
      <c r="EI13" s="669"/>
      <c r="EJ13" s="669"/>
      <c r="EK13" s="667">
        <f>EK16+EK36+EK48+EK55+EK101+EK239</f>
        <v>92454</v>
      </c>
      <c r="EL13" s="669"/>
      <c r="EM13" s="669"/>
      <c r="EN13" s="669"/>
      <c r="EO13" s="669"/>
      <c r="EP13" s="669"/>
      <c r="EQ13" s="669"/>
      <c r="ER13" s="672">
        <f>EK13+ED13+DW13+DP13+DI13+CU13+CN13+CG13+BZ13+BS13+BL13+AX13+AQ13+AK13+AD13+W13+Q13+J13</f>
        <v>3488369</v>
      </c>
    </row>
    <row r="14" spans="1:148" s="686" customFormat="1" ht="37.950000000000003" customHeight="1" x14ac:dyDescent="0.3">
      <c r="A14" s="673" t="s">
        <v>1961</v>
      </c>
      <c r="B14" s="666"/>
      <c r="C14" s="678">
        <f>C13/C9</f>
        <v>0.33590310536341628</v>
      </c>
      <c r="D14" s="678"/>
      <c r="E14" s="678"/>
      <c r="F14" s="678"/>
      <c r="G14" s="678"/>
      <c r="H14" s="678"/>
      <c r="I14" s="678"/>
      <c r="J14" s="678">
        <f t="shared" ref="J14:BO14" si="9">J13/J9</f>
        <v>0.38985422086361138</v>
      </c>
      <c r="K14" s="678"/>
      <c r="L14" s="678"/>
      <c r="M14" s="678"/>
      <c r="N14" s="678"/>
      <c r="O14" s="678"/>
      <c r="P14" s="678"/>
      <c r="Q14" s="678">
        <f t="shared" si="9"/>
        <v>1.4371020540307205E-2</v>
      </c>
      <c r="R14" s="678" t="e">
        <f t="shared" si="9"/>
        <v>#DIV/0!</v>
      </c>
      <c r="S14" s="678" t="e">
        <f t="shared" si="9"/>
        <v>#DIV/0!</v>
      </c>
      <c r="T14" s="678" t="e">
        <f t="shared" si="9"/>
        <v>#DIV/0!</v>
      </c>
      <c r="U14" s="678" t="e">
        <f t="shared" si="9"/>
        <v>#DIV/0!</v>
      </c>
      <c r="V14" s="678" t="e">
        <f t="shared" si="9"/>
        <v>#DIV/0!</v>
      </c>
      <c r="W14" s="678">
        <f t="shared" si="9"/>
        <v>6.8258634353177056E-2</v>
      </c>
      <c r="X14" s="678" t="e">
        <f t="shared" si="9"/>
        <v>#DIV/0!</v>
      </c>
      <c r="Y14" s="678" t="e">
        <f t="shared" si="9"/>
        <v>#DIV/0!</v>
      </c>
      <c r="Z14" s="678" t="e">
        <f t="shared" si="9"/>
        <v>#DIV/0!</v>
      </c>
      <c r="AA14" s="678" t="e">
        <f t="shared" si="9"/>
        <v>#DIV/0!</v>
      </c>
      <c r="AB14" s="678" t="e">
        <f t="shared" si="9"/>
        <v>#DIV/0!</v>
      </c>
      <c r="AC14" s="678" t="e">
        <f t="shared" si="9"/>
        <v>#DIV/0!</v>
      </c>
      <c r="AD14" s="678">
        <f t="shared" si="9"/>
        <v>0.30662507404715017</v>
      </c>
      <c r="AE14" s="805" t="e">
        <f t="shared" si="9"/>
        <v>#DIV/0!</v>
      </c>
      <c r="AF14" s="678" t="e">
        <f t="shared" si="9"/>
        <v>#DIV/0!</v>
      </c>
      <c r="AG14" s="678" t="e">
        <f t="shared" si="9"/>
        <v>#DIV/0!</v>
      </c>
      <c r="AH14" s="678" t="e">
        <f t="shared" si="9"/>
        <v>#DIV/0!</v>
      </c>
      <c r="AI14" s="678" t="e">
        <f t="shared" si="9"/>
        <v>#DIV/0!</v>
      </c>
      <c r="AJ14" s="678" t="e">
        <f t="shared" si="9"/>
        <v>#DIV/0!</v>
      </c>
      <c r="AK14" s="678">
        <f t="shared" si="9"/>
        <v>4.7172305152592478E-2</v>
      </c>
      <c r="AL14" s="678" t="e">
        <f t="shared" si="9"/>
        <v>#DIV/0!</v>
      </c>
      <c r="AM14" s="678" t="e">
        <f t="shared" si="9"/>
        <v>#DIV/0!</v>
      </c>
      <c r="AN14" s="678" t="e">
        <f t="shared" si="9"/>
        <v>#DIV/0!</v>
      </c>
      <c r="AO14" s="678" t="e">
        <f t="shared" si="9"/>
        <v>#DIV/0!</v>
      </c>
      <c r="AP14" s="678" t="e">
        <f t="shared" si="9"/>
        <v>#DIV/0!</v>
      </c>
      <c r="AQ14" s="678">
        <f t="shared" si="9"/>
        <v>0.65324924016918651</v>
      </c>
      <c r="AR14" s="678" t="e">
        <f t="shared" si="9"/>
        <v>#DIV/0!</v>
      </c>
      <c r="AS14" s="678" t="e">
        <f t="shared" si="9"/>
        <v>#DIV/0!</v>
      </c>
      <c r="AT14" s="678" t="e">
        <f t="shared" si="9"/>
        <v>#DIV/0!</v>
      </c>
      <c r="AU14" s="678" t="e">
        <f t="shared" si="9"/>
        <v>#DIV/0!</v>
      </c>
      <c r="AV14" s="678" t="e">
        <f t="shared" si="9"/>
        <v>#DIV/0!</v>
      </c>
      <c r="AW14" s="678" t="e">
        <f t="shared" si="9"/>
        <v>#DIV/0!</v>
      </c>
      <c r="AX14" s="678">
        <f t="shared" si="9"/>
        <v>0.56507676632971604</v>
      </c>
      <c r="AY14" s="678" t="e">
        <f t="shared" si="9"/>
        <v>#DIV/0!</v>
      </c>
      <c r="AZ14" s="678" t="e">
        <f t="shared" si="9"/>
        <v>#DIV/0!</v>
      </c>
      <c r="BA14" s="678" t="e">
        <f t="shared" si="9"/>
        <v>#DIV/0!</v>
      </c>
      <c r="BB14" s="678" t="e">
        <f t="shared" si="9"/>
        <v>#DIV/0!</v>
      </c>
      <c r="BC14" s="678" t="e">
        <f t="shared" si="9"/>
        <v>#DIV/0!</v>
      </c>
      <c r="BD14" s="678" t="e">
        <f t="shared" si="9"/>
        <v>#DIV/0!</v>
      </c>
      <c r="BE14" s="678">
        <f t="shared" si="9"/>
        <v>0.45307405877403506</v>
      </c>
      <c r="BF14" s="678" t="e">
        <f t="shared" si="9"/>
        <v>#DIV/0!</v>
      </c>
      <c r="BG14" s="678" t="e">
        <f t="shared" si="9"/>
        <v>#DIV/0!</v>
      </c>
      <c r="BH14" s="678" t="e">
        <f t="shared" si="9"/>
        <v>#DIV/0!</v>
      </c>
      <c r="BI14" s="678" t="e">
        <f t="shared" si="9"/>
        <v>#DIV/0!</v>
      </c>
      <c r="BJ14" s="678" t="e">
        <f t="shared" si="9"/>
        <v>#DIV/0!</v>
      </c>
      <c r="BK14" s="678" t="e">
        <f t="shared" si="9"/>
        <v>#DIV/0!</v>
      </c>
      <c r="BL14" s="678">
        <f t="shared" si="9"/>
        <v>0.40834450652688842</v>
      </c>
      <c r="BM14" s="678" t="e">
        <f t="shared" si="9"/>
        <v>#DIV/0!</v>
      </c>
      <c r="BN14" s="678" t="e">
        <f t="shared" si="9"/>
        <v>#DIV/0!</v>
      </c>
      <c r="BO14" s="678" t="e">
        <f t="shared" si="9"/>
        <v>#DIV/0!</v>
      </c>
      <c r="BP14" s="678" t="e">
        <f t="shared" ref="BP14:EA14" si="10">BP13/BP9</f>
        <v>#DIV/0!</v>
      </c>
      <c r="BQ14" s="678" t="e">
        <f t="shared" si="10"/>
        <v>#DIV/0!</v>
      </c>
      <c r="BR14" s="678" t="e">
        <f t="shared" si="10"/>
        <v>#DIV/0!</v>
      </c>
      <c r="BS14" s="678">
        <f t="shared" si="10"/>
        <v>0.40939781472260656</v>
      </c>
      <c r="BT14" s="678" t="e">
        <f t="shared" si="10"/>
        <v>#DIV/0!</v>
      </c>
      <c r="BU14" s="678" t="e">
        <f t="shared" si="10"/>
        <v>#DIV/0!</v>
      </c>
      <c r="BV14" s="678" t="e">
        <f t="shared" si="10"/>
        <v>#DIV/0!</v>
      </c>
      <c r="BW14" s="678" t="e">
        <f t="shared" si="10"/>
        <v>#DIV/0!</v>
      </c>
      <c r="BX14" s="678" t="e">
        <f t="shared" si="10"/>
        <v>#DIV/0!</v>
      </c>
      <c r="BY14" s="678" t="e">
        <f t="shared" si="10"/>
        <v>#DIV/0!</v>
      </c>
      <c r="BZ14" s="678">
        <f t="shared" si="10"/>
        <v>0.58136639095250375</v>
      </c>
      <c r="CA14" s="678" t="e">
        <f t="shared" si="10"/>
        <v>#DIV/0!</v>
      </c>
      <c r="CB14" s="678" t="e">
        <f t="shared" si="10"/>
        <v>#DIV/0!</v>
      </c>
      <c r="CC14" s="678" t="e">
        <f t="shared" si="10"/>
        <v>#DIV/0!</v>
      </c>
      <c r="CD14" s="678" t="e">
        <f t="shared" si="10"/>
        <v>#DIV/0!</v>
      </c>
      <c r="CE14" s="678" t="e">
        <f t="shared" si="10"/>
        <v>#DIV/0!</v>
      </c>
      <c r="CF14" s="678" t="e">
        <f t="shared" si="10"/>
        <v>#DIV/0!</v>
      </c>
      <c r="CG14" s="678">
        <f t="shared" si="10"/>
        <v>0.16215225655355295</v>
      </c>
      <c r="CH14" s="678" t="e">
        <f t="shared" si="10"/>
        <v>#DIV/0!</v>
      </c>
      <c r="CI14" s="678" t="e">
        <f t="shared" si="10"/>
        <v>#DIV/0!</v>
      </c>
      <c r="CJ14" s="678" t="e">
        <f t="shared" si="10"/>
        <v>#DIV/0!</v>
      </c>
      <c r="CK14" s="678" t="e">
        <f t="shared" si="10"/>
        <v>#DIV/0!</v>
      </c>
      <c r="CL14" s="678" t="e">
        <f t="shared" si="10"/>
        <v>#DIV/0!</v>
      </c>
      <c r="CM14" s="678" t="e">
        <f t="shared" si="10"/>
        <v>#DIV/0!</v>
      </c>
      <c r="CN14" s="678">
        <f t="shared" si="10"/>
        <v>0.31320195651362343</v>
      </c>
      <c r="CO14" s="678" t="e">
        <f t="shared" si="10"/>
        <v>#DIV/0!</v>
      </c>
      <c r="CP14" s="678" t="e">
        <f t="shared" si="10"/>
        <v>#DIV/0!</v>
      </c>
      <c r="CQ14" s="678" t="e">
        <f t="shared" si="10"/>
        <v>#DIV/0!</v>
      </c>
      <c r="CR14" s="678" t="e">
        <f t="shared" si="10"/>
        <v>#DIV/0!</v>
      </c>
      <c r="CS14" s="678" t="e">
        <f t="shared" si="10"/>
        <v>#DIV/0!</v>
      </c>
      <c r="CT14" s="678" t="e">
        <f t="shared" si="10"/>
        <v>#DIV/0!</v>
      </c>
      <c r="CU14" s="678">
        <f t="shared" si="10"/>
        <v>0.40644652911810325</v>
      </c>
      <c r="CV14" s="678" t="e">
        <f t="shared" si="10"/>
        <v>#DIV/0!</v>
      </c>
      <c r="CW14" s="678" t="e">
        <f t="shared" si="10"/>
        <v>#DIV/0!</v>
      </c>
      <c r="CX14" s="678" t="e">
        <f t="shared" si="10"/>
        <v>#DIV/0!</v>
      </c>
      <c r="CY14" s="678" t="e">
        <f t="shared" si="10"/>
        <v>#DIV/0!</v>
      </c>
      <c r="CZ14" s="678" t="e">
        <f t="shared" si="10"/>
        <v>#DIV/0!</v>
      </c>
      <c r="DA14" s="678" t="e">
        <f t="shared" si="10"/>
        <v>#DIV/0!</v>
      </c>
      <c r="DB14" s="678">
        <f t="shared" si="10"/>
        <v>0.30832962607034747</v>
      </c>
      <c r="DC14" s="678" t="e">
        <f t="shared" si="10"/>
        <v>#DIV/0!</v>
      </c>
      <c r="DD14" s="678" t="e">
        <f t="shared" si="10"/>
        <v>#DIV/0!</v>
      </c>
      <c r="DE14" s="678" t="e">
        <f t="shared" si="10"/>
        <v>#DIV/0!</v>
      </c>
      <c r="DF14" s="678" t="e">
        <f t="shared" si="10"/>
        <v>#DIV/0!</v>
      </c>
      <c r="DG14" s="678" t="e">
        <f t="shared" si="10"/>
        <v>#DIV/0!</v>
      </c>
      <c r="DH14" s="678" t="e">
        <f t="shared" si="10"/>
        <v>#DIV/0!</v>
      </c>
      <c r="DI14" s="678">
        <f t="shared" si="10"/>
        <v>0.40185771997062658</v>
      </c>
      <c r="DJ14" s="678" t="e">
        <f t="shared" si="10"/>
        <v>#DIV/0!</v>
      </c>
      <c r="DK14" s="678" t="e">
        <f t="shared" si="10"/>
        <v>#DIV/0!</v>
      </c>
      <c r="DL14" s="678" t="e">
        <f t="shared" si="10"/>
        <v>#DIV/0!</v>
      </c>
      <c r="DM14" s="678" t="e">
        <f t="shared" si="10"/>
        <v>#DIV/0!</v>
      </c>
      <c r="DN14" s="678" t="e">
        <f t="shared" si="10"/>
        <v>#DIV/0!</v>
      </c>
      <c r="DO14" s="678" t="e">
        <f t="shared" si="10"/>
        <v>#DIV/0!</v>
      </c>
      <c r="DP14" s="678">
        <f t="shared" si="10"/>
        <v>0.44122751951427275</v>
      </c>
      <c r="DQ14" s="678" t="e">
        <f t="shared" si="10"/>
        <v>#DIV/0!</v>
      </c>
      <c r="DR14" s="678" t="e">
        <f t="shared" si="10"/>
        <v>#DIV/0!</v>
      </c>
      <c r="DS14" s="678" t="e">
        <f t="shared" si="10"/>
        <v>#DIV/0!</v>
      </c>
      <c r="DT14" s="678" t="e">
        <f t="shared" si="10"/>
        <v>#DIV/0!</v>
      </c>
      <c r="DU14" s="678" t="e">
        <f t="shared" si="10"/>
        <v>#DIV/0!</v>
      </c>
      <c r="DV14" s="678" t="e">
        <f t="shared" si="10"/>
        <v>#DIV/0!</v>
      </c>
      <c r="DW14" s="678">
        <f t="shared" si="10"/>
        <v>0.18434191606077233</v>
      </c>
      <c r="DX14" s="678" t="e">
        <f t="shared" si="10"/>
        <v>#DIV/0!</v>
      </c>
      <c r="DY14" s="678" t="e">
        <f t="shared" si="10"/>
        <v>#DIV/0!</v>
      </c>
      <c r="DZ14" s="678" t="e">
        <f t="shared" si="10"/>
        <v>#DIV/0!</v>
      </c>
      <c r="EA14" s="678" t="e">
        <f t="shared" si="10"/>
        <v>#DIV/0!</v>
      </c>
      <c r="EB14" s="678" t="e">
        <f t="shared" ref="EB14:EQ14" si="11">EB13/EB9</f>
        <v>#DIV/0!</v>
      </c>
      <c r="EC14" s="678" t="e">
        <f t="shared" si="11"/>
        <v>#DIV/0!</v>
      </c>
      <c r="ED14" s="678">
        <f t="shared" si="11"/>
        <v>0.32339619872602077</v>
      </c>
      <c r="EE14" s="678" t="e">
        <f t="shared" si="11"/>
        <v>#DIV/0!</v>
      </c>
      <c r="EF14" s="678" t="e">
        <f t="shared" si="11"/>
        <v>#DIV/0!</v>
      </c>
      <c r="EG14" s="678" t="e">
        <f t="shared" si="11"/>
        <v>#DIV/0!</v>
      </c>
      <c r="EH14" s="678" t="e">
        <f t="shared" si="11"/>
        <v>#DIV/0!</v>
      </c>
      <c r="EI14" s="678" t="e">
        <f t="shared" si="11"/>
        <v>#DIV/0!</v>
      </c>
      <c r="EJ14" s="678" t="e">
        <f t="shared" si="11"/>
        <v>#DIV/0!</v>
      </c>
      <c r="EK14" s="678">
        <f t="shared" si="11"/>
        <v>8.4073533378158469E-2</v>
      </c>
      <c r="EL14" s="678" t="e">
        <f t="shared" si="11"/>
        <v>#DIV/0!</v>
      </c>
      <c r="EM14" s="678" t="e">
        <f t="shared" si="11"/>
        <v>#DIV/0!</v>
      </c>
      <c r="EN14" s="678" t="e">
        <f t="shared" si="11"/>
        <v>#DIV/0!</v>
      </c>
      <c r="EO14" s="678" t="e">
        <f t="shared" si="11"/>
        <v>#DIV/0!</v>
      </c>
      <c r="EP14" s="678" t="e">
        <f t="shared" si="11"/>
        <v>#DIV/0!</v>
      </c>
      <c r="EQ14" s="678" t="e">
        <f t="shared" si="11"/>
        <v>#DIV/0!</v>
      </c>
      <c r="ER14" s="672"/>
    </row>
    <row r="15" spans="1:148" ht="13.95" customHeight="1" x14ac:dyDescent="0.3">
      <c r="A15" s="657" t="s">
        <v>1671</v>
      </c>
      <c r="B15" s="658" t="s">
        <v>269</v>
      </c>
      <c r="C15" s="659">
        <f t="shared" ref="C15:R16" si="12">C16</f>
        <v>2423534</v>
      </c>
      <c r="D15" s="659">
        <f t="shared" si="12"/>
        <v>0</v>
      </c>
      <c r="E15" s="659">
        <f t="shared" si="12"/>
        <v>0</v>
      </c>
      <c r="F15" s="659">
        <f t="shared" si="12"/>
        <v>99598180</v>
      </c>
      <c r="G15" s="659">
        <f t="shared" si="12"/>
        <v>0</v>
      </c>
      <c r="H15" s="659">
        <f t="shared" si="12"/>
        <v>0</v>
      </c>
      <c r="I15" s="659">
        <f t="shared" si="12"/>
        <v>98135571</v>
      </c>
      <c r="J15" s="801">
        <f t="shared" si="12"/>
        <v>202586</v>
      </c>
      <c r="K15" s="659">
        <f t="shared" si="12"/>
        <v>0</v>
      </c>
      <c r="L15" s="659">
        <f t="shared" si="12"/>
        <v>0</v>
      </c>
      <c r="M15" s="659">
        <f t="shared" si="12"/>
        <v>13018488</v>
      </c>
      <c r="N15" s="659">
        <f t="shared" si="12"/>
        <v>0</v>
      </c>
      <c r="O15" s="659">
        <f t="shared" si="12"/>
        <v>0</v>
      </c>
      <c r="P15" s="659">
        <f t="shared" si="12"/>
        <v>13018487</v>
      </c>
      <c r="Q15" s="801">
        <f t="shared" si="12"/>
        <v>14</v>
      </c>
      <c r="R15" s="659">
        <f t="shared" si="12"/>
        <v>0</v>
      </c>
      <c r="S15" s="659">
        <f t="shared" ref="S15:AH16" si="13">S16</f>
        <v>535</v>
      </c>
      <c r="T15" s="659">
        <f t="shared" si="13"/>
        <v>0</v>
      </c>
      <c r="U15" s="659">
        <f t="shared" si="13"/>
        <v>0</v>
      </c>
      <c r="V15" s="659">
        <f t="shared" si="13"/>
        <v>520</v>
      </c>
      <c r="W15" s="801">
        <f t="shared" si="13"/>
        <v>258</v>
      </c>
      <c r="X15" s="659">
        <f t="shared" si="13"/>
        <v>0</v>
      </c>
      <c r="Y15" s="659">
        <f t="shared" si="13"/>
        <v>0</v>
      </c>
      <c r="Z15" s="659">
        <f t="shared" si="13"/>
        <v>6377</v>
      </c>
      <c r="AA15" s="659">
        <f t="shared" si="13"/>
        <v>0</v>
      </c>
      <c r="AB15" s="659">
        <f t="shared" si="13"/>
        <v>0</v>
      </c>
      <c r="AC15" s="659">
        <f t="shared" si="13"/>
        <v>6377</v>
      </c>
      <c r="AD15" s="801">
        <f t="shared" si="13"/>
        <v>189118</v>
      </c>
      <c r="AE15" s="659">
        <f t="shared" si="13"/>
        <v>0</v>
      </c>
      <c r="AF15" s="659">
        <f t="shared" si="13"/>
        <v>0</v>
      </c>
      <c r="AG15" s="659">
        <f t="shared" si="13"/>
        <v>11498115</v>
      </c>
      <c r="AH15" s="659">
        <f t="shared" si="13"/>
        <v>0</v>
      </c>
      <c r="AI15" s="659">
        <f t="shared" ref="AI15:AX16" si="14">AI16</f>
        <v>0</v>
      </c>
      <c r="AJ15" s="659">
        <f t="shared" si="14"/>
        <v>11498115</v>
      </c>
      <c r="AK15" s="801">
        <f t="shared" si="14"/>
        <v>289</v>
      </c>
      <c r="AL15" s="659">
        <f t="shared" si="14"/>
        <v>0</v>
      </c>
      <c r="AM15" s="659">
        <f t="shared" si="14"/>
        <v>10639</v>
      </c>
      <c r="AN15" s="659">
        <f t="shared" si="14"/>
        <v>0</v>
      </c>
      <c r="AO15" s="659">
        <f t="shared" si="14"/>
        <v>0</v>
      </c>
      <c r="AP15" s="659">
        <f t="shared" si="14"/>
        <v>10639</v>
      </c>
      <c r="AQ15" s="801">
        <f t="shared" si="14"/>
        <v>129200</v>
      </c>
      <c r="AR15" s="659">
        <f t="shared" si="14"/>
        <v>0</v>
      </c>
      <c r="AS15" s="659">
        <f t="shared" si="14"/>
        <v>0</v>
      </c>
      <c r="AT15" s="659">
        <f t="shared" si="14"/>
        <v>7234084</v>
      </c>
      <c r="AU15" s="659">
        <f t="shared" si="14"/>
        <v>0</v>
      </c>
      <c r="AV15" s="659">
        <f t="shared" si="14"/>
        <v>0</v>
      </c>
      <c r="AW15" s="659">
        <f t="shared" si="14"/>
        <v>7092418</v>
      </c>
      <c r="AX15" s="659">
        <f t="shared" si="14"/>
        <v>20906</v>
      </c>
      <c r="AY15" s="659">
        <f t="shared" ref="AY15:BN16" si="15">AY16</f>
        <v>0</v>
      </c>
      <c r="AZ15" s="659">
        <f t="shared" si="15"/>
        <v>0</v>
      </c>
      <c r="BA15" s="659">
        <f t="shared" si="15"/>
        <v>961556</v>
      </c>
      <c r="BB15" s="659">
        <f t="shared" si="15"/>
        <v>0</v>
      </c>
      <c r="BC15" s="659">
        <f t="shared" si="15"/>
        <v>0</v>
      </c>
      <c r="BD15" s="659">
        <f t="shared" si="15"/>
        <v>938380</v>
      </c>
      <c r="BE15" s="801">
        <f t="shared" si="15"/>
        <v>264379</v>
      </c>
      <c r="BF15" s="659">
        <f t="shared" si="15"/>
        <v>0</v>
      </c>
      <c r="BG15" s="659">
        <f t="shared" si="15"/>
        <v>0</v>
      </c>
      <c r="BH15" s="659">
        <f t="shared" si="15"/>
        <v>15644771</v>
      </c>
      <c r="BI15" s="659">
        <f t="shared" si="15"/>
        <v>0</v>
      </c>
      <c r="BJ15" s="659">
        <f t="shared" si="15"/>
        <v>0</v>
      </c>
      <c r="BK15" s="659">
        <f t="shared" si="15"/>
        <v>15644771</v>
      </c>
      <c r="BL15" s="659">
        <f t="shared" si="15"/>
        <v>128805</v>
      </c>
      <c r="BM15" s="659">
        <f t="shared" si="15"/>
        <v>0</v>
      </c>
      <c r="BN15" s="659">
        <f t="shared" si="15"/>
        <v>0</v>
      </c>
      <c r="BO15" s="659">
        <f t="shared" ref="BO15:CD16" si="16">BO16</f>
        <v>4094679</v>
      </c>
      <c r="BP15" s="659">
        <f t="shared" si="16"/>
        <v>0</v>
      </c>
      <c r="BQ15" s="659">
        <f t="shared" si="16"/>
        <v>0</v>
      </c>
      <c r="BR15" s="659">
        <f t="shared" si="16"/>
        <v>4055782</v>
      </c>
      <c r="BS15" s="659">
        <f t="shared" si="16"/>
        <v>78090</v>
      </c>
      <c r="BT15" s="659">
        <f t="shared" si="16"/>
        <v>0</v>
      </c>
      <c r="BU15" s="659">
        <f t="shared" si="16"/>
        <v>0</v>
      </c>
      <c r="BV15" s="659">
        <f t="shared" si="16"/>
        <v>3811205</v>
      </c>
      <c r="BW15" s="659">
        <f t="shared" si="16"/>
        <v>0</v>
      </c>
      <c r="BX15" s="659">
        <f t="shared" si="16"/>
        <v>0</v>
      </c>
      <c r="BY15" s="659">
        <f t="shared" si="16"/>
        <v>3811205</v>
      </c>
      <c r="BZ15" s="659">
        <f t="shared" si="16"/>
        <v>136940</v>
      </c>
      <c r="CA15" s="659">
        <f t="shared" si="16"/>
        <v>0</v>
      </c>
      <c r="CB15" s="659">
        <f t="shared" si="16"/>
        <v>0</v>
      </c>
      <c r="CC15" s="659">
        <f t="shared" si="16"/>
        <v>6013761</v>
      </c>
      <c r="CD15" s="659">
        <f t="shared" si="16"/>
        <v>0</v>
      </c>
      <c r="CE15" s="659">
        <f t="shared" ref="CE15:CT16" si="17">CE16</f>
        <v>0</v>
      </c>
      <c r="CF15" s="659">
        <f t="shared" si="17"/>
        <v>5865432</v>
      </c>
      <c r="CG15" s="659">
        <f t="shared" si="17"/>
        <v>72357</v>
      </c>
      <c r="CH15" s="659">
        <f t="shared" si="17"/>
        <v>0</v>
      </c>
      <c r="CI15" s="659">
        <f t="shared" si="17"/>
        <v>0</v>
      </c>
      <c r="CJ15" s="659">
        <f t="shared" si="17"/>
        <v>2688957</v>
      </c>
      <c r="CK15" s="659">
        <f t="shared" si="17"/>
        <v>0</v>
      </c>
      <c r="CL15" s="659">
        <f t="shared" si="17"/>
        <v>0</v>
      </c>
      <c r="CM15" s="659">
        <f t="shared" si="17"/>
        <v>2228455</v>
      </c>
      <c r="CN15" s="659">
        <f t="shared" si="17"/>
        <v>82215</v>
      </c>
      <c r="CO15" s="659">
        <f t="shared" si="17"/>
        <v>0</v>
      </c>
      <c r="CP15" s="659">
        <f t="shared" si="17"/>
        <v>0</v>
      </c>
      <c r="CQ15" s="659">
        <f t="shared" si="17"/>
        <v>2952807</v>
      </c>
      <c r="CR15" s="659">
        <f t="shared" si="17"/>
        <v>0</v>
      </c>
      <c r="CS15" s="659">
        <f t="shared" si="17"/>
        <v>0</v>
      </c>
      <c r="CT15" s="659">
        <f t="shared" si="17"/>
        <v>2951457</v>
      </c>
      <c r="CU15" s="659">
        <f t="shared" ref="CU15:DJ16" si="18">CU16</f>
        <v>66950</v>
      </c>
      <c r="CV15" s="659">
        <f t="shared" si="18"/>
        <v>0</v>
      </c>
      <c r="CW15" s="659">
        <f t="shared" si="18"/>
        <v>0</v>
      </c>
      <c r="CX15" s="659">
        <f t="shared" si="18"/>
        <v>2349200</v>
      </c>
      <c r="CY15" s="659">
        <f t="shared" si="18"/>
        <v>0</v>
      </c>
      <c r="CZ15" s="659">
        <f t="shared" si="18"/>
        <v>0</v>
      </c>
      <c r="DA15" s="659">
        <f t="shared" si="18"/>
        <v>2349200</v>
      </c>
      <c r="DB15" s="659">
        <f t="shared" si="18"/>
        <v>94628</v>
      </c>
      <c r="DC15" s="659">
        <f t="shared" si="18"/>
        <v>0</v>
      </c>
      <c r="DD15" s="659">
        <f t="shared" si="18"/>
        <v>0</v>
      </c>
      <c r="DE15" s="659">
        <f t="shared" si="18"/>
        <v>2842450</v>
      </c>
      <c r="DF15" s="659">
        <f t="shared" si="18"/>
        <v>0</v>
      </c>
      <c r="DG15" s="659">
        <f t="shared" si="18"/>
        <v>0</v>
      </c>
      <c r="DH15" s="659">
        <f t="shared" si="18"/>
        <v>2842120</v>
      </c>
      <c r="DI15" s="659">
        <f t="shared" si="18"/>
        <v>413434</v>
      </c>
      <c r="DJ15" s="659">
        <f t="shared" si="18"/>
        <v>0</v>
      </c>
      <c r="DK15" s="659">
        <f t="shared" ref="DK15:DZ16" si="19">DK16</f>
        <v>0</v>
      </c>
      <c r="DL15" s="659">
        <f t="shared" si="19"/>
        <v>11645648</v>
      </c>
      <c r="DM15" s="659">
        <f t="shared" si="19"/>
        <v>0</v>
      </c>
      <c r="DN15" s="659">
        <f t="shared" si="19"/>
        <v>0</v>
      </c>
      <c r="DO15" s="659">
        <f t="shared" si="19"/>
        <v>11215568</v>
      </c>
      <c r="DP15" s="659">
        <f t="shared" si="19"/>
        <v>158148</v>
      </c>
      <c r="DQ15" s="659">
        <f t="shared" si="19"/>
        <v>0</v>
      </c>
      <c r="DR15" s="659">
        <f t="shared" si="19"/>
        <v>0</v>
      </c>
      <c r="DS15" s="659">
        <f t="shared" si="19"/>
        <v>4252801</v>
      </c>
      <c r="DT15" s="659">
        <f t="shared" si="19"/>
        <v>0</v>
      </c>
      <c r="DU15" s="659">
        <f t="shared" si="19"/>
        <v>0</v>
      </c>
      <c r="DV15" s="659">
        <f t="shared" si="19"/>
        <v>4229998</v>
      </c>
      <c r="DW15" s="659">
        <f t="shared" si="19"/>
        <v>60196</v>
      </c>
      <c r="DX15" s="659">
        <f t="shared" si="19"/>
        <v>0</v>
      </c>
      <c r="DY15" s="659">
        <f t="shared" si="19"/>
        <v>0</v>
      </c>
      <c r="DZ15" s="659">
        <f t="shared" si="19"/>
        <v>1669558</v>
      </c>
      <c r="EA15" s="659">
        <f t="shared" ref="EA15:EP16" si="20">EA16</f>
        <v>0</v>
      </c>
      <c r="EB15" s="659">
        <f t="shared" si="20"/>
        <v>0</v>
      </c>
      <c r="EC15" s="659">
        <f t="shared" si="20"/>
        <v>1605896</v>
      </c>
      <c r="ED15" s="659">
        <f t="shared" si="20"/>
        <v>281704</v>
      </c>
      <c r="EE15" s="659">
        <f t="shared" si="20"/>
        <v>0</v>
      </c>
      <c r="EF15" s="659">
        <f t="shared" si="20"/>
        <v>0</v>
      </c>
      <c r="EG15" s="659">
        <f t="shared" si="20"/>
        <v>7681473</v>
      </c>
      <c r="EH15" s="659">
        <f t="shared" si="20"/>
        <v>0</v>
      </c>
      <c r="EI15" s="659">
        <f t="shared" si="20"/>
        <v>0</v>
      </c>
      <c r="EJ15" s="659">
        <f t="shared" si="20"/>
        <v>7567675</v>
      </c>
      <c r="EK15" s="659">
        <f t="shared" si="20"/>
        <v>43316</v>
      </c>
      <c r="EL15" s="659">
        <f t="shared" si="20"/>
        <v>0</v>
      </c>
      <c r="EM15" s="659">
        <f t="shared" si="20"/>
        <v>0</v>
      </c>
      <c r="EN15" s="659">
        <f t="shared" si="20"/>
        <v>1221076</v>
      </c>
      <c r="EO15" s="659">
        <f t="shared" si="20"/>
        <v>0</v>
      </c>
      <c r="EP15" s="659">
        <f t="shared" si="20"/>
        <v>0</v>
      </c>
      <c r="EQ15" s="659">
        <f t="shared" ref="EM15:EQ16" si="21">EQ16</f>
        <v>1203076</v>
      </c>
    </row>
    <row r="16" spans="1:148" ht="13.95" customHeight="1" x14ac:dyDescent="0.3">
      <c r="A16" s="657" t="s">
        <v>1672</v>
      </c>
      <c r="B16" s="658" t="s">
        <v>269</v>
      </c>
      <c r="C16" s="659">
        <f t="shared" si="12"/>
        <v>2423534</v>
      </c>
      <c r="D16" s="659">
        <f t="shared" si="12"/>
        <v>0</v>
      </c>
      <c r="E16" s="659">
        <f t="shared" si="12"/>
        <v>0</v>
      </c>
      <c r="F16" s="659">
        <f t="shared" si="12"/>
        <v>99598180</v>
      </c>
      <c r="G16" s="659">
        <f t="shared" si="12"/>
        <v>0</v>
      </c>
      <c r="H16" s="659">
        <f t="shared" si="12"/>
        <v>0</v>
      </c>
      <c r="I16" s="659">
        <f t="shared" si="12"/>
        <v>98135571</v>
      </c>
      <c r="J16" s="801">
        <f t="shared" si="12"/>
        <v>202586</v>
      </c>
      <c r="K16" s="659">
        <f t="shared" si="12"/>
        <v>0</v>
      </c>
      <c r="L16" s="659">
        <f t="shared" si="12"/>
        <v>0</v>
      </c>
      <c r="M16" s="659">
        <f t="shared" si="12"/>
        <v>13018488</v>
      </c>
      <c r="N16" s="659">
        <f t="shared" si="12"/>
        <v>0</v>
      </c>
      <c r="O16" s="659">
        <f t="shared" si="12"/>
        <v>0</v>
      </c>
      <c r="P16" s="659">
        <f t="shared" si="12"/>
        <v>13018487</v>
      </c>
      <c r="Q16" s="801">
        <f t="shared" si="12"/>
        <v>14</v>
      </c>
      <c r="R16" s="659">
        <f t="shared" si="12"/>
        <v>0</v>
      </c>
      <c r="S16" s="659">
        <f t="shared" si="13"/>
        <v>535</v>
      </c>
      <c r="T16" s="659">
        <f t="shared" si="13"/>
        <v>0</v>
      </c>
      <c r="U16" s="659">
        <f t="shared" si="13"/>
        <v>0</v>
      </c>
      <c r="V16" s="659">
        <f t="shared" si="13"/>
        <v>520</v>
      </c>
      <c r="W16" s="801">
        <f t="shared" si="13"/>
        <v>258</v>
      </c>
      <c r="X16" s="659">
        <f t="shared" si="13"/>
        <v>0</v>
      </c>
      <c r="Y16" s="659">
        <f t="shared" si="13"/>
        <v>0</v>
      </c>
      <c r="Z16" s="659">
        <f t="shared" si="13"/>
        <v>6377</v>
      </c>
      <c r="AA16" s="659">
        <f t="shared" si="13"/>
        <v>0</v>
      </c>
      <c r="AB16" s="659">
        <f t="shared" si="13"/>
        <v>0</v>
      </c>
      <c r="AC16" s="659">
        <f t="shared" si="13"/>
        <v>6377</v>
      </c>
      <c r="AD16" s="801">
        <f t="shared" si="13"/>
        <v>189118</v>
      </c>
      <c r="AE16" s="659">
        <f t="shared" si="13"/>
        <v>0</v>
      </c>
      <c r="AF16" s="659">
        <f t="shared" si="13"/>
        <v>0</v>
      </c>
      <c r="AG16" s="659">
        <f t="shared" si="13"/>
        <v>11498115</v>
      </c>
      <c r="AH16" s="659">
        <f t="shared" si="13"/>
        <v>0</v>
      </c>
      <c r="AI16" s="659">
        <f t="shared" si="14"/>
        <v>0</v>
      </c>
      <c r="AJ16" s="659">
        <f t="shared" si="14"/>
        <v>11498115</v>
      </c>
      <c r="AK16" s="801">
        <f t="shared" si="14"/>
        <v>289</v>
      </c>
      <c r="AL16" s="659">
        <f t="shared" si="14"/>
        <v>0</v>
      </c>
      <c r="AM16" s="659">
        <f t="shared" si="14"/>
        <v>10639</v>
      </c>
      <c r="AN16" s="659">
        <f t="shared" si="14"/>
        <v>0</v>
      </c>
      <c r="AO16" s="659">
        <f t="shared" si="14"/>
        <v>0</v>
      </c>
      <c r="AP16" s="659">
        <f t="shared" si="14"/>
        <v>10639</v>
      </c>
      <c r="AQ16" s="801">
        <f t="shared" si="14"/>
        <v>129200</v>
      </c>
      <c r="AR16" s="659">
        <f t="shared" si="14"/>
        <v>0</v>
      </c>
      <c r="AS16" s="659">
        <f t="shared" si="14"/>
        <v>0</v>
      </c>
      <c r="AT16" s="659">
        <f t="shared" si="14"/>
        <v>7234084</v>
      </c>
      <c r="AU16" s="659">
        <f t="shared" si="14"/>
        <v>0</v>
      </c>
      <c r="AV16" s="659">
        <f t="shared" si="14"/>
        <v>0</v>
      </c>
      <c r="AW16" s="659">
        <f t="shared" si="14"/>
        <v>7092418</v>
      </c>
      <c r="AX16" s="659">
        <f t="shared" si="14"/>
        <v>20906</v>
      </c>
      <c r="AY16" s="659">
        <f t="shared" si="15"/>
        <v>0</v>
      </c>
      <c r="AZ16" s="659">
        <f t="shared" si="15"/>
        <v>0</v>
      </c>
      <c r="BA16" s="659">
        <f t="shared" si="15"/>
        <v>961556</v>
      </c>
      <c r="BB16" s="659">
        <f t="shared" si="15"/>
        <v>0</v>
      </c>
      <c r="BC16" s="659">
        <f t="shared" si="15"/>
        <v>0</v>
      </c>
      <c r="BD16" s="659">
        <f t="shared" si="15"/>
        <v>938380</v>
      </c>
      <c r="BE16" s="801">
        <f t="shared" si="15"/>
        <v>264379</v>
      </c>
      <c r="BF16" s="659">
        <f t="shared" si="15"/>
        <v>0</v>
      </c>
      <c r="BG16" s="659">
        <f t="shared" si="15"/>
        <v>0</v>
      </c>
      <c r="BH16" s="659">
        <f t="shared" si="15"/>
        <v>15644771</v>
      </c>
      <c r="BI16" s="659">
        <f t="shared" si="15"/>
        <v>0</v>
      </c>
      <c r="BJ16" s="659">
        <f t="shared" si="15"/>
        <v>0</v>
      </c>
      <c r="BK16" s="659">
        <f t="shared" si="15"/>
        <v>15644771</v>
      </c>
      <c r="BL16" s="659">
        <f t="shared" si="15"/>
        <v>128805</v>
      </c>
      <c r="BM16" s="659">
        <f t="shared" si="15"/>
        <v>0</v>
      </c>
      <c r="BN16" s="659">
        <f t="shared" si="15"/>
        <v>0</v>
      </c>
      <c r="BO16" s="659">
        <f t="shared" si="16"/>
        <v>4094679</v>
      </c>
      <c r="BP16" s="659">
        <f t="shared" si="16"/>
        <v>0</v>
      </c>
      <c r="BQ16" s="659">
        <f t="shared" si="16"/>
        <v>0</v>
      </c>
      <c r="BR16" s="659">
        <f t="shared" si="16"/>
        <v>4055782</v>
      </c>
      <c r="BS16" s="659">
        <f t="shared" si="16"/>
        <v>78090</v>
      </c>
      <c r="BT16" s="659">
        <f t="shared" si="16"/>
        <v>0</v>
      </c>
      <c r="BU16" s="659">
        <f t="shared" si="16"/>
        <v>0</v>
      </c>
      <c r="BV16" s="659">
        <f t="shared" si="16"/>
        <v>3811205</v>
      </c>
      <c r="BW16" s="659">
        <f t="shared" si="16"/>
        <v>0</v>
      </c>
      <c r="BX16" s="659">
        <f t="shared" si="16"/>
        <v>0</v>
      </c>
      <c r="BY16" s="659">
        <f t="shared" si="16"/>
        <v>3811205</v>
      </c>
      <c r="BZ16" s="659">
        <f t="shared" si="16"/>
        <v>136940</v>
      </c>
      <c r="CA16" s="659">
        <f t="shared" si="16"/>
        <v>0</v>
      </c>
      <c r="CB16" s="659">
        <f t="shared" si="16"/>
        <v>0</v>
      </c>
      <c r="CC16" s="659">
        <f t="shared" si="16"/>
        <v>6013761</v>
      </c>
      <c r="CD16" s="659">
        <f t="shared" si="16"/>
        <v>0</v>
      </c>
      <c r="CE16" s="659">
        <f t="shared" si="17"/>
        <v>0</v>
      </c>
      <c r="CF16" s="659">
        <f t="shared" si="17"/>
        <v>5865432</v>
      </c>
      <c r="CG16" s="659">
        <f t="shared" si="17"/>
        <v>72357</v>
      </c>
      <c r="CH16" s="659">
        <f t="shared" si="17"/>
        <v>0</v>
      </c>
      <c r="CI16" s="659">
        <f t="shared" si="17"/>
        <v>0</v>
      </c>
      <c r="CJ16" s="659">
        <f t="shared" si="17"/>
        <v>2688957</v>
      </c>
      <c r="CK16" s="659">
        <f t="shared" si="17"/>
        <v>0</v>
      </c>
      <c r="CL16" s="659">
        <f t="shared" si="17"/>
        <v>0</v>
      </c>
      <c r="CM16" s="659">
        <f t="shared" si="17"/>
        <v>2228455</v>
      </c>
      <c r="CN16" s="659">
        <f t="shared" si="17"/>
        <v>82215</v>
      </c>
      <c r="CO16" s="659">
        <f t="shared" si="17"/>
        <v>0</v>
      </c>
      <c r="CP16" s="659">
        <f t="shared" si="17"/>
        <v>0</v>
      </c>
      <c r="CQ16" s="659">
        <f t="shared" si="17"/>
        <v>2952807</v>
      </c>
      <c r="CR16" s="659">
        <f t="shared" si="17"/>
        <v>0</v>
      </c>
      <c r="CS16" s="659">
        <f t="shared" si="17"/>
        <v>0</v>
      </c>
      <c r="CT16" s="659">
        <f t="shared" si="17"/>
        <v>2951457</v>
      </c>
      <c r="CU16" s="659">
        <f t="shared" si="18"/>
        <v>66950</v>
      </c>
      <c r="CV16" s="659">
        <f t="shared" si="18"/>
        <v>0</v>
      </c>
      <c r="CW16" s="659">
        <f t="shared" si="18"/>
        <v>0</v>
      </c>
      <c r="CX16" s="659">
        <f t="shared" si="18"/>
        <v>2349200</v>
      </c>
      <c r="CY16" s="659">
        <f t="shared" si="18"/>
        <v>0</v>
      </c>
      <c r="CZ16" s="659">
        <f t="shared" si="18"/>
        <v>0</v>
      </c>
      <c r="DA16" s="659">
        <f t="shared" si="18"/>
        <v>2349200</v>
      </c>
      <c r="DB16" s="659">
        <f t="shared" si="18"/>
        <v>94628</v>
      </c>
      <c r="DC16" s="659">
        <f t="shared" si="18"/>
        <v>0</v>
      </c>
      <c r="DD16" s="659">
        <f t="shared" si="18"/>
        <v>0</v>
      </c>
      <c r="DE16" s="659">
        <f t="shared" si="18"/>
        <v>2842450</v>
      </c>
      <c r="DF16" s="659">
        <f t="shared" si="18"/>
        <v>0</v>
      </c>
      <c r="DG16" s="659">
        <f t="shared" si="18"/>
        <v>0</v>
      </c>
      <c r="DH16" s="659">
        <f t="shared" si="18"/>
        <v>2842120</v>
      </c>
      <c r="DI16" s="659">
        <f t="shared" si="18"/>
        <v>413434</v>
      </c>
      <c r="DJ16" s="659">
        <f t="shared" si="18"/>
        <v>0</v>
      </c>
      <c r="DK16" s="659">
        <f t="shared" si="19"/>
        <v>0</v>
      </c>
      <c r="DL16" s="659">
        <f t="shared" si="19"/>
        <v>11645648</v>
      </c>
      <c r="DM16" s="659">
        <f t="shared" si="19"/>
        <v>0</v>
      </c>
      <c r="DN16" s="659">
        <f t="shared" si="19"/>
        <v>0</v>
      </c>
      <c r="DO16" s="659">
        <f t="shared" si="19"/>
        <v>11215568</v>
      </c>
      <c r="DP16" s="659">
        <f t="shared" si="19"/>
        <v>158148</v>
      </c>
      <c r="DQ16" s="659">
        <f t="shared" si="19"/>
        <v>0</v>
      </c>
      <c r="DR16" s="659">
        <f t="shared" si="19"/>
        <v>0</v>
      </c>
      <c r="DS16" s="659">
        <f t="shared" si="19"/>
        <v>4252801</v>
      </c>
      <c r="DT16" s="659">
        <f t="shared" si="19"/>
        <v>0</v>
      </c>
      <c r="DU16" s="659">
        <f t="shared" si="19"/>
        <v>0</v>
      </c>
      <c r="DV16" s="659">
        <f t="shared" si="19"/>
        <v>4229998</v>
      </c>
      <c r="DW16" s="659">
        <f t="shared" si="19"/>
        <v>60196</v>
      </c>
      <c r="DX16" s="659">
        <f t="shared" si="19"/>
        <v>0</v>
      </c>
      <c r="DY16" s="659">
        <f t="shared" si="19"/>
        <v>0</v>
      </c>
      <c r="DZ16" s="659">
        <f t="shared" si="19"/>
        <v>1669558</v>
      </c>
      <c r="EA16" s="659">
        <f t="shared" si="20"/>
        <v>0</v>
      </c>
      <c r="EB16" s="659">
        <f t="shared" si="20"/>
        <v>0</v>
      </c>
      <c r="EC16" s="659">
        <f t="shared" si="20"/>
        <v>1605896</v>
      </c>
      <c r="ED16" s="659">
        <f t="shared" si="20"/>
        <v>281704</v>
      </c>
      <c r="EE16" s="659">
        <f t="shared" si="20"/>
        <v>0</v>
      </c>
      <c r="EF16" s="659">
        <f t="shared" si="20"/>
        <v>0</v>
      </c>
      <c r="EG16" s="659">
        <f t="shared" si="20"/>
        <v>7681473</v>
      </c>
      <c r="EH16" s="659">
        <f t="shared" si="20"/>
        <v>0</v>
      </c>
      <c r="EI16" s="659">
        <f t="shared" si="20"/>
        <v>0</v>
      </c>
      <c r="EJ16" s="659">
        <f t="shared" si="20"/>
        <v>7567675</v>
      </c>
      <c r="EK16" s="659">
        <f t="shared" si="20"/>
        <v>43316</v>
      </c>
      <c r="EL16" s="659">
        <f t="shared" si="20"/>
        <v>0</v>
      </c>
      <c r="EM16" s="659">
        <f t="shared" si="21"/>
        <v>0</v>
      </c>
      <c r="EN16" s="659">
        <f t="shared" si="21"/>
        <v>1221076</v>
      </c>
      <c r="EO16" s="659">
        <f t="shared" si="21"/>
        <v>0</v>
      </c>
      <c r="EP16" s="659">
        <f t="shared" si="21"/>
        <v>0</v>
      </c>
      <c r="EQ16" s="659">
        <f t="shared" si="21"/>
        <v>1203076</v>
      </c>
    </row>
    <row r="17" spans="1:147" ht="20.7" customHeight="1" x14ac:dyDescent="0.3">
      <c r="A17" s="657" t="s">
        <v>1673</v>
      </c>
      <c r="B17" s="658" t="s">
        <v>269</v>
      </c>
      <c r="C17" s="659">
        <f t="shared" ref="C17:BN17" si="22">C18+C21+C23+C25+C29+C32+C33+C35</f>
        <v>2423534</v>
      </c>
      <c r="D17" s="659">
        <f t="shared" si="22"/>
        <v>0</v>
      </c>
      <c r="E17" s="659">
        <f t="shared" si="22"/>
        <v>0</v>
      </c>
      <c r="F17" s="659">
        <f t="shared" si="22"/>
        <v>99598180</v>
      </c>
      <c r="G17" s="659">
        <f t="shared" si="22"/>
        <v>0</v>
      </c>
      <c r="H17" s="659">
        <f t="shared" si="22"/>
        <v>0</v>
      </c>
      <c r="I17" s="659">
        <f t="shared" si="22"/>
        <v>98135571</v>
      </c>
      <c r="J17" s="801">
        <f t="shared" si="22"/>
        <v>202586</v>
      </c>
      <c r="K17" s="659">
        <f t="shared" si="22"/>
        <v>0</v>
      </c>
      <c r="L17" s="659">
        <f t="shared" si="22"/>
        <v>0</v>
      </c>
      <c r="M17" s="659">
        <f t="shared" si="22"/>
        <v>13018488</v>
      </c>
      <c r="N17" s="659">
        <f t="shared" si="22"/>
        <v>0</v>
      </c>
      <c r="O17" s="659">
        <f t="shared" si="22"/>
        <v>0</v>
      </c>
      <c r="P17" s="659">
        <f t="shared" si="22"/>
        <v>13018487</v>
      </c>
      <c r="Q17" s="801">
        <f t="shared" si="22"/>
        <v>14</v>
      </c>
      <c r="R17" s="659">
        <f t="shared" si="22"/>
        <v>0</v>
      </c>
      <c r="S17" s="659">
        <f t="shared" si="22"/>
        <v>535</v>
      </c>
      <c r="T17" s="659">
        <f t="shared" si="22"/>
        <v>0</v>
      </c>
      <c r="U17" s="659">
        <f t="shared" si="22"/>
        <v>0</v>
      </c>
      <c r="V17" s="659">
        <f t="shared" si="22"/>
        <v>520</v>
      </c>
      <c r="W17" s="801">
        <f t="shared" si="22"/>
        <v>258</v>
      </c>
      <c r="X17" s="659">
        <f t="shared" si="22"/>
        <v>0</v>
      </c>
      <c r="Y17" s="659">
        <f t="shared" si="22"/>
        <v>0</v>
      </c>
      <c r="Z17" s="659">
        <f t="shared" si="22"/>
        <v>6377</v>
      </c>
      <c r="AA17" s="659">
        <f t="shared" si="22"/>
        <v>0</v>
      </c>
      <c r="AB17" s="659">
        <f t="shared" si="22"/>
        <v>0</v>
      </c>
      <c r="AC17" s="659">
        <f t="shared" si="22"/>
        <v>6377</v>
      </c>
      <c r="AD17" s="801">
        <f t="shared" si="22"/>
        <v>189118</v>
      </c>
      <c r="AE17" s="659">
        <f t="shared" si="22"/>
        <v>0</v>
      </c>
      <c r="AF17" s="659">
        <f t="shared" si="22"/>
        <v>0</v>
      </c>
      <c r="AG17" s="659">
        <f t="shared" si="22"/>
        <v>11498115</v>
      </c>
      <c r="AH17" s="659">
        <f t="shared" si="22"/>
        <v>0</v>
      </c>
      <c r="AI17" s="659">
        <f t="shared" si="22"/>
        <v>0</v>
      </c>
      <c r="AJ17" s="659">
        <f t="shared" si="22"/>
        <v>11498115</v>
      </c>
      <c r="AK17" s="801">
        <f t="shared" si="22"/>
        <v>289</v>
      </c>
      <c r="AL17" s="659">
        <f t="shared" si="22"/>
        <v>0</v>
      </c>
      <c r="AM17" s="659">
        <f t="shared" si="22"/>
        <v>10639</v>
      </c>
      <c r="AN17" s="659">
        <f t="shared" si="22"/>
        <v>0</v>
      </c>
      <c r="AO17" s="659">
        <f t="shared" si="22"/>
        <v>0</v>
      </c>
      <c r="AP17" s="659">
        <f t="shared" si="22"/>
        <v>10639</v>
      </c>
      <c r="AQ17" s="801">
        <f t="shared" si="22"/>
        <v>129200</v>
      </c>
      <c r="AR17" s="659">
        <f t="shared" si="22"/>
        <v>0</v>
      </c>
      <c r="AS17" s="659">
        <f t="shared" si="22"/>
        <v>0</v>
      </c>
      <c r="AT17" s="659">
        <f t="shared" si="22"/>
        <v>7234084</v>
      </c>
      <c r="AU17" s="659">
        <f t="shared" si="22"/>
        <v>0</v>
      </c>
      <c r="AV17" s="659">
        <f t="shared" si="22"/>
        <v>0</v>
      </c>
      <c r="AW17" s="659">
        <f t="shared" si="22"/>
        <v>7092418</v>
      </c>
      <c r="AX17" s="659">
        <f t="shared" si="22"/>
        <v>20906</v>
      </c>
      <c r="AY17" s="659">
        <f t="shared" si="22"/>
        <v>0</v>
      </c>
      <c r="AZ17" s="659">
        <f t="shared" si="22"/>
        <v>0</v>
      </c>
      <c r="BA17" s="659">
        <f t="shared" si="22"/>
        <v>961556</v>
      </c>
      <c r="BB17" s="659">
        <f t="shared" si="22"/>
        <v>0</v>
      </c>
      <c r="BC17" s="659">
        <f t="shared" si="22"/>
        <v>0</v>
      </c>
      <c r="BD17" s="659">
        <f t="shared" si="22"/>
        <v>938380</v>
      </c>
      <c r="BE17" s="801">
        <f t="shared" si="22"/>
        <v>264379</v>
      </c>
      <c r="BF17" s="659">
        <f t="shared" si="22"/>
        <v>0</v>
      </c>
      <c r="BG17" s="659">
        <f t="shared" si="22"/>
        <v>0</v>
      </c>
      <c r="BH17" s="659">
        <f t="shared" si="22"/>
        <v>15644771</v>
      </c>
      <c r="BI17" s="659">
        <f t="shared" si="22"/>
        <v>0</v>
      </c>
      <c r="BJ17" s="659">
        <f t="shared" si="22"/>
        <v>0</v>
      </c>
      <c r="BK17" s="659">
        <f t="shared" si="22"/>
        <v>15644771</v>
      </c>
      <c r="BL17" s="659">
        <f t="shared" si="22"/>
        <v>128805</v>
      </c>
      <c r="BM17" s="659">
        <f t="shared" si="22"/>
        <v>0</v>
      </c>
      <c r="BN17" s="659">
        <f t="shared" si="22"/>
        <v>0</v>
      </c>
      <c r="BO17" s="659">
        <f t="shared" ref="BO17:DZ17" si="23">BO18+BO21+BO23+BO25+BO29+BO32+BO33+BO35</f>
        <v>4094679</v>
      </c>
      <c r="BP17" s="659">
        <f t="shared" si="23"/>
        <v>0</v>
      </c>
      <c r="BQ17" s="659">
        <f t="shared" si="23"/>
        <v>0</v>
      </c>
      <c r="BR17" s="659">
        <f t="shared" si="23"/>
        <v>4055782</v>
      </c>
      <c r="BS17" s="659">
        <f t="shared" si="23"/>
        <v>78090</v>
      </c>
      <c r="BT17" s="659">
        <f t="shared" si="23"/>
        <v>0</v>
      </c>
      <c r="BU17" s="659">
        <f t="shared" si="23"/>
        <v>0</v>
      </c>
      <c r="BV17" s="659">
        <f t="shared" si="23"/>
        <v>3811205</v>
      </c>
      <c r="BW17" s="659">
        <f t="shared" si="23"/>
        <v>0</v>
      </c>
      <c r="BX17" s="659">
        <f t="shared" si="23"/>
        <v>0</v>
      </c>
      <c r="BY17" s="659">
        <f t="shared" si="23"/>
        <v>3811205</v>
      </c>
      <c r="BZ17" s="659">
        <f t="shared" si="23"/>
        <v>136940</v>
      </c>
      <c r="CA17" s="659">
        <f t="shared" si="23"/>
        <v>0</v>
      </c>
      <c r="CB17" s="659">
        <f t="shared" si="23"/>
        <v>0</v>
      </c>
      <c r="CC17" s="659">
        <f t="shared" si="23"/>
        <v>6013761</v>
      </c>
      <c r="CD17" s="659">
        <f t="shared" si="23"/>
        <v>0</v>
      </c>
      <c r="CE17" s="659">
        <f t="shared" si="23"/>
        <v>0</v>
      </c>
      <c r="CF17" s="659">
        <f t="shared" si="23"/>
        <v>5865432</v>
      </c>
      <c r="CG17" s="659">
        <f t="shared" si="23"/>
        <v>72357</v>
      </c>
      <c r="CH17" s="659">
        <f t="shared" si="23"/>
        <v>0</v>
      </c>
      <c r="CI17" s="659">
        <f t="shared" si="23"/>
        <v>0</v>
      </c>
      <c r="CJ17" s="659">
        <f t="shared" si="23"/>
        <v>2688957</v>
      </c>
      <c r="CK17" s="659">
        <f t="shared" si="23"/>
        <v>0</v>
      </c>
      <c r="CL17" s="659">
        <f t="shared" si="23"/>
        <v>0</v>
      </c>
      <c r="CM17" s="659">
        <f t="shared" si="23"/>
        <v>2228455</v>
      </c>
      <c r="CN17" s="659">
        <f t="shared" si="23"/>
        <v>82215</v>
      </c>
      <c r="CO17" s="659">
        <f t="shared" si="23"/>
        <v>0</v>
      </c>
      <c r="CP17" s="659">
        <f t="shared" si="23"/>
        <v>0</v>
      </c>
      <c r="CQ17" s="659">
        <f t="shared" si="23"/>
        <v>2952807</v>
      </c>
      <c r="CR17" s="659">
        <f t="shared" si="23"/>
        <v>0</v>
      </c>
      <c r="CS17" s="659">
        <f t="shared" si="23"/>
        <v>0</v>
      </c>
      <c r="CT17" s="659">
        <f t="shared" si="23"/>
        <v>2951457</v>
      </c>
      <c r="CU17" s="659">
        <f t="shared" si="23"/>
        <v>66950</v>
      </c>
      <c r="CV17" s="659">
        <f t="shared" si="23"/>
        <v>0</v>
      </c>
      <c r="CW17" s="659">
        <f t="shared" si="23"/>
        <v>0</v>
      </c>
      <c r="CX17" s="659">
        <f t="shared" si="23"/>
        <v>2349200</v>
      </c>
      <c r="CY17" s="659">
        <f t="shared" si="23"/>
        <v>0</v>
      </c>
      <c r="CZ17" s="659">
        <f t="shared" si="23"/>
        <v>0</v>
      </c>
      <c r="DA17" s="659">
        <f t="shared" si="23"/>
        <v>2349200</v>
      </c>
      <c r="DB17" s="659">
        <f t="shared" si="23"/>
        <v>94628</v>
      </c>
      <c r="DC17" s="659">
        <f t="shared" si="23"/>
        <v>0</v>
      </c>
      <c r="DD17" s="659">
        <f t="shared" si="23"/>
        <v>0</v>
      </c>
      <c r="DE17" s="659">
        <f t="shared" si="23"/>
        <v>2842450</v>
      </c>
      <c r="DF17" s="659">
        <f t="shared" si="23"/>
        <v>0</v>
      </c>
      <c r="DG17" s="659">
        <f t="shared" si="23"/>
        <v>0</v>
      </c>
      <c r="DH17" s="659">
        <f t="shared" si="23"/>
        <v>2842120</v>
      </c>
      <c r="DI17" s="659">
        <f t="shared" si="23"/>
        <v>413434</v>
      </c>
      <c r="DJ17" s="659">
        <f t="shared" si="23"/>
        <v>0</v>
      </c>
      <c r="DK17" s="659">
        <f t="shared" si="23"/>
        <v>0</v>
      </c>
      <c r="DL17" s="659">
        <f t="shared" si="23"/>
        <v>11645648</v>
      </c>
      <c r="DM17" s="659">
        <f t="shared" si="23"/>
        <v>0</v>
      </c>
      <c r="DN17" s="659">
        <f t="shared" si="23"/>
        <v>0</v>
      </c>
      <c r="DO17" s="659">
        <f t="shared" si="23"/>
        <v>11215568</v>
      </c>
      <c r="DP17" s="659">
        <f t="shared" si="23"/>
        <v>158148</v>
      </c>
      <c r="DQ17" s="659">
        <f t="shared" si="23"/>
        <v>0</v>
      </c>
      <c r="DR17" s="659">
        <f t="shared" si="23"/>
        <v>0</v>
      </c>
      <c r="DS17" s="659">
        <f t="shared" si="23"/>
        <v>4252801</v>
      </c>
      <c r="DT17" s="659">
        <f t="shared" si="23"/>
        <v>0</v>
      </c>
      <c r="DU17" s="659">
        <f t="shared" si="23"/>
        <v>0</v>
      </c>
      <c r="DV17" s="659">
        <f t="shared" si="23"/>
        <v>4229998</v>
      </c>
      <c r="DW17" s="659">
        <f t="shared" si="23"/>
        <v>60196</v>
      </c>
      <c r="DX17" s="659">
        <f t="shared" si="23"/>
        <v>0</v>
      </c>
      <c r="DY17" s="659">
        <f t="shared" si="23"/>
        <v>0</v>
      </c>
      <c r="DZ17" s="659">
        <f t="shared" si="23"/>
        <v>1669558</v>
      </c>
      <c r="EA17" s="659">
        <f t="shared" ref="EA17:EQ17" si="24">EA18+EA21+EA23+EA25+EA29+EA32+EA33+EA35</f>
        <v>0</v>
      </c>
      <c r="EB17" s="659">
        <f t="shared" si="24"/>
        <v>0</v>
      </c>
      <c r="EC17" s="659">
        <f t="shared" si="24"/>
        <v>1605896</v>
      </c>
      <c r="ED17" s="659">
        <f t="shared" si="24"/>
        <v>281704</v>
      </c>
      <c r="EE17" s="659">
        <f t="shared" si="24"/>
        <v>0</v>
      </c>
      <c r="EF17" s="659">
        <f t="shared" si="24"/>
        <v>0</v>
      </c>
      <c r="EG17" s="659">
        <f t="shared" si="24"/>
        <v>7681473</v>
      </c>
      <c r="EH17" s="659">
        <f t="shared" si="24"/>
        <v>0</v>
      </c>
      <c r="EI17" s="659">
        <f t="shared" si="24"/>
        <v>0</v>
      </c>
      <c r="EJ17" s="659">
        <f t="shared" si="24"/>
        <v>7567675</v>
      </c>
      <c r="EK17" s="659">
        <f t="shared" si="24"/>
        <v>43316</v>
      </c>
      <c r="EL17" s="659">
        <f t="shared" si="24"/>
        <v>0</v>
      </c>
      <c r="EM17" s="659">
        <f t="shared" si="24"/>
        <v>0</v>
      </c>
      <c r="EN17" s="659">
        <f t="shared" si="24"/>
        <v>1221076</v>
      </c>
      <c r="EO17" s="659">
        <f t="shared" si="24"/>
        <v>0</v>
      </c>
      <c r="EP17" s="659">
        <f t="shared" si="24"/>
        <v>0</v>
      </c>
      <c r="EQ17" s="659">
        <f t="shared" si="24"/>
        <v>1203076</v>
      </c>
    </row>
    <row r="18" spans="1:147" ht="13.95" customHeight="1" x14ac:dyDescent="0.3">
      <c r="A18" s="657" t="s">
        <v>1674</v>
      </c>
      <c r="B18" s="658" t="s">
        <v>269</v>
      </c>
      <c r="C18" s="659">
        <v>530676</v>
      </c>
      <c r="D18" s="659">
        <v>0</v>
      </c>
      <c r="E18" s="659">
        <v>0</v>
      </c>
      <c r="F18" s="659">
        <v>27469318</v>
      </c>
      <c r="G18" s="659">
        <v>0</v>
      </c>
      <c r="H18" s="659">
        <v>0</v>
      </c>
      <c r="I18" s="659">
        <v>27274425</v>
      </c>
      <c r="J18" s="801">
        <v>66973</v>
      </c>
      <c r="K18" s="659">
        <v>0</v>
      </c>
      <c r="L18" s="659">
        <v>0</v>
      </c>
      <c r="M18" s="659">
        <v>3820316</v>
      </c>
      <c r="N18" s="659">
        <v>0</v>
      </c>
      <c r="O18" s="659">
        <v>0</v>
      </c>
      <c r="P18" s="659">
        <v>3820316</v>
      </c>
      <c r="Q18" s="801">
        <v>6</v>
      </c>
      <c r="R18" s="659">
        <v>0</v>
      </c>
      <c r="S18" s="659">
        <v>230</v>
      </c>
      <c r="T18" s="659">
        <v>0</v>
      </c>
      <c r="U18" s="659">
        <v>0</v>
      </c>
      <c r="V18" s="659">
        <v>220</v>
      </c>
      <c r="W18" s="801">
        <v>166</v>
      </c>
      <c r="X18" s="659">
        <v>0</v>
      </c>
      <c r="Y18" s="659">
        <v>0</v>
      </c>
      <c r="Z18" s="659">
        <v>4520</v>
      </c>
      <c r="AA18" s="659">
        <v>0</v>
      </c>
      <c r="AB18" s="659">
        <v>0</v>
      </c>
      <c r="AC18" s="659">
        <v>4520</v>
      </c>
      <c r="AD18" s="801">
        <v>54767</v>
      </c>
      <c r="AE18" s="659">
        <v>0</v>
      </c>
      <c r="AF18" s="659">
        <v>0</v>
      </c>
      <c r="AG18" s="659">
        <v>3032106</v>
      </c>
      <c r="AH18" s="659">
        <v>0</v>
      </c>
      <c r="AI18" s="659">
        <v>0</v>
      </c>
      <c r="AJ18" s="659">
        <v>3032106</v>
      </c>
      <c r="AK18" s="801">
        <v>71</v>
      </c>
      <c r="AL18" s="659">
        <v>0</v>
      </c>
      <c r="AM18" s="659">
        <v>2800</v>
      </c>
      <c r="AN18" s="659">
        <v>0</v>
      </c>
      <c r="AO18" s="659">
        <v>0</v>
      </c>
      <c r="AP18" s="659">
        <v>2800</v>
      </c>
      <c r="AQ18" s="801">
        <v>91189</v>
      </c>
      <c r="AR18" s="659">
        <v>0</v>
      </c>
      <c r="AS18" s="659">
        <v>0</v>
      </c>
      <c r="AT18" s="659">
        <v>5145470</v>
      </c>
      <c r="AU18" s="659">
        <v>0</v>
      </c>
      <c r="AV18" s="659">
        <v>0</v>
      </c>
      <c r="AW18" s="659">
        <v>5042550</v>
      </c>
      <c r="AX18" s="659">
        <v>13160</v>
      </c>
      <c r="AY18" s="659">
        <v>0</v>
      </c>
      <c r="AZ18" s="659">
        <v>0</v>
      </c>
      <c r="BA18" s="659">
        <v>580084</v>
      </c>
      <c r="BB18" s="659">
        <v>0</v>
      </c>
      <c r="BC18" s="659">
        <v>0</v>
      </c>
      <c r="BD18" s="659">
        <v>557798</v>
      </c>
      <c r="BE18" s="801">
        <v>143144</v>
      </c>
      <c r="BF18" s="659">
        <v>0</v>
      </c>
      <c r="BG18" s="659">
        <v>0</v>
      </c>
      <c r="BH18" s="659">
        <v>8614405</v>
      </c>
      <c r="BI18" s="659">
        <v>0</v>
      </c>
      <c r="BJ18" s="659">
        <v>0</v>
      </c>
      <c r="BK18" s="659">
        <v>8614405</v>
      </c>
      <c r="BL18" s="659">
        <v>30382</v>
      </c>
      <c r="BM18" s="659">
        <v>0</v>
      </c>
      <c r="BN18" s="659">
        <v>0</v>
      </c>
      <c r="BO18" s="659">
        <v>1053482</v>
      </c>
      <c r="BP18" s="659">
        <v>0</v>
      </c>
      <c r="BQ18" s="659">
        <v>0</v>
      </c>
      <c r="BR18" s="659">
        <v>1043495</v>
      </c>
      <c r="BS18" s="659">
        <v>27900</v>
      </c>
      <c r="BT18" s="659">
        <v>0</v>
      </c>
      <c r="BU18" s="659">
        <v>0</v>
      </c>
      <c r="BV18" s="659">
        <v>1508250</v>
      </c>
      <c r="BW18" s="659">
        <v>0</v>
      </c>
      <c r="BX18" s="659">
        <v>0</v>
      </c>
      <c r="BY18" s="659">
        <v>1508250</v>
      </c>
      <c r="BZ18" s="659">
        <v>13838</v>
      </c>
      <c r="CA18" s="659">
        <v>0</v>
      </c>
      <c r="CB18" s="659">
        <v>0</v>
      </c>
      <c r="CC18" s="659">
        <v>684524</v>
      </c>
      <c r="CD18" s="659">
        <v>0</v>
      </c>
      <c r="CE18" s="659">
        <v>0</v>
      </c>
      <c r="CF18" s="659">
        <v>659233</v>
      </c>
      <c r="CG18" s="659">
        <v>12580</v>
      </c>
      <c r="CH18" s="659">
        <v>0</v>
      </c>
      <c r="CI18" s="659">
        <v>0</v>
      </c>
      <c r="CJ18" s="659">
        <v>497800</v>
      </c>
      <c r="CK18" s="659">
        <v>0</v>
      </c>
      <c r="CL18" s="659">
        <v>0</v>
      </c>
      <c r="CM18" s="659">
        <v>487500</v>
      </c>
      <c r="CN18" s="659">
        <v>22623</v>
      </c>
      <c r="CO18" s="659">
        <v>0</v>
      </c>
      <c r="CP18" s="659">
        <v>0</v>
      </c>
      <c r="CQ18" s="659">
        <v>913120</v>
      </c>
      <c r="CR18" s="659">
        <v>0</v>
      </c>
      <c r="CS18" s="659">
        <v>0</v>
      </c>
      <c r="CT18" s="659">
        <v>913120</v>
      </c>
      <c r="CU18" s="659">
        <v>3600</v>
      </c>
      <c r="CV18" s="659">
        <v>0</v>
      </c>
      <c r="CW18" s="659">
        <v>0</v>
      </c>
      <c r="CX18" s="659">
        <v>134600</v>
      </c>
      <c r="CY18" s="659">
        <v>0</v>
      </c>
      <c r="CZ18" s="659">
        <v>0</v>
      </c>
      <c r="DA18" s="659">
        <v>134600</v>
      </c>
      <c r="DB18" s="659">
        <v>16669</v>
      </c>
      <c r="DC18" s="659">
        <v>0</v>
      </c>
      <c r="DD18" s="659">
        <v>0</v>
      </c>
      <c r="DE18" s="659">
        <v>546468</v>
      </c>
      <c r="DF18" s="659">
        <v>0</v>
      </c>
      <c r="DG18" s="659">
        <v>0</v>
      </c>
      <c r="DH18" s="659">
        <v>546468</v>
      </c>
      <c r="DI18" s="659">
        <v>15200</v>
      </c>
      <c r="DJ18" s="659">
        <v>0</v>
      </c>
      <c r="DK18" s="659">
        <v>0</v>
      </c>
      <c r="DL18" s="659">
        <v>410800</v>
      </c>
      <c r="DM18" s="659">
        <v>0</v>
      </c>
      <c r="DN18" s="659">
        <v>0</v>
      </c>
      <c r="DO18" s="659">
        <v>402200</v>
      </c>
      <c r="DP18" s="659">
        <v>6952</v>
      </c>
      <c r="DQ18" s="659">
        <v>0</v>
      </c>
      <c r="DR18" s="659">
        <v>0</v>
      </c>
      <c r="DS18" s="659">
        <v>187190</v>
      </c>
      <c r="DT18" s="659">
        <v>0</v>
      </c>
      <c r="DU18" s="659">
        <v>0</v>
      </c>
      <c r="DV18" s="659">
        <v>186741</v>
      </c>
      <c r="DW18" s="659">
        <v>10311</v>
      </c>
      <c r="DX18" s="659">
        <v>0</v>
      </c>
      <c r="DY18" s="659">
        <v>0</v>
      </c>
      <c r="DZ18" s="659">
        <v>304063</v>
      </c>
      <c r="EA18" s="659">
        <v>0</v>
      </c>
      <c r="EB18" s="659">
        <v>0</v>
      </c>
      <c r="EC18" s="659">
        <v>289413</v>
      </c>
      <c r="ED18" s="659">
        <v>390</v>
      </c>
      <c r="EE18" s="659">
        <v>0</v>
      </c>
      <c r="EF18" s="659">
        <v>0</v>
      </c>
      <c r="EG18" s="659">
        <v>10100</v>
      </c>
      <c r="EH18" s="659">
        <v>0</v>
      </c>
      <c r="EI18" s="659">
        <v>0</v>
      </c>
      <c r="EJ18" s="659">
        <v>9700</v>
      </c>
      <c r="EK18" s="659">
        <v>755</v>
      </c>
      <c r="EL18" s="659">
        <v>0</v>
      </c>
      <c r="EM18" s="659">
        <v>0</v>
      </c>
      <c r="EN18" s="659">
        <v>18990</v>
      </c>
      <c r="EO18" s="659">
        <v>0</v>
      </c>
      <c r="EP18" s="659">
        <v>0</v>
      </c>
      <c r="EQ18" s="659">
        <v>18990</v>
      </c>
    </row>
    <row r="19" spans="1:147" ht="20.7" customHeight="1" x14ac:dyDescent="0.3">
      <c r="A19" s="657" t="s">
        <v>1675</v>
      </c>
      <c r="B19" s="658" t="s">
        <v>269</v>
      </c>
      <c r="C19" s="659">
        <v>0</v>
      </c>
      <c r="D19" s="659">
        <v>0</v>
      </c>
      <c r="E19" s="659">
        <v>0</v>
      </c>
      <c r="F19" s="659">
        <v>0</v>
      </c>
      <c r="G19" s="659">
        <v>0</v>
      </c>
      <c r="H19" s="659">
        <v>0</v>
      </c>
      <c r="I19" s="659">
        <v>0</v>
      </c>
      <c r="J19" s="801">
        <v>0</v>
      </c>
      <c r="K19" s="659">
        <v>0</v>
      </c>
      <c r="L19" s="659">
        <v>0</v>
      </c>
      <c r="M19" s="659">
        <v>0</v>
      </c>
      <c r="N19" s="659">
        <v>0</v>
      </c>
      <c r="O19" s="659">
        <v>0</v>
      </c>
      <c r="P19" s="659">
        <v>0</v>
      </c>
      <c r="Q19" s="801">
        <v>0</v>
      </c>
      <c r="R19" s="659">
        <v>0</v>
      </c>
      <c r="S19" s="659">
        <v>0</v>
      </c>
      <c r="T19" s="659">
        <v>0</v>
      </c>
      <c r="U19" s="659">
        <v>0</v>
      </c>
      <c r="V19" s="659">
        <v>0</v>
      </c>
      <c r="W19" s="801">
        <v>0</v>
      </c>
      <c r="X19" s="659">
        <v>0</v>
      </c>
      <c r="Y19" s="659">
        <v>0</v>
      </c>
      <c r="Z19" s="659">
        <v>0</v>
      </c>
      <c r="AA19" s="659">
        <v>0</v>
      </c>
      <c r="AB19" s="659">
        <v>0</v>
      </c>
      <c r="AC19" s="659">
        <v>0</v>
      </c>
      <c r="AD19" s="801">
        <v>0</v>
      </c>
      <c r="AE19" s="659">
        <v>0</v>
      </c>
      <c r="AF19" s="659">
        <v>0</v>
      </c>
      <c r="AG19" s="659">
        <v>0</v>
      </c>
      <c r="AH19" s="659">
        <v>0</v>
      </c>
      <c r="AI19" s="659">
        <v>0</v>
      </c>
      <c r="AJ19" s="659">
        <v>0</v>
      </c>
      <c r="AK19" s="801">
        <v>0</v>
      </c>
      <c r="AL19" s="659">
        <v>0</v>
      </c>
      <c r="AM19" s="659">
        <v>0</v>
      </c>
      <c r="AN19" s="659">
        <v>0</v>
      </c>
      <c r="AO19" s="659">
        <v>0</v>
      </c>
      <c r="AP19" s="659">
        <v>0</v>
      </c>
      <c r="AQ19" s="801">
        <v>0</v>
      </c>
      <c r="AR19" s="659">
        <v>0</v>
      </c>
      <c r="AS19" s="659">
        <v>0</v>
      </c>
      <c r="AT19" s="659">
        <v>0</v>
      </c>
      <c r="AU19" s="659">
        <v>0</v>
      </c>
      <c r="AV19" s="659">
        <v>0</v>
      </c>
      <c r="AW19" s="659">
        <v>0</v>
      </c>
      <c r="AX19" s="659">
        <v>0</v>
      </c>
      <c r="AY19" s="659">
        <v>0</v>
      </c>
      <c r="AZ19" s="659">
        <v>0</v>
      </c>
      <c r="BA19" s="659">
        <v>0</v>
      </c>
      <c r="BB19" s="659">
        <v>0</v>
      </c>
      <c r="BC19" s="659">
        <v>0</v>
      </c>
      <c r="BD19" s="659">
        <v>0</v>
      </c>
      <c r="BE19" s="801">
        <v>0</v>
      </c>
      <c r="BF19" s="659">
        <v>0</v>
      </c>
      <c r="BG19" s="659">
        <v>0</v>
      </c>
      <c r="BH19" s="659">
        <v>0</v>
      </c>
      <c r="BI19" s="659">
        <v>0</v>
      </c>
      <c r="BJ19" s="659">
        <v>0</v>
      </c>
      <c r="BK19" s="659">
        <v>0</v>
      </c>
      <c r="BL19" s="659">
        <v>0</v>
      </c>
      <c r="BM19" s="659">
        <v>0</v>
      </c>
      <c r="BN19" s="659">
        <v>0</v>
      </c>
      <c r="BO19" s="659">
        <v>0</v>
      </c>
      <c r="BP19" s="659">
        <v>0</v>
      </c>
      <c r="BQ19" s="659">
        <v>0</v>
      </c>
      <c r="BR19" s="659">
        <v>0</v>
      </c>
      <c r="BS19" s="659">
        <v>0</v>
      </c>
      <c r="BT19" s="659">
        <v>0</v>
      </c>
      <c r="BU19" s="659">
        <v>0</v>
      </c>
      <c r="BV19" s="659">
        <v>0</v>
      </c>
      <c r="BW19" s="659">
        <v>0</v>
      </c>
      <c r="BX19" s="659">
        <v>0</v>
      </c>
      <c r="BY19" s="659">
        <v>0</v>
      </c>
      <c r="BZ19" s="659">
        <v>0</v>
      </c>
      <c r="CA19" s="659">
        <v>0</v>
      </c>
      <c r="CB19" s="659">
        <v>0</v>
      </c>
      <c r="CC19" s="659">
        <v>0</v>
      </c>
      <c r="CD19" s="659">
        <v>0</v>
      </c>
      <c r="CE19" s="659">
        <v>0</v>
      </c>
      <c r="CF19" s="659">
        <v>0</v>
      </c>
      <c r="CG19" s="659">
        <v>0</v>
      </c>
      <c r="CH19" s="659">
        <v>0</v>
      </c>
      <c r="CI19" s="659">
        <v>0</v>
      </c>
      <c r="CJ19" s="659">
        <v>0</v>
      </c>
      <c r="CK19" s="659">
        <v>0</v>
      </c>
      <c r="CL19" s="659">
        <v>0</v>
      </c>
      <c r="CM19" s="659">
        <v>0</v>
      </c>
      <c r="CN19" s="659">
        <v>0</v>
      </c>
      <c r="CO19" s="659">
        <v>0</v>
      </c>
      <c r="CP19" s="659">
        <v>0</v>
      </c>
      <c r="CQ19" s="659">
        <v>0</v>
      </c>
      <c r="CR19" s="659">
        <v>0</v>
      </c>
      <c r="CS19" s="659">
        <v>0</v>
      </c>
      <c r="CT19" s="659">
        <v>0</v>
      </c>
      <c r="CU19" s="659">
        <v>0</v>
      </c>
      <c r="CV19" s="659">
        <v>0</v>
      </c>
      <c r="CW19" s="659">
        <v>0</v>
      </c>
      <c r="CX19" s="659">
        <v>0</v>
      </c>
      <c r="CY19" s="659">
        <v>0</v>
      </c>
      <c r="CZ19" s="659">
        <v>0</v>
      </c>
      <c r="DA19" s="659">
        <v>0</v>
      </c>
      <c r="DB19" s="659">
        <v>0</v>
      </c>
      <c r="DC19" s="659">
        <v>0</v>
      </c>
      <c r="DD19" s="659">
        <v>0</v>
      </c>
      <c r="DE19" s="659">
        <v>0</v>
      </c>
      <c r="DF19" s="659">
        <v>0</v>
      </c>
      <c r="DG19" s="659">
        <v>0</v>
      </c>
      <c r="DH19" s="659">
        <v>0</v>
      </c>
      <c r="DI19" s="659">
        <v>0</v>
      </c>
      <c r="DJ19" s="659">
        <v>0</v>
      </c>
      <c r="DK19" s="659">
        <v>0</v>
      </c>
      <c r="DL19" s="659">
        <v>0</v>
      </c>
      <c r="DM19" s="659">
        <v>0</v>
      </c>
      <c r="DN19" s="659">
        <v>0</v>
      </c>
      <c r="DO19" s="659">
        <v>0</v>
      </c>
      <c r="DP19" s="659">
        <v>0</v>
      </c>
      <c r="DQ19" s="659">
        <v>0</v>
      </c>
      <c r="DR19" s="659">
        <v>0</v>
      </c>
      <c r="DS19" s="659">
        <v>0</v>
      </c>
      <c r="DT19" s="659">
        <v>0</v>
      </c>
      <c r="DU19" s="659">
        <v>0</v>
      </c>
      <c r="DV19" s="659">
        <v>0</v>
      </c>
      <c r="DW19" s="659">
        <v>0</v>
      </c>
      <c r="DX19" s="659">
        <v>0</v>
      </c>
      <c r="DY19" s="659">
        <v>0</v>
      </c>
      <c r="DZ19" s="659">
        <v>0</v>
      </c>
      <c r="EA19" s="659">
        <v>0</v>
      </c>
      <c r="EB19" s="659">
        <v>0</v>
      </c>
      <c r="EC19" s="659">
        <v>0</v>
      </c>
      <c r="ED19" s="659">
        <v>0</v>
      </c>
      <c r="EE19" s="659">
        <v>0</v>
      </c>
      <c r="EF19" s="659">
        <v>0</v>
      </c>
      <c r="EG19" s="659">
        <v>0</v>
      </c>
      <c r="EH19" s="659">
        <v>0</v>
      </c>
      <c r="EI19" s="659">
        <v>0</v>
      </c>
      <c r="EJ19" s="659">
        <v>0</v>
      </c>
      <c r="EK19" s="659">
        <v>0</v>
      </c>
      <c r="EL19" s="659">
        <v>0</v>
      </c>
      <c r="EM19" s="659">
        <v>0</v>
      </c>
      <c r="EN19" s="659">
        <v>0</v>
      </c>
      <c r="EO19" s="659">
        <v>0</v>
      </c>
      <c r="EP19" s="659">
        <v>0</v>
      </c>
      <c r="EQ19" s="659">
        <v>0</v>
      </c>
    </row>
    <row r="20" spans="1:147" ht="20.7" customHeight="1" x14ac:dyDescent="0.3">
      <c r="A20" s="657" t="s">
        <v>1676</v>
      </c>
      <c r="B20" s="658" t="s">
        <v>269</v>
      </c>
      <c r="C20" s="659">
        <v>0</v>
      </c>
      <c r="D20" s="659">
        <v>0</v>
      </c>
      <c r="E20" s="659">
        <v>0</v>
      </c>
      <c r="F20" s="659">
        <v>0</v>
      </c>
      <c r="G20" s="659">
        <v>0</v>
      </c>
      <c r="H20" s="659">
        <v>0</v>
      </c>
      <c r="I20" s="659">
        <v>0</v>
      </c>
      <c r="J20" s="801">
        <v>0</v>
      </c>
      <c r="K20" s="659">
        <v>0</v>
      </c>
      <c r="L20" s="659">
        <v>0</v>
      </c>
      <c r="M20" s="659">
        <v>0</v>
      </c>
      <c r="N20" s="659">
        <v>0</v>
      </c>
      <c r="O20" s="659">
        <v>0</v>
      </c>
      <c r="P20" s="659">
        <v>0</v>
      </c>
      <c r="Q20" s="801">
        <v>0</v>
      </c>
      <c r="R20" s="659">
        <v>0</v>
      </c>
      <c r="S20" s="659">
        <v>0</v>
      </c>
      <c r="T20" s="659">
        <v>0</v>
      </c>
      <c r="U20" s="659">
        <v>0</v>
      </c>
      <c r="V20" s="659">
        <v>0</v>
      </c>
      <c r="W20" s="801">
        <v>0</v>
      </c>
      <c r="X20" s="659">
        <v>0</v>
      </c>
      <c r="Y20" s="659">
        <v>0</v>
      </c>
      <c r="Z20" s="659">
        <v>0</v>
      </c>
      <c r="AA20" s="659">
        <v>0</v>
      </c>
      <c r="AB20" s="659">
        <v>0</v>
      </c>
      <c r="AC20" s="659">
        <v>0</v>
      </c>
      <c r="AD20" s="801">
        <v>0</v>
      </c>
      <c r="AE20" s="659">
        <v>0</v>
      </c>
      <c r="AF20" s="659">
        <v>0</v>
      </c>
      <c r="AG20" s="659">
        <v>0</v>
      </c>
      <c r="AH20" s="659">
        <v>0</v>
      </c>
      <c r="AI20" s="659">
        <v>0</v>
      </c>
      <c r="AJ20" s="659">
        <v>0</v>
      </c>
      <c r="AK20" s="801">
        <v>0</v>
      </c>
      <c r="AL20" s="659">
        <v>0</v>
      </c>
      <c r="AM20" s="659">
        <v>0</v>
      </c>
      <c r="AN20" s="659">
        <v>0</v>
      </c>
      <c r="AO20" s="659">
        <v>0</v>
      </c>
      <c r="AP20" s="659">
        <v>0</v>
      </c>
      <c r="AQ20" s="801">
        <v>0</v>
      </c>
      <c r="AR20" s="659">
        <v>0</v>
      </c>
      <c r="AS20" s="659">
        <v>0</v>
      </c>
      <c r="AT20" s="659">
        <v>0</v>
      </c>
      <c r="AU20" s="659">
        <v>0</v>
      </c>
      <c r="AV20" s="659">
        <v>0</v>
      </c>
      <c r="AW20" s="659">
        <v>0</v>
      </c>
      <c r="AX20" s="659">
        <v>0</v>
      </c>
      <c r="AY20" s="659">
        <v>0</v>
      </c>
      <c r="AZ20" s="659">
        <v>0</v>
      </c>
      <c r="BA20" s="659">
        <v>0</v>
      </c>
      <c r="BB20" s="659">
        <v>0</v>
      </c>
      <c r="BC20" s="659">
        <v>0</v>
      </c>
      <c r="BD20" s="659">
        <v>0</v>
      </c>
      <c r="BE20" s="801">
        <v>0</v>
      </c>
      <c r="BF20" s="659">
        <v>0</v>
      </c>
      <c r="BG20" s="659">
        <v>0</v>
      </c>
      <c r="BH20" s="659">
        <v>0</v>
      </c>
      <c r="BI20" s="659">
        <v>0</v>
      </c>
      <c r="BJ20" s="659">
        <v>0</v>
      </c>
      <c r="BK20" s="659">
        <v>0</v>
      </c>
      <c r="BL20" s="659">
        <v>0</v>
      </c>
      <c r="BM20" s="659">
        <v>0</v>
      </c>
      <c r="BN20" s="659">
        <v>0</v>
      </c>
      <c r="BO20" s="659">
        <v>0</v>
      </c>
      <c r="BP20" s="659">
        <v>0</v>
      </c>
      <c r="BQ20" s="659">
        <v>0</v>
      </c>
      <c r="BR20" s="659">
        <v>0</v>
      </c>
      <c r="BS20" s="659">
        <v>0</v>
      </c>
      <c r="BT20" s="659">
        <v>0</v>
      </c>
      <c r="BU20" s="659">
        <v>0</v>
      </c>
      <c r="BV20" s="659">
        <v>0</v>
      </c>
      <c r="BW20" s="659">
        <v>0</v>
      </c>
      <c r="BX20" s="659">
        <v>0</v>
      </c>
      <c r="BY20" s="659">
        <v>0</v>
      </c>
      <c r="BZ20" s="659">
        <v>0</v>
      </c>
      <c r="CA20" s="659">
        <v>0</v>
      </c>
      <c r="CB20" s="659">
        <v>0</v>
      </c>
      <c r="CC20" s="659">
        <v>0</v>
      </c>
      <c r="CD20" s="659">
        <v>0</v>
      </c>
      <c r="CE20" s="659">
        <v>0</v>
      </c>
      <c r="CF20" s="659">
        <v>0</v>
      </c>
      <c r="CG20" s="659">
        <v>0</v>
      </c>
      <c r="CH20" s="659">
        <v>0</v>
      </c>
      <c r="CI20" s="659">
        <v>0</v>
      </c>
      <c r="CJ20" s="659">
        <v>0</v>
      </c>
      <c r="CK20" s="659">
        <v>0</v>
      </c>
      <c r="CL20" s="659">
        <v>0</v>
      </c>
      <c r="CM20" s="659">
        <v>0</v>
      </c>
      <c r="CN20" s="659">
        <v>0</v>
      </c>
      <c r="CO20" s="659">
        <v>0</v>
      </c>
      <c r="CP20" s="659">
        <v>0</v>
      </c>
      <c r="CQ20" s="659">
        <v>0</v>
      </c>
      <c r="CR20" s="659">
        <v>0</v>
      </c>
      <c r="CS20" s="659">
        <v>0</v>
      </c>
      <c r="CT20" s="659">
        <v>0</v>
      </c>
      <c r="CU20" s="659">
        <v>0</v>
      </c>
      <c r="CV20" s="659">
        <v>0</v>
      </c>
      <c r="CW20" s="659">
        <v>0</v>
      </c>
      <c r="CX20" s="659">
        <v>0</v>
      </c>
      <c r="CY20" s="659">
        <v>0</v>
      </c>
      <c r="CZ20" s="659">
        <v>0</v>
      </c>
      <c r="DA20" s="659">
        <v>0</v>
      </c>
      <c r="DB20" s="659">
        <v>0</v>
      </c>
      <c r="DC20" s="659">
        <v>0</v>
      </c>
      <c r="DD20" s="659">
        <v>0</v>
      </c>
      <c r="DE20" s="659">
        <v>0</v>
      </c>
      <c r="DF20" s="659">
        <v>0</v>
      </c>
      <c r="DG20" s="659">
        <v>0</v>
      </c>
      <c r="DH20" s="659">
        <v>0</v>
      </c>
      <c r="DI20" s="659">
        <v>0</v>
      </c>
      <c r="DJ20" s="659">
        <v>0</v>
      </c>
      <c r="DK20" s="659">
        <v>0</v>
      </c>
      <c r="DL20" s="659">
        <v>0</v>
      </c>
      <c r="DM20" s="659">
        <v>0</v>
      </c>
      <c r="DN20" s="659">
        <v>0</v>
      </c>
      <c r="DO20" s="659">
        <v>0</v>
      </c>
      <c r="DP20" s="659">
        <v>0</v>
      </c>
      <c r="DQ20" s="659">
        <v>0</v>
      </c>
      <c r="DR20" s="659">
        <v>0</v>
      </c>
      <c r="DS20" s="659">
        <v>0</v>
      </c>
      <c r="DT20" s="659">
        <v>0</v>
      </c>
      <c r="DU20" s="659">
        <v>0</v>
      </c>
      <c r="DV20" s="659">
        <v>0</v>
      </c>
      <c r="DW20" s="659">
        <v>0</v>
      </c>
      <c r="DX20" s="659">
        <v>0</v>
      </c>
      <c r="DY20" s="659">
        <v>0</v>
      </c>
      <c r="DZ20" s="659">
        <v>0</v>
      </c>
      <c r="EA20" s="659">
        <v>0</v>
      </c>
      <c r="EB20" s="659">
        <v>0</v>
      </c>
      <c r="EC20" s="659">
        <v>0</v>
      </c>
      <c r="ED20" s="659">
        <v>0</v>
      </c>
      <c r="EE20" s="659">
        <v>0</v>
      </c>
      <c r="EF20" s="659">
        <v>0</v>
      </c>
      <c r="EG20" s="659">
        <v>0</v>
      </c>
      <c r="EH20" s="659">
        <v>0</v>
      </c>
      <c r="EI20" s="659">
        <v>0</v>
      </c>
      <c r="EJ20" s="659">
        <v>0</v>
      </c>
      <c r="EK20" s="659">
        <v>0</v>
      </c>
      <c r="EL20" s="659">
        <v>0</v>
      </c>
      <c r="EM20" s="659">
        <v>0</v>
      </c>
      <c r="EN20" s="659">
        <v>0</v>
      </c>
      <c r="EO20" s="659">
        <v>0</v>
      </c>
      <c r="EP20" s="659">
        <v>0</v>
      </c>
      <c r="EQ20" s="659">
        <v>0</v>
      </c>
    </row>
    <row r="21" spans="1:147" ht="13.95" customHeight="1" x14ac:dyDescent="0.3">
      <c r="A21" s="657" t="s">
        <v>1677</v>
      </c>
      <c r="B21" s="658" t="s">
        <v>269</v>
      </c>
      <c r="C21" s="659">
        <v>1223960</v>
      </c>
      <c r="D21" s="659">
        <v>0</v>
      </c>
      <c r="E21" s="659">
        <v>0</v>
      </c>
      <c r="F21" s="659">
        <v>39634178</v>
      </c>
      <c r="G21" s="659">
        <v>0</v>
      </c>
      <c r="H21" s="659">
        <v>0</v>
      </c>
      <c r="I21" s="659">
        <v>38491411</v>
      </c>
      <c r="J21" s="801">
        <v>1522</v>
      </c>
      <c r="K21" s="659">
        <v>0</v>
      </c>
      <c r="L21" s="659">
        <v>0</v>
      </c>
      <c r="M21" s="659">
        <v>88725</v>
      </c>
      <c r="N21" s="659">
        <v>0</v>
      </c>
      <c r="O21" s="659">
        <v>0</v>
      </c>
      <c r="P21" s="659">
        <v>88724</v>
      </c>
      <c r="Q21" s="801">
        <v>0</v>
      </c>
      <c r="R21" s="659">
        <v>0</v>
      </c>
      <c r="S21" s="659">
        <v>0</v>
      </c>
      <c r="T21" s="659">
        <v>0</v>
      </c>
      <c r="U21" s="659">
        <v>0</v>
      </c>
      <c r="V21" s="659">
        <v>0</v>
      </c>
      <c r="W21" s="801">
        <v>0</v>
      </c>
      <c r="X21" s="659">
        <v>0</v>
      </c>
      <c r="Y21" s="659">
        <v>0</v>
      </c>
      <c r="Z21" s="659">
        <v>0</v>
      </c>
      <c r="AA21" s="659">
        <v>0</v>
      </c>
      <c r="AB21" s="659">
        <v>0</v>
      </c>
      <c r="AC21" s="659">
        <v>0</v>
      </c>
      <c r="AD21" s="801">
        <v>12937</v>
      </c>
      <c r="AE21" s="659">
        <v>0</v>
      </c>
      <c r="AF21" s="659">
        <v>0</v>
      </c>
      <c r="AG21" s="659">
        <v>559029</v>
      </c>
      <c r="AH21" s="659">
        <v>0</v>
      </c>
      <c r="AI21" s="659">
        <v>0</v>
      </c>
      <c r="AJ21" s="659">
        <v>559029</v>
      </c>
      <c r="AK21" s="801">
        <v>10</v>
      </c>
      <c r="AL21" s="659">
        <v>0</v>
      </c>
      <c r="AM21" s="659">
        <v>400</v>
      </c>
      <c r="AN21" s="659">
        <v>0</v>
      </c>
      <c r="AO21" s="659">
        <v>0</v>
      </c>
      <c r="AP21" s="659">
        <v>400</v>
      </c>
      <c r="AQ21" s="801">
        <v>14069</v>
      </c>
      <c r="AR21" s="659">
        <v>0</v>
      </c>
      <c r="AS21" s="659">
        <v>0</v>
      </c>
      <c r="AT21" s="659">
        <v>646775</v>
      </c>
      <c r="AU21" s="659">
        <v>0</v>
      </c>
      <c r="AV21" s="659">
        <v>0</v>
      </c>
      <c r="AW21" s="659">
        <v>633840</v>
      </c>
      <c r="AX21" s="659">
        <v>341</v>
      </c>
      <c r="AY21" s="659">
        <v>0</v>
      </c>
      <c r="AZ21" s="659">
        <v>0</v>
      </c>
      <c r="BA21" s="659">
        <v>14148</v>
      </c>
      <c r="BB21" s="659">
        <v>0</v>
      </c>
      <c r="BC21" s="659">
        <v>0</v>
      </c>
      <c r="BD21" s="659">
        <v>13851</v>
      </c>
      <c r="BE21" s="801">
        <v>60774</v>
      </c>
      <c r="BF21" s="659">
        <v>0</v>
      </c>
      <c r="BG21" s="659">
        <v>0</v>
      </c>
      <c r="BH21" s="659">
        <v>3120190</v>
      </c>
      <c r="BI21" s="659">
        <v>0</v>
      </c>
      <c r="BJ21" s="659">
        <v>0</v>
      </c>
      <c r="BK21" s="659">
        <v>3120190</v>
      </c>
      <c r="BL21" s="659">
        <v>53422</v>
      </c>
      <c r="BM21" s="659">
        <v>0</v>
      </c>
      <c r="BN21" s="659">
        <v>0</v>
      </c>
      <c r="BO21" s="659">
        <v>1761845</v>
      </c>
      <c r="BP21" s="659">
        <v>0</v>
      </c>
      <c r="BQ21" s="659">
        <v>0</v>
      </c>
      <c r="BR21" s="659">
        <v>1743241</v>
      </c>
      <c r="BS21" s="659">
        <v>24800</v>
      </c>
      <c r="BT21" s="659">
        <v>0</v>
      </c>
      <c r="BU21" s="659">
        <v>0</v>
      </c>
      <c r="BV21" s="659">
        <v>1133740</v>
      </c>
      <c r="BW21" s="659">
        <v>0</v>
      </c>
      <c r="BX21" s="659">
        <v>0</v>
      </c>
      <c r="BY21" s="659">
        <v>1133740</v>
      </c>
      <c r="BZ21" s="659">
        <v>100103</v>
      </c>
      <c r="CA21" s="659">
        <v>0</v>
      </c>
      <c r="CB21" s="659">
        <v>0</v>
      </c>
      <c r="CC21" s="659">
        <v>4355112</v>
      </c>
      <c r="CD21" s="659">
        <v>0</v>
      </c>
      <c r="CE21" s="659">
        <v>0</v>
      </c>
      <c r="CF21" s="659">
        <v>4235233</v>
      </c>
      <c r="CG21" s="659">
        <v>40350</v>
      </c>
      <c r="CH21" s="659">
        <v>0</v>
      </c>
      <c r="CI21" s="659">
        <v>0</v>
      </c>
      <c r="CJ21" s="659">
        <v>1454000</v>
      </c>
      <c r="CK21" s="659">
        <v>0</v>
      </c>
      <c r="CL21" s="659">
        <v>0</v>
      </c>
      <c r="CM21" s="659">
        <v>1026500</v>
      </c>
      <c r="CN21" s="659">
        <v>34325</v>
      </c>
      <c r="CO21" s="659">
        <v>0</v>
      </c>
      <c r="CP21" s="659">
        <v>0</v>
      </c>
      <c r="CQ21" s="659">
        <v>1220600</v>
      </c>
      <c r="CR21" s="659">
        <v>0</v>
      </c>
      <c r="CS21" s="659">
        <v>0</v>
      </c>
      <c r="CT21" s="659">
        <v>1220600</v>
      </c>
      <c r="CU21" s="659">
        <v>60000</v>
      </c>
      <c r="CV21" s="659">
        <v>0</v>
      </c>
      <c r="CW21" s="659">
        <v>0</v>
      </c>
      <c r="CX21" s="659">
        <v>2100000</v>
      </c>
      <c r="CY21" s="659">
        <v>0</v>
      </c>
      <c r="CZ21" s="659">
        <v>0</v>
      </c>
      <c r="DA21" s="659">
        <v>2100000</v>
      </c>
      <c r="DB21" s="659">
        <v>54670</v>
      </c>
      <c r="DC21" s="659">
        <v>0</v>
      </c>
      <c r="DD21" s="659">
        <v>0</v>
      </c>
      <c r="DE21" s="659">
        <v>1553651</v>
      </c>
      <c r="DF21" s="659">
        <v>0</v>
      </c>
      <c r="DG21" s="659">
        <v>0</v>
      </c>
      <c r="DH21" s="659">
        <v>1553471</v>
      </c>
      <c r="DI21" s="659">
        <v>345000</v>
      </c>
      <c r="DJ21" s="659">
        <v>0</v>
      </c>
      <c r="DK21" s="659">
        <v>0</v>
      </c>
      <c r="DL21" s="659">
        <v>9983500</v>
      </c>
      <c r="DM21" s="659">
        <v>0</v>
      </c>
      <c r="DN21" s="659">
        <v>0</v>
      </c>
      <c r="DO21" s="659">
        <v>9592645</v>
      </c>
      <c r="DP21" s="659">
        <v>115160</v>
      </c>
      <c r="DQ21" s="659">
        <v>0</v>
      </c>
      <c r="DR21" s="659">
        <v>0</v>
      </c>
      <c r="DS21" s="659">
        <v>3269939</v>
      </c>
      <c r="DT21" s="659">
        <v>0</v>
      </c>
      <c r="DU21" s="659">
        <v>0</v>
      </c>
      <c r="DV21" s="659">
        <v>3248175</v>
      </c>
      <c r="DW21" s="659">
        <v>23807</v>
      </c>
      <c r="DX21" s="659">
        <v>0</v>
      </c>
      <c r="DY21" s="659">
        <v>0</v>
      </c>
      <c r="DZ21" s="659">
        <v>669470</v>
      </c>
      <c r="EA21" s="659">
        <v>0</v>
      </c>
      <c r="EB21" s="659">
        <v>0</v>
      </c>
      <c r="EC21" s="659">
        <v>642956</v>
      </c>
      <c r="ED21" s="659">
        <v>263525</v>
      </c>
      <c r="EE21" s="659">
        <v>0</v>
      </c>
      <c r="EF21" s="659">
        <v>0</v>
      </c>
      <c r="EG21" s="659">
        <v>7174250</v>
      </c>
      <c r="EH21" s="659">
        <v>0</v>
      </c>
      <c r="EI21" s="659">
        <v>0</v>
      </c>
      <c r="EJ21" s="659">
        <v>7068012</v>
      </c>
      <c r="EK21" s="659">
        <v>19145</v>
      </c>
      <c r="EL21" s="659">
        <v>0</v>
      </c>
      <c r="EM21" s="659">
        <v>0</v>
      </c>
      <c r="EN21" s="659">
        <v>528804</v>
      </c>
      <c r="EO21" s="659">
        <v>0</v>
      </c>
      <c r="EP21" s="659">
        <v>0</v>
      </c>
      <c r="EQ21" s="659">
        <v>510804</v>
      </c>
    </row>
    <row r="22" spans="1:147" ht="20.7" customHeight="1" x14ac:dyDescent="0.3">
      <c r="A22" s="657" t="s">
        <v>1678</v>
      </c>
      <c r="B22" s="658" t="s">
        <v>269</v>
      </c>
      <c r="C22" s="659">
        <v>0</v>
      </c>
      <c r="D22" s="659">
        <v>0</v>
      </c>
      <c r="E22" s="659">
        <v>0</v>
      </c>
      <c r="F22" s="659">
        <v>0</v>
      </c>
      <c r="G22" s="659">
        <v>0</v>
      </c>
      <c r="H22" s="659">
        <v>0</v>
      </c>
      <c r="I22" s="659">
        <v>0</v>
      </c>
      <c r="J22" s="801">
        <v>0</v>
      </c>
      <c r="K22" s="659">
        <v>0</v>
      </c>
      <c r="L22" s="659">
        <v>0</v>
      </c>
      <c r="M22" s="659">
        <v>0</v>
      </c>
      <c r="N22" s="659">
        <v>0</v>
      </c>
      <c r="O22" s="659">
        <v>0</v>
      </c>
      <c r="P22" s="659">
        <v>0</v>
      </c>
      <c r="Q22" s="801">
        <v>0</v>
      </c>
      <c r="R22" s="659">
        <v>0</v>
      </c>
      <c r="S22" s="659">
        <v>0</v>
      </c>
      <c r="T22" s="659">
        <v>0</v>
      </c>
      <c r="U22" s="659">
        <v>0</v>
      </c>
      <c r="V22" s="659">
        <v>0</v>
      </c>
      <c r="W22" s="801">
        <v>0</v>
      </c>
      <c r="X22" s="659">
        <v>0</v>
      </c>
      <c r="Y22" s="659">
        <v>0</v>
      </c>
      <c r="Z22" s="659">
        <v>0</v>
      </c>
      <c r="AA22" s="659">
        <v>0</v>
      </c>
      <c r="AB22" s="659">
        <v>0</v>
      </c>
      <c r="AC22" s="659">
        <v>0</v>
      </c>
      <c r="AD22" s="801">
        <v>0</v>
      </c>
      <c r="AE22" s="659">
        <v>0</v>
      </c>
      <c r="AF22" s="659">
        <v>0</v>
      </c>
      <c r="AG22" s="659">
        <v>0</v>
      </c>
      <c r="AH22" s="659">
        <v>0</v>
      </c>
      <c r="AI22" s="659">
        <v>0</v>
      </c>
      <c r="AJ22" s="659">
        <v>0</v>
      </c>
      <c r="AK22" s="801">
        <v>0</v>
      </c>
      <c r="AL22" s="659">
        <v>0</v>
      </c>
      <c r="AM22" s="659">
        <v>0</v>
      </c>
      <c r="AN22" s="659">
        <v>0</v>
      </c>
      <c r="AO22" s="659">
        <v>0</v>
      </c>
      <c r="AP22" s="659">
        <v>0</v>
      </c>
      <c r="AQ22" s="801">
        <v>0</v>
      </c>
      <c r="AR22" s="659">
        <v>0</v>
      </c>
      <c r="AS22" s="659">
        <v>0</v>
      </c>
      <c r="AT22" s="659">
        <v>0</v>
      </c>
      <c r="AU22" s="659">
        <v>0</v>
      </c>
      <c r="AV22" s="659">
        <v>0</v>
      </c>
      <c r="AW22" s="659">
        <v>0</v>
      </c>
      <c r="AX22" s="659">
        <v>0</v>
      </c>
      <c r="AY22" s="659">
        <v>0</v>
      </c>
      <c r="AZ22" s="659">
        <v>0</v>
      </c>
      <c r="BA22" s="659">
        <v>0</v>
      </c>
      <c r="BB22" s="659">
        <v>0</v>
      </c>
      <c r="BC22" s="659">
        <v>0</v>
      </c>
      <c r="BD22" s="659">
        <v>0</v>
      </c>
      <c r="BE22" s="801">
        <v>0</v>
      </c>
      <c r="BF22" s="659">
        <v>0</v>
      </c>
      <c r="BG22" s="659">
        <v>0</v>
      </c>
      <c r="BH22" s="659">
        <v>0</v>
      </c>
      <c r="BI22" s="659">
        <v>0</v>
      </c>
      <c r="BJ22" s="659">
        <v>0</v>
      </c>
      <c r="BK22" s="659">
        <v>0</v>
      </c>
      <c r="BL22" s="659">
        <v>0</v>
      </c>
      <c r="BM22" s="659">
        <v>0</v>
      </c>
      <c r="BN22" s="659">
        <v>0</v>
      </c>
      <c r="BO22" s="659">
        <v>0</v>
      </c>
      <c r="BP22" s="659">
        <v>0</v>
      </c>
      <c r="BQ22" s="659">
        <v>0</v>
      </c>
      <c r="BR22" s="659">
        <v>0</v>
      </c>
      <c r="BS22" s="659">
        <v>0</v>
      </c>
      <c r="BT22" s="659">
        <v>0</v>
      </c>
      <c r="BU22" s="659">
        <v>0</v>
      </c>
      <c r="BV22" s="659">
        <v>0</v>
      </c>
      <c r="BW22" s="659">
        <v>0</v>
      </c>
      <c r="BX22" s="659">
        <v>0</v>
      </c>
      <c r="BY22" s="659">
        <v>0</v>
      </c>
      <c r="BZ22" s="659">
        <v>0</v>
      </c>
      <c r="CA22" s="659">
        <v>0</v>
      </c>
      <c r="CB22" s="659">
        <v>0</v>
      </c>
      <c r="CC22" s="659">
        <v>0</v>
      </c>
      <c r="CD22" s="659">
        <v>0</v>
      </c>
      <c r="CE22" s="659">
        <v>0</v>
      </c>
      <c r="CF22" s="659">
        <v>0</v>
      </c>
      <c r="CG22" s="659">
        <v>0</v>
      </c>
      <c r="CH22" s="659">
        <v>0</v>
      </c>
      <c r="CI22" s="659">
        <v>0</v>
      </c>
      <c r="CJ22" s="659">
        <v>0</v>
      </c>
      <c r="CK22" s="659">
        <v>0</v>
      </c>
      <c r="CL22" s="659">
        <v>0</v>
      </c>
      <c r="CM22" s="659">
        <v>0</v>
      </c>
      <c r="CN22" s="659">
        <v>0</v>
      </c>
      <c r="CO22" s="659">
        <v>0</v>
      </c>
      <c r="CP22" s="659">
        <v>0</v>
      </c>
      <c r="CQ22" s="659">
        <v>0</v>
      </c>
      <c r="CR22" s="659">
        <v>0</v>
      </c>
      <c r="CS22" s="659">
        <v>0</v>
      </c>
      <c r="CT22" s="659">
        <v>0</v>
      </c>
      <c r="CU22" s="659">
        <v>0</v>
      </c>
      <c r="CV22" s="659">
        <v>0</v>
      </c>
      <c r="CW22" s="659">
        <v>0</v>
      </c>
      <c r="CX22" s="659">
        <v>0</v>
      </c>
      <c r="CY22" s="659">
        <v>0</v>
      </c>
      <c r="CZ22" s="659">
        <v>0</v>
      </c>
      <c r="DA22" s="659">
        <v>0</v>
      </c>
      <c r="DB22" s="659">
        <v>0</v>
      </c>
      <c r="DC22" s="659">
        <v>0</v>
      </c>
      <c r="DD22" s="659">
        <v>0</v>
      </c>
      <c r="DE22" s="659">
        <v>0</v>
      </c>
      <c r="DF22" s="659">
        <v>0</v>
      </c>
      <c r="DG22" s="659">
        <v>0</v>
      </c>
      <c r="DH22" s="659">
        <v>0</v>
      </c>
      <c r="DI22" s="659">
        <v>0</v>
      </c>
      <c r="DJ22" s="659">
        <v>0</v>
      </c>
      <c r="DK22" s="659">
        <v>0</v>
      </c>
      <c r="DL22" s="659">
        <v>0</v>
      </c>
      <c r="DM22" s="659">
        <v>0</v>
      </c>
      <c r="DN22" s="659">
        <v>0</v>
      </c>
      <c r="DO22" s="659">
        <v>0</v>
      </c>
      <c r="DP22" s="659">
        <v>0</v>
      </c>
      <c r="DQ22" s="659">
        <v>0</v>
      </c>
      <c r="DR22" s="659">
        <v>0</v>
      </c>
      <c r="DS22" s="659">
        <v>0</v>
      </c>
      <c r="DT22" s="659">
        <v>0</v>
      </c>
      <c r="DU22" s="659">
        <v>0</v>
      </c>
      <c r="DV22" s="659">
        <v>0</v>
      </c>
      <c r="DW22" s="659">
        <v>0</v>
      </c>
      <c r="DX22" s="659">
        <v>0</v>
      </c>
      <c r="DY22" s="659">
        <v>0</v>
      </c>
      <c r="DZ22" s="659">
        <v>0</v>
      </c>
      <c r="EA22" s="659">
        <v>0</v>
      </c>
      <c r="EB22" s="659">
        <v>0</v>
      </c>
      <c r="EC22" s="659">
        <v>0</v>
      </c>
      <c r="ED22" s="659">
        <v>0</v>
      </c>
      <c r="EE22" s="659">
        <v>0</v>
      </c>
      <c r="EF22" s="659">
        <v>0</v>
      </c>
      <c r="EG22" s="659">
        <v>0</v>
      </c>
      <c r="EH22" s="659">
        <v>0</v>
      </c>
      <c r="EI22" s="659">
        <v>0</v>
      </c>
      <c r="EJ22" s="659">
        <v>0</v>
      </c>
      <c r="EK22" s="659">
        <v>0</v>
      </c>
      <c r="EL22" s="659">
        <v>0</v>
      </c>
      <c r="EM22" s="659">
        <v>0</v>
      </c>
      <c r="EN22" s="659">
        <v>0</v>
      </c>
      <c r="EO22" s="659">
        <v>0</v>
      </c>
      <c r="EP22" s="659">
        <v>0</v>
      </c>
      <c r="EQ22" s="659">
        <v>0</v>
      </c>
    </row>
    <row r="23" spans="1:147" ht="13.95" customHeight="1" x14ac:dyDescent="0.3">
      <c r="A23" s="657" t="s">
        <v>1679</v>
      </c>
      <c r="B23" s="658" t="s">
        <v>269</v>
      </c>
      <c r="C23" s="659">
        <v>3910</v>
      </c>
      <c r="D23" s="659">
        <v>0</v>
      </c>
      <c r="E23" s="659">
        <v>0</v>
      </c>
      <c r="F23" s="659">
        <v>126780</v>
      </c>
      <c r="G23" s="659">
        <v>0</v>
      </c>
      <c r="H23" s="659">
        <v>0</v>
      </c>
      <c r="I23" s="659">
        <v>125093</v>
      </c>
      <c r="J23" s="801">
        <v>114</v>
      </c>
      <c r="K23" s="659">
        <v>0</v>
      </c>
      <c r="L23" s="659">
        <v>0</v>
      </c>
      <c r="M23" s="659">
        <v>4168</v>
      </c>
      <c r="N23" s="659">
        <v>0</v>
      </c>
      <c r="O23" s="659">
        <v>0</v>
      </c>
      <c r="P23" s="659">
        <v>4168</v>
      </c>
      <c r="Q23" s="801">
        <v>8</v>
      </c>
      <c r="R23" s="659">
        <v>0</v>
      </c>
      <c r="S23" s="659">
        <v>305</v>
      </c>
      <c r="T23" s="659">
        <v>0</v>
      </c>
      <c r="U23" s="659">
        <v>0</v>
      </c>
      <c r="V23" s="659">
        <v>300</v>
      </c>
      <c r="W23" s="801">
        <v>0</v>
      </c>
      <c r="X23" s="659">
        <v>0</v>
      </c>
      <c r="Y23" s="659">
        <v>0</v>
      </c>
      <c r="Z23" s="659">
        <v>0</v>
      </c>
      <c r="AA23" s="659">
        <v>0</v>
      </c>
      <c r="AB23" s="659">
        <v>0</v>
      </c>
      <c r="AC23" s="659">
        <v>0</v>
      </c>
      <c r="AD23" s="801">
        <v>326</v>
      </c>
      <c r="AE23" s="659">
        <v>0</v>
      </c>
      <c r="AF23" s="659">
        <v>0</v>
      </c>
      <c r="AG23" s="659">
        <v>10409</v>
      </c>
      <c r="AH23" s="659">
        <v>0</v>
      </c>
      <c r="AI23" s="659">
        <v>0</v>
      </c>
      <c r="AJ23" s="659">
        <v>10409</v>
      </c>
      <c r="AK23" s="801">
        <v>66</v>
      </c>
      <c r="AL23" s="659">
        <v>0</v>
      </c>
      <c r="AM23" s="659">
        <v>2600</v>
      </c>
      <c r="AN23" s="659">
        <v>0</v>
      </c>
      <c r="AO23" s="659">
        <v>0</v>
      </c>
      <c r="AP23" s="659">
        <v>2600</v>
      </c>
      <c r="AQ23" s="801">
        <v>121</v>
      </c>
      <c r="AR23" s="659">
        <v>0</v>
      </c>
      <c r="AS23" s="659">
        <v>0</v>
      </c>
      <c r="AT23" s="659">
        <v>5110</v>
      </c>
      <c r="AU23" s="659">
        <v>0</v>
      </c>
      <c r="AV23" s="659">
        <v>0</v>
      </c>
      <c r="AW23" s="659">
        <v>4880</v>
      </c>
      <c r="AX23" s="659">
        <v>99</v>
      </c>
      <c r="AY23" s="659">
        <v>0</v>
      </c>
      <c r="AZ23" s="659">
        <v>0</v>
      </c>
      <c r="BA23" s="659">
        <v>4439</v>
      </c>
      <c r="BB23" s="659">
        <v>0</v>
      </c>
      <c r="BC23" s="659">
        <v>0</v>
      </c>
      <c r="BD23" s="659">
        <v>4431</v>
      </c>
      <c r="BE23" s="801">
        <v>676</v>
      </c>
      <c r="BF23" s="659">
        <v>0</v>
      </c>
      <c r="BG23" s="659">
        <v>0</v>
      </c>
      <c r="BH23" s="659">
        <v>27683</v>
      </c>
      <c r="BI23" s="659">
        <v>0</v>
      </c>
      <c r="BJ23" s="659">
        <v>0</v>
      </c>
      <c r="BK23" s="659">
        <v>27683</v>
      </c>
      <c r="BL23" s="659">
        <v>174</v>
      </c>
      <c r="BM23" s="659">
        <v>0</v>
      </c>
      <c r="BN23" s="659">
        <v>0</v>
      </c>
      <c r="BO23" s="659">
        <v>4172</v>
      </c>
      <c r="BP23" s="659">
        <v>0</v>
      </c>
      <c r="BQ23" s="659">
        <v>0</v>
      </c>
      <c r="BR23" s="659">
        <v>4027</v>
      </c>
      <c r="BS23" s="659">
        <v>120</v>
      </c>
      <c r="BT23" s="659">
        <v>0</v>
      </c>
      <c r="BU23" s="659">
        <v>0</v>
      </c>
      <c r="BV23" s="659">
        <v>4500</v>
      </c>
      <c r="BW23" s="659">
        <v>0</v>
      </c>
      <c r="BX23" s="659">
        <v>0</v>
      </c>
      <c r="BY23" s="659">
        <v>4500</v>
      </c>
      <c r="BZ23" s="659">
        <v>0</v>
      </c>
      <c r="CA23" s="659">
        <v>0</v>
      </c>
      <c r="CB23" s="659">
        <v>0</v>
      </c>
      <c r="CC23" s="659">
        <v>0</v>
      </c>
      <c r="CD23" s="659">
        <v>0</v>
      </c>
      <c r="CE23" s="659">
        <v>0</v>
      </c>
      <c r="CF23" s="659">
        <v>0</v>
      </c>
      <c r="CG23" s="659">
        <v>226</v>
      </c>
      <c r="CH23" s="659">
        <v>0</v>
      </c>
      <c r="CI23" s="659">
        <v>0</v>
      </c>
      <c r="CJ23" s="659">
        <v>6210</v>
      </c>
      <c r="CK23" s="659">
        <v>0</v>
      </c>
      <c r="CL23" s="659">
        <v>0</v>
      </c>
      <c r="CM23" s="659">
        <v>6090</v>
      </c>
      <c r="CN23" s="659">
        <v>195</v>
      </c>
      <c r="CO23" s="659">
        <v>0</v>
      </c>
      <c r="CP23" s="659">
        <v>0</v>
      </c>
      <c r="CQ23" s="659">
        <v>5900</v>
      </c>
      <c r="CR23" s="659">
        <v>0</v>
      </c>
      <c r="CS23" s="659">
        <v>0</v>
      </c>
      <c r="CT23" s="659">
        <v>5900</v>
      </c>
      <c r="CU23" s="659">
        <v>0</v>
      </c>
      <c r="CV23" s="659">
        <v>0</v>
      </c>
      <c r="CW23" s="659">
        <v>0</v>
      </c>
      <c r="CX23" s="659">
        <v>0</v>
      </c>
      <c r="CY23" s="659">
        <v>0</v>
      </c>
      <c r="CZ23" s="659">
        <v>0</v>
      </c>
      <c r="DA23" s="659">
        <v>0</v>
      </c>
      <c r="DB23" s="659">
        <v>80</v>
      </c>
      <c r="DC23" s="659">
        <v>0</v>
      </c>
      <c r="DD23" s="659">
        <v>0</v>
      </c>
      <c r="DE23" s="659">
        <v>2000</v>
      </c>
      <c r="DF23" s="659">
        <v>0</v>
      </c>
      <c r="DG23" s="659">
        <v>0</v>
      </c>
      <c r="DH23" s="659">
        <v>2000</v>
      </c>
      <c r="DI23" s="659">
        <v>0</v>
      </c>
      <c r="DJ23" s="659">
        <v>0</v>
      </c>
      <c r="DK23" s="659">
        <v>0</v>
      </c>
      <c r="DL23" s="659">
        <v>0</v>
      </c>
      <c r="DM23" s="659">
        <v>0</v>
      </c>
      <c r="DN23" s="659">
        <v>0</v>
      </c>
      <c r="DO23" s="659">
        <v>0</v>
      </c>
      <c r="DP23" s="659">
        <v>286</v>
      </c>
      <c r="DQ23" s="659">
        <v>0</v>
      </c>
      <c r="DR23" s="659">
        <v>0</v>
      </c>
      <c r="DS23" s="659">
        <v>5894</v>
      </c>
      <c r="DT23" s="659">
        <v>0</v>
      </c>
      <c r="DU23" s="659">
        <v>0</v>
      </c>
      <c r="DV23" s="659">
        <v>5863</v>
      </c>
      <c r="DW23" s="659">
        <v>1404</v>
      </c>
      <c r="DX23" s="659">
        <v>0</v>
      </c>
      <c r="DY23" s="659">
        <v>0</v>
      </c>
      <c r="DZ23" s="659">
        <v>43140</v>
      </c>
      <c r="EA23" s="659">
        <v>0</v>
      </c>
      <c r="EB23" s="659">
        <v>0</v>
      </c>
      <c r="EC23" s="659">
        <v>41992</v>
      </c>
      <c r="ED23" s="659">
        <v>15</v>
      </c>
      <c r="EE23" s="659">
        <v>0</v>
      </c>
      <c r="EF23" s="659">
        <v>0</v>
      </c>
      <c r="EG23" s="659">
        <v>250</v>
      </c>
      <c r="EH23" s="659">
        <v>0</v>
      </c>
      <c r="EI23" s="659">
        <v>0</v>
      </c>
      <c r="EJ23" s="659">
        <v>250</v>
      </c>
      <c r="EK23" s="659">
        <v>0</v>
      </c>
      <c r="EL23" s="659">
        <v>0</v>
      </c>
      <c r="EM23" s="659">
        <v>0</v>
      </c>
      <c r="EN23" s="659">
        <v>0</v>
      </c>
      <c r="EO23" s="659">
        <v>0</v>
      </c>
      <c r="EP23" s="659">
        <v>0</v>
      </c>
      <c r="EQ23" s="659">
        <v>0</v>
      </c>
    </row>
    <row r="24" spans="1:147" ht="20.7" customHeight="1" x14ac:dyDescent="0.3">
      <c r="A24" s="657" t="s">
        <v>1680</v>
      </c>
      <c r="B24" s="658" t="s">
        <v>269</v>
      </c>
      <c r="C24" s="659">
        <v>0</v>
      </c>
      <c r="D24" s="659">
        <v>0</v>
      </c>
      <c r="E24" s="659">
        <v>0</v>
      </c>
      <c r="F24" s="659">
        <v>0</v>
      </c>
      <c r="G24" s="659">
        <v>0</v>
      </c>
      <c r="H24" s="659">
        <v>0</v>
      </c>
      <c r="I24" s="659">
        <v>0</v>
      </c>
      <c r="J24" s="801">
        <v>0</v>
      </c>
      <c r="K24" s="659">
        <v>0</v>
      </c>
      <c r="L24" s="659">
        <v>0</v>
      </c>
      <c r="M24" s="659">
        <v>0</v>
      </c>
      <c r="N24" s="659">
        <v>0</v>
      </c>
      <c r="O24" s="659">
        <v>0</v>
      </c>
      <c r="P24" s="659">
        <v>0</v>
      </c>
      <c r="Q24" s="801">
        <v>0</v>
      </c>
      <c r="R24" s="659">
        <v>0</v>
      </c>
      <c r="S24" s="659">
        <v>0</v>
      </c>
      <c r="T24" s="659">
        <v>0</v>
      </c>
      <c r="U24" s="659">
        <v>0</v>
      </c>
      <c r="V24" s="659">
        <v>0</v>
      </c>
      <c r="W24" s="801">
        <v>0</v>
      </c>
      <c r="X24" s="659">
        <v>0</v>
      </c>
      <c r="Y24" s="659">
        <v>0</v>
      </c>
      <c r="Z24" s="659">
        <v>0</v>
      </c>
      <c r="AA24" s="659">
        <v>0</v>
      </c>
      <c r="AB24" s="659">
        <v>0</v>
      </c>
      <c r="AC24" s="659">
        <v>0</v>
      </c>
      <c r="AD24" s="801">
        <v>0</v>
      </c>
      <c r="AE24" s="659">
        <v>0</v>
      </c>
      <c r="AF24" s="659">
        <v>0</v>
      </c>
      <c r="AG24" s="659">
        <v>0</v>
      </c>
      <c r="AH24" s="659">
        <v>0</v>
      </c>
      <c r="AI24" s="659">
        <v>0</v>
      </c>
      <c r="AJ24" s="659">
        <v>0</v>
      </c>
      <c r="AK24" s="801">
        <v>0</v>
      </c>
      <c r="AL24" s="659">
        <v>0</v>
      </c>
      <c r="AM24" s="659">
        <v>0</v>
      </c>
      <c r="AN24" s="659">
        <v>0</v>
      </c>
      <c r="AO24" s="659">
        <v>0</v>
      </c>
      <c r="AP24" s="659">
        <v>0</v>
      </c>
      <c r="AQ24" s="801">
        <v>0</v>
      </c>
      <c r="AR24" s="659">
        <v>0</v>
      </c>
      <c r="AS24" s="659">
        <v>0</v>
      </c>
      <c r="AT24" s="659">
        <v>0</v>
      </c>
      <c r="AU24" s="659">
        <v>0</v>
      </c>
      <c r="AV24" s="659">
        <v>0</v>
      </c>
      <c r="AW24" s="659">
        <v>0</v>
      </c>
      <c r="AX24" s="659">
        <v>0</v>
      </c>
      <c r="AY24" s="659">
        <v>0</v>
      </c>
      <c r="AZ24" s="659">
        <v>0</v>
      </c>
      <c r="BA24" s="659">
        <v>0</v>
      </c>
      <c r="BB24" s="659">
        <v>0</v>
      </c>
      <c r="BC24" s="659">
        <v>0</v>
      </c>
      <c r="BD24" s="659">
        <v>0</v>
      </c>
      <c r="BE24" s="801">
        <v>0</v>
      </c>
      <c r="BF24" s="659">
        <v>0</v>
      </c>
      <c r="BG24" s="659">
        <v>0</v>
      </c>
      <c r="BH24" s="659">
        <v>0</v>
      </c>
      <c r="BI24" s="659">
        <v>0</v>
      </c>
      <c r="BJ24" s="659">
        <v>0</v>
      </c>
      <c r="BK24" s="659">
        <v>0</v>
      </c>
      <c r="BL24" s="659">
        <v>0</v>
      </c>
      <c r="BM24" s="659">
        <v>0</v>
      </c>
      <c r="BN24" s="659">
        <v>0</v>
      </c>
      <c r="BO24" s="659">
        <v>0</v>
      </c>
      <c r="BP24" s="659">
        <v>0</v>
      </c>
      <c r="BQ24" s="659">
        <v>0</v>
      </c>
      <c r="BR24" s="659">
        <v>0</v>
      </c>
      <c r="BS24" s="659">
        <v>0</v>
      </c>
      <c r="BT24" s="659">
        <v>0</v>
      </c>
      <c r="BU24" s="659">
        <v>0</v>
      </c>
      <c r="BV24" s="659">
        <v>0</v>
      </c>
      <c r="BW24" s="659">
        <v>0</v>
      </c>
      <c r="BX24" s="659">
        <v>0</v>
      </c>
      <c r="BY24" s="659">
        <v>0</v>
      </c>
      <c r="BZ24" s="659">
        <v>0</v>
      </c>
      <c r="CA24" s="659">
        <v>0</v>
      </c>
      <c r="CB24" s="659">
        <v>0</v>
      </c>
      <c r="CC24" s="659">
        <v>0</v>
      </c>
      <c r="CD24" s="659">
        <v>0</v>
      </c>
      <c r="CE24" s="659">
        <v>0</v>
      </c>
      <c r="CF24" s="659">
        <v>0</v>
      </c>
      <c r="CG24" s="659">
        <v>0</v>
      </c>
      <c r="CH24" s="659">
        <v>0</v>
      </c>
      <c r="CI24" s="659">
        <v>0</v>
      </c>
      <c r="CJ24" s="659">
        <v>0</v>
      </c>
      <c r="CK24" s="659">
        <v>0</v>
      </c>
      <c r="CL24" s="659">
        <v>0</v>
      </c>
      <c r="CM24" s="659">
        <v>0</v>
      </c>
      <c r="CN24" s="659">
        <v>0</v>
      </c>
      <c r="CO24" s="659">
        <v>0</v>
      </c>
      <c r="CP24" s="659">
        <v>0</v>
      </c>
      <c r="CQ24" s="659">
        <v>0</v>
      </c>
      <c r="CR24" s="659">
        <v>0</v>
      </c>
      <c r="CS24" s="659">
        <v>0</v>
      </c>
      <c r="CT24" s="659">
        <v>0</v>
      </c>
      <c r="CU24" s="659">
        <v>0</v>
      </c>
      <c r="CV24" s="659">
        <v>0</v>
      </c>
      <c r="CW24" s="659">
        <v>0</v>
      </c>
      <c r="CX24" s="659">
        <v>0</v>
      </c>
      <c r="CY24" s="659">
        <v>0</v>
      </c>
      <c r="CZ24" s="659">
        <v>0</v>
      </c>
      <c r="DA24" s="659">
        <v>0</v>
      </c>
      <c r="DB24" s="659">
        <v>0</v>
      </c>
      <c r="DC24" s="659">
        <v>0</v>
      </c>
      <c r="DD24" s="659">
        <v>0</v>
      </c>
      <c r="DE24" s="659">
        <v>0</v>
      </c>
      <c r="DF24" s="659">
        <v>0</v>
      </c>
      <c r="DG24" s="659">
        <v>0</v>
      </c>
      <c r="DH24" s="659">
        <v>0</v>
      </c>
      <c r="DI24" s="659">
        <v>0</v>
      </c>
      <c r="DJ24" s="659">
        <v>0</v>
      </c>
      <c r="DK24" s="659">
        <v>0</v>
      </c>
      <c r="DL24" s="659">
        <v>0</v>
      </c>
      <c r="DM24" s="659">
        <v>0</v>
      </c>
      <c r="DN24" s="659">
        <v>0</v>
      </c>
      <c r="DO24" s="659">
        <v>0</v>
      </c>
      <c r="DP24" s="659">
        <v>0</v>
      </c>
      <c r="DQ24" s="659">
        <v>0</v>
      </c>
      <c r="DR24" s="659">
        <v>0</v>
      </c>
      <c r="DS24" s="659">
        <v>0</v>
      </c>
      <c r="DT24" s="659">
        <v>0</v>
      </c>
      <c r="DU24" s="659">
        <v>0</v>
      </c>
      <c r="DV24" s="659">
        <v>0</v>
      </c>
      <c r="DW24" s="659">
        <v>0</v>
      </c>
      <c r="DX24" s="659">
        <v>0</v>
      </c>
      <c r="DY24" s="659">
        <v>0</v>
      </c>
      <c r="DZ24" s="659">
        <v>0</v>
      </c>
      <c r="EA24" s="659">
        <v>0</v>
      </c>
      <c r="EB24" s="659">
        <v>0</v>
      </c>
      <c r="EC24" s="659">
        <v>0</v>
      </c>
      <c r="ED24" s="659">
        <v>0</v>
      </c>
      <c r="EE24" s="659">
        <v>0</v>
      </c>
      <c r="EF24" s="659">
        <v>0</v>
      </c>
      <c r="EG24" s="659">
        <v>0</v>
      </c>
      <c r="EH24" s="659">
        <v>0</v>
      </c>
      <c r="EI24" s="659">
        <v>0</v>
      </c>
      <c r="EJ24" s="659">
        <v>0</v>
      </c>
      <c r="EK24" s="659">
        <v>0</v>
      </c>
      <c r="EL24" s="659">
        <v>0</v>
      </c>
      <c r="EM24" s="659">
        <v>0</v>
      </c>
      <c r="EN24" s="659">
        <v>0</v>
      </c>
      <c r="EO24" s="659">
        <v>0</v>
      </c>
      <c r="EP24" s="659">
        <v>0</v>
      </c>
      <c r="EQ24" s="659">
        <v>0</v>
      </c>
    </row>
    <row r="25" spans="1:147" ht="13.95" customHeight="1" x14ac:dyDescent="0.3">
      <c r="A25" s="657" t="s">
        <v>1681</v>
      </c>
      <c r="B25" s="658" t="s">
        <v>269</v>
      </c>
      <c r="C25" s="659">
        <v>261411</v>
      </c>
      <c r="D25" s="659">
        <v>0</v>
      </c>
      <c r="E25" s="659">
        <v>0</v>
      </c>
      <c r="F25" s="659">
        <v>10795977</v>
      </c>
      <c r="G25" s="659">
        <v>0</v>
      </c>
      <c r="H25" s="659">
        <v>0</v>
      </c>
      <c r="I25" s="659">
        <v>10724468</v>
      </c>
      <c r="J25" s="801">
        <v>17185</v>
      </c>
      <c r="K25" s="659">
        <v>0</v>
      </c>
      <c r="L25" s="659">
        <v>0</v>
      </c>
      <c r="M25" s="659">
        <v>929267</v>
      </c>
      <c r="N25" s="659">
        <v>0</v>
      </c>
      <c r="O25" s="659">
        <v>0</v>
      </c>
      <c r="P25" s="659">
        <v>929267</v>
      </c>
      <c r="Q25" s="801">
        <v>0</v>
      </c>
      <c r="R25" s="659">
        <v>0</v>
      </c>
      <c r="S25" s="659">
        <v>0</v>
      </c>
      <c r="T25" s="659">
        <v>0</v>
      </c>
      <c r="U25" s="659">
        <v>0</v>
      </c>
      <c r="V25" s="659">
        <v>0</v>
      </c>
      <c r="W25" s="801">
        <v>91</v>
      </c>
      <c r="X25" s="659">
        <v>0</v>
      </c>
      <c r="Y25" s="659">
        <v>0</v>
      </c>
      <c r="Z25" s="659">
        <v>1837</v>
      </c>
      <c r="AA25" s="659">
        <v>0</v>
      </c>
      <c r="AB25" s="659">
        <v>0</v>
      </c>
      <c r="AC25" s="659">
        <v>1837</v>
      </c>
      <c r="AD25" s="801">
        <v>23034</v>
      </c>
      <c r="AE25" s="659">
        <v>0</v>
      </c>
      <c r="AF25" s="659">
        <v>0</v>
      </c>
      <c r="AG25" s="659">
        <v>1338612</v>
      </c>
      <c r="AH25" s="659">
        <v>0</v>
      </c>
      <c r="AI25" s="659">
        <v>0</v>
      </c>
      <c r="AJ25" s="659">
        <v>1338612</v>
      </c>
      <c r="AK25" s="801">
        <v>72</v>
      </c>
      <c r="AL25" s="659">
        <v>0</v>
      </c>
      <c r="AM25" s="659">
        <v>2575</v>
      </c>
      <c r="AN25" s="659">
        <v>0</v>
      </c>
      <c r="AO25" s="659">
        <v>0</v>
      </c>
      <c r="AP25" s="659">
        <v>2575</v>
      </c>
      <c r="AQ25" s="801">
        <v>17240</v>
      </c>
      <c r="AR25" s="659">
        <v>0</v>
      </c>
      <c r="AS25" s="659">
        <v>0</v>
      </c>
      <c r="AT25" s="659">
        <v>1018280</v>
      </c>
      <c r="AU25" s="659">
        <v>0</v>
      </c>
      <c r="AV25" s="659">
        <v>0</v>
      </c>
      <c r="AW25" s="659">
        <v>997910</v>
      </c>
      <c r="AX25" s="659">
        <v>6562</v>
      </c>
      <c r="AY25" s="659">
        <v>0</v>
      </c>
      <c r="AZ25" s="659">
        <v>0</v>
      </c>
      <c r="BA25" s="659">
        <v>318362</v>
      </c>
      <c r="BB25" s="659">
        <v>0</v>
      </c>
      <c r="BC25" s="659">
        <v>0</v>
      </c>
      <c r="BD25" s="659">
        <v>317909</v>
      </c>
      <c r="BE25" s="801">
        <v>23133</v>
      </c>
      <c r="BF25" s="659">
        <v>0</v>
      </c>
      <c r="BG25" s="659">
        <v>0</v>
      </c>
      <c r="BH25" s="659">
        <v>1390250</v>
      </c>
      <c r="BI25" s="659">
        <v>0</v>
      </c>
      <c r="BJ25" s="659">
        <v>0</v>
      </c>
      <c r="BK25" s="659">
        <v>1390250</v>
      </c>
      <c r="BL25" s="659">
        <v>22416</v>
      </c>
      <c r="BM25" s="659">
        <v>0</v>
      </c>
      <c r="BN25" s="659">
        <v>0</v>
      </c>
      <c r="BO25" s="659">
        <v>622713</v>
      </c>
      <c r="BP25" s="659">
        <v>0</v>
      </c>
      <c r="BQ25" s="659">
        <v>0</v>
      </c>
      <c r="BR25" s="659">
        <v>619812</v>
      </c>
      <c r="BS25" s="659">
        <v>19500</v>
      </c>
      <c r="BT25" s="659">
        <v>0</v>
      </c>
      <c r="BU25" s="659">
        <v>0</v>
      </c>
      <c r="BV25" s="659">
        <v>935450</v>
      </c>
      <c r="BW25" s="659">
        <v>0</v>
      </c>
      <c r="BX25" s="659">
        <v>0</v>
      </c>
      <c r="BY25" s="659">
        <v>935450</v>
      </c>
      <c r="BZ25" s="659">
        <v>16990</v>
      </c>
      <c r="CA25" s="659">
        <v>0</v>
      </c>
      <c r="CB25" s="659">
        <v>0</v>
      </c>
      <c r="CC25" s="659">
        <v>768822</v>
      </c>
      <c r="CD25" s="659">
        <v>0</v>
      </c>
      <c r="CE25" s="659">
        <v>0</v>
      </c>
      <c r="CF25" s="659">
        <v>767267</v>
      </c>
      <c r="CG25" s="659">
        <v>16467</v>
      </c>
      <c r="CH25" s="659">
        <v>0</v>
      </c>
      <c r="CI25" s="659">
        <v>0</v>
      </c>
      <c r="CJ25" s="659">
        <v>652400</v>
      </c>
      <c r="CK25" s="659">
        <v>0</v>
      </c>
      <c r="CL25" s="659">
        <v>0</v>
      </c>
      <c r="CM25" s="659">
        <v>633200</v>
      </c>
      <c r="CN25" s="659">
        <v>20370</v>
      </c>
      <c r="CO25" s="659">
        <v>0</v>
      </c>
      <c r="CP25" s="659">
        <v>0</v>
      </c>
      <c r="CQ25" s="659">
        <v>701200</v>
      </c>
      <c r="CR25" s="659">
        <v>0</v>
      </c>
      <c r="CS25" s="659">
        <v>0</v>
      </c>
      <c r="CT25" s="659">
        <v>700200</v>
      </c>
      <c r="CU25" s="659">
        <v>1650</v>
      </c>
      <c r="CV25" s="659">
        <v>0</v>
      </c>
      <c r="CW25" s="659">
        <v>0</v>
      </c>
      <c r="CX25" s="659">
        <v>66750</v>
      </c>
      <c r="CY25" s="659">
        <v>0</v>
      </c>
      <c r="CZ25" s="659">
        <v>0</v>
      </c>
      <c r="DA25" s="659">
        <v>66750</v>
      </c>
      <c r="DB25" s="659">
        <v>12849</v>
      </c>
      <c r="DC25" s="659">
        <v>0</v>
      </c>
      <c r="DD25" s="659">
        <v>0</v>
      </c>
      <c r="DE25" s="659">
        <v>458954</v>
      </c>
      <c r="DF25" s="659">
        <v>0</v>
      </c>
      <c r="DG25" s="659">
        <v>0</v>
      </c>
      <c r="DH25" s="659">
        <v>458954</v>
      </c>
      <c r="DI25" s="659">
        <v>22450</v>
      </c>
      <c r="DJ25" s="659">
        <v>0</v>
      </c>
      <c r="DK25" s="659">
        <v>0</v>
      </c>
      <c r="DL25" s="659">
        <v>558000</v>
      </c>
      <c r="DM25" s="659">
        <v>0</v>
      </c>
      <c r="DN25" s="659">
        <v>0</v>
      </c>
      <c r="DO25" s="659">
        <v>544930</v>
      </c>
      <c r="DP25" s="659">
        <v>17185</v>
      </c>
      <c r="DQ25" s="659">
        <v>0</v>
      </c>
      <c r="DR25" s="659">
        <v>0</v>
      </c>
      <c r="DS25" s="659">
        <v>410896</v>
      </c>
      <c r="DT25" s="659">
        <v>0</v>
      </c>
      <c r="DU25" s="659">
        <v>0</v>
      </c>
      <c r="DV25" s="659">
        <v>410890</v>
      </c>
      <c r="DW25" s="659">
        <v>7893</v>
      </c>
      <c r="DX25" s="659">
        <v>0</v>
      </c>
      <c r="DY25" s="659">
        <v>0</v>
      </c>
      <c r="DZ25" s="659">
        <v>217156</v>
      </c>
      <c r="EA25" s="659">
        <v>0</v>
      </c>
      <c r="EB25" s="659">
        <v>0</v>
      </c>
      <c r="EC25" s="659">
        <v>206802</v>
      </c>
      <c r="ED25" s="659">
        <v>4780</v>
      </c>
      <c r="EE25" s="659">
        <v>0</v>
      </c>
      <c r="EF25" s="659">
        <v>0</v>
      </c>
      <c r="EG25" s="659">
        <v>129400</v>
      </c>
      <c r="EH25" s="659">
        <v>0</v>
      </c>
      <c r="EI25" s="659">
        <v>0</v>
      </c>
      <c r="EJ25" s="659">
        <v>126800</v>
      </c>
      <c r="EK25" s="659">
        <v>11544</v>
      </c>
      <c r="EL25" s="659">
        <v>0</v>
      </c>
      <c r="EM25" s="659">
        <v>0</v>
      </c>
      <c r="EN25" s="659">
        <v>275053</v>
      </c>
      <c r="EO25" s="659">
        <v>0</v>
      </c>
      <c r="EP25" s="659">
        <v>0</v>
      </c>
      <c r="EQ25" s="659">
        <v>275053</v>
      </c>
    </row>
    <row r="26" spans="1:147" ht="13.95" customHeight="1" x14ac:dyDescent="0.3">
      <c r="A26" s="657" t="s">
        <v>1682</v>
      </c>
      <c r="B26" s="658" t="s">
        <v>269</v>
      </c>
      <c r="C26" s="659">
        <v>0</v>
      </c>
      <c r="D26" s="659">
        <v>0</v>
      </c>
      <c r="E26" s="659">
        <v>0</v>
      </c>
      <c r="F26" s="659">
        <v>0</v>
      </c>
      <c r="G26" s="659">
        <v>0</v>
      </c>
      <c r="H26" s="659">
        <v>0</v>
      </c>
      <c r="I26" s="659">
        <v>0</v>
      </c>
      <c r="J26" s="801">
        <v>0</v>
      </c>
      <c r="K26" s="659">
        <v>0</v>
      </c>
      <c r="L26" s="659">
        <v>0</v>
      </c>
      <c r="M26" s="659">
        <v>0</v>
      </c>
      <c r="N26" s="659">
        <v>0</v>
      </c>
      <c r="O26" s="659">
        <v>0</v>
      </c>
      <c r="P26" s="659">
        <v>0</v>
      </c>
      <c r="Q26" s="801">
        <v>0</v>
      </c>
      <c r="R26" s="659">
        <v>0</v>
      </c>
      <c r="S26" s="659">
        <v>0</v>
      </c>
      <c r="T26" s="659">
        <v>0</v>
      </c>
      <c r="U26" s="659">
        <v>0</v>
      </c>
      <c r="V26" s="659">
        <v>0</v>
      </c>
      <c r="W26" s="801">
        <v>0</v>
      </c>
      <c r="X26" s="659">
        <v>0</v>
      </c>
      <c r="Y26" s="659">
        <v>0</v>
      </c>
      <c r="Z26" s="659">
        <v>0</v>
      </c>
      <c r="AA26" s="659">
        <v>0</v>
      </c>
      <c r="AB26" s="659">
        <v>0</v>
      </c>
      <c r="AC26" s="659">
        <v>0</v>
      </c>
      <c r="AD26" s="801">
        <v>0</v>
      </c>
      <c r="AE26" s="659">
        <v>0</v>
      </c>
      <c r="AF26" s="659">
        <v>0</v>
      </c>
      <c r="AG26" s="659">
        <v>0</v>
      </c>
      <c r="AH26" s="659">
        <v>0</v>
      </c>
      <c r="AI26" s="659">
        <v>0</v>
      </c>
      <c r="AJ26" s="659">
        <v>0</v>
      </c>
      <c r="AK26" s="801">
        <v>0</v>
      </c>
      <c r="AL26" s="659">
        <v>0</v>
      </c>
      <c r="AM26" s="659">
        <v>0</v>
      </c>
      <c r="AN26" s="659">
        <v>0</v>
      </c>
      <c r="AO26" s="659">
        <v>0</v>
      </c>
      <c r="AP26" s="659">
        <v>0</v>
      </c>
      <c r="AQ26" s="801">
        <v>0</v>
      </c>
      <c r="AR26" s="659">
        <v>0</v>
      </c>
      <c r="AS26" s="659">
        <v>0</v>
      </c>
      <c r="AT26" s="659">
        <v>0</v>
      </c>
      <c r="AU26" s="659">
        <v>0</v>
      </c>
      <c r="AV26" s="659">
        <v>0</v>
      </c>
      <c r="AW26" s="659">
        <v>0</v>
      </c>
      <c r="AX26" s="659">
        <v>0</v>
      </c>
      <c r="AY26" s="659">
        <v>0</v>
      </c>
      <c r="AZ26" s="659">
        <v>0</v>
      </c>
      <c r="BA26" s="659">
        <v>0</v>
      </c>
      <c r="BB26" s="659">
        <v>0</v>
      </c>
      <c r="BC26" s="659">
        <v>0</v>
      </c>
      <c r="BD26" s="659">
        <v>0</v>
      </c>
      <c r="BE26" s="801">
        <v>0</v>
      </c>
      <c r="BF26" s="659">
        <v>0</v>
      </c>
      <c r="BG26" s="659">
        <v>0</v>
      </c>
      <c r="BH26" s="659">
        <v>0</v>
      </c>
      <c r="BI26" s="659">
        <v>0</v>
      </c>
      <c r="BJ26" s="659">
        <v>0</v>
      </c>
      <c r="BK26" s="659">
        <v>0</v>
      </c>
      <c r="BL26" s="659">
        <v>0</v>
      </c>
      <c r="BM26" s="659">
        <v>0</v>
      </c>
      <c r="BN26" s="659">
        <v>0</v>
      </c>
      <c r="BO26" s="659">
        <v>0</v>
      </c>
      <c r="BP26" s="659">
        <v>0</v>
      </c>
      <c r="BQ26" s="659">
        <v>0</v>
      </c>
      <c r="BR26" s="659">
        <v>0</v>
      </c>
      <c r="BS26" s="659">
        <v>0</v>
      </c>
      <c r="BT26" s="659">
        <v>0</v>
      </c>
      <c r="BU26" s="659">
        <v>0</v>
      </c>
      <c r="BV26" s="659">
        <v>0</v>
      </c>
      <c r="BW26" s="659">
        <v>0</v>
      </c>
      <c r="BX26" s="659">
        <v>0</v>
      </c>
      <c r="BY26" s="659">
        <v>0</v>
      </c>
      <c r="BZ26" s="659">
        <v>0</v>
      </c>
      <c r="CA26" s="659">
        <v>0</v>
      </c>
      <c r="CB26" s="659">
        <v>0</v>
      </c>
      <c r="CC26" s="659">
        <v>0</v>
      </c>
      <c r="CD26" s="659">
        <v>0</v>
      </c>
      <c r="CE26" s="659">
        <v>0</v>
      </c>
      <c r="CF26" s="659">
        <v>0</v>
      </c>
      <c r="CG26" s="659">
        <v>0</v>
      </c>
      <c r="CH26" s="659">
        <v>0</v>
      </c>
      <c r="CI26" s="659">
        <v>0</v>
      </c>
      <c r="CJ26" s="659">
        <v>0</v>
      </c>
      <c r="CK26" s="659">
        <v>0</v>
      </c>
      <c r="CL26" s="659">
        <v>0</v>
      </c>
      <c r="CM26" s="659">
        <v>0</v>
      </c>
      <c r="CN26" s="659">
        <v>0</v>
      </c>
      <c r="CO26" s="659">
        <v>0</v>
      </c>
      <c r="CP26" s="659">
        <v>0</v>
      </c>
      <c r="CQ26" s="659">
        <v>0</v>
      </c>
      <c r="CR26" s="659">
        <v>0</v>
      </c>
      <c r="CS26" s="659">
        <v>0</v>
      </c>
      <c r="CT26" s="659">
        <v>0</v>
      </c>
      <c r="CU26" s="659">
        <v>0</v>
      </c>
      <c r="CV26" s="659">
        <v>0</v>
      </c>
      <c r="CW26" s="659">
        <v>0</v>
      </c>
      <c r="CX26" s="659">
        <v>0</v>
      </c>
      <c r="CY26" s="659">
        <v>0</v>
      </c>
      <c r="CZ26" s="659">
        <v>0</v>
      </c>
      <c r="DA26" s="659">
        <v>0</v>
      </c>
      <c r="DB26" s="659">
        <v>0</v>
      </c>
      <c r="DC26" s="659">
        <v>0</v>
      </c>
      <c r="DD26" s="659">
        <v>0</v>
      </c>
      <c r="DE26" s="659">
        <v>0</v>
      </c>
      <c r="DF26" s="659">
        <v>0</v>
      </c>
      <c r="DG26" s="659">
        <v>0</v>
      </c>
      <c r="DH26" s="659">
        <v>0</v>
      </c>
      <c r="DI26" s="659">
        <v>0</v>
      </c>
      <c r="DJ26" s="659">
        <v>0</v>
      </c>
      <c r="DK26" s="659">
        <v>0</v>
      </c>
      <c r="DL26" s="659">
        <v>0</v>
      </c>
      <c r="DM26" s="659">
        <v>0</v>
      </c>
      <c r="DN26" s="659">
        <v>0</v>
      </c>
      <c r="DO26" s="659">
        <v>0</v>
      </c>
      <c r="DP26" s="659">
        <v>0</v>
      </c>
      <c r="DQ26" s="659">
        <v>0</v>
      </c>
      <c r="DR26" s="659">
        <v>0</v>
      </c>
      <c r="DS26" s="659">
        <v>0</v>
      </c>
      <c r="DT26" s="659">
        <v>0</v>
      </c>
      <c r="DU26" s="659">
        <v>0</v>
      </c>
      <c r="DV26" s="659">
        <v>0</v>
      </c>
      <c r="DW26" s="659">
        <v>0</v>
      </c>
      <c r="DX26" s="659">
        <v>0</v>
      </c>
      <c r="DY26" s="659">
        <v>0</v>
      </c>
      <c r="DZ26" s="659">
        <v>0</v>
      </c>
      <c r="EA26" s="659">
        <v>0</v>
      </c>
      <c r="EB26" s="659">
        <v>0</v>
      </c>
      <c r="EC26" s="659">
        <v>0</v>
      </c>
      <c r="ED26" s="659">
        <v>0</v>
      </c>
      <c r="EE26" s="659">
        <v>0</v>
      </c>
      <c r="EF26" s="659">
        <v>0</v>
      </c>
      <c r="EG26" s="659">
        <v>0</v>
      </c>
      <c r="EH26" s="659">
        <v>0</v>
      </c>
      <c r="EI26" s="659">
        <v>0</v>
      </c>
      <c r="EJ26" s="659">
        <v>0</v>
      </c>
      <c r="EK26" s="659">
        <v>0</v>
      </c>
      <c r="EL26" s="659">
        <v>0</v>
      </c>
      <c r="EM26" s="659">
        <v>0</v>
      </c>
      <c r="EN26" s="659">
        <v>0</v>
      </c>
      <c r="EO26" s="659">
        <v>0</v>
      </c>
      <c r="EP26" s="659">
        <v>0</v>
      </c>
      <c r="EQ26" s="659">
        <v>0</v>
      </c>
    </row>
    <row r="27" spans="1:147" ht="13.95" customHeight="1" x14ac:dyDescent="0.3">
      <c r="A27" s="657" t="s">
        <v>1683</v>
      </c>
      <c r="B27" s="658" t="s">
        <v>269</v>
      </c>
      <c r="C27" s="659">
        <v>0</v>
      </c>
      <c r="D27" s="659">
        <v>0</v>
      </c>
      <c r="E27" s="659">
        <v>0</v>
      </c>
      <c r="F27" s="659">
        <v>0</v>
      </c>
      <c r="G27" s="659">
        <v>0</v>
      </c>
      <c r="H27" s="659">
        <v>0</v>
      </c>
      <c r="I27" s="659">
        <v>0</v>
      </c>
      <c r="J27" s="801">
        <v>0</v>
      </c>
      <c r="K27" s="659">
        <v>0</v>
      </c>
      <c r="L27" s="659">
        <v>0</v>
      </c>
      <c r="M27" s="659">
        <v>0</v>
      </c>
      <c r="N27" s="659">
        <v>0</v>
      </c>
      <c r="O27" s="659">
        <v>0</v>
      </c>
      <c r="P27" s="659">
        <v>0</v>
      </c>
      <c r="Q27" s="801">
        <v>0</v>
      </c>
      <c r="R27" s="659">
        <v>0</v>
      </c>
      <c r="S27" s="659">
        <v>0</v>
      </c>
      <c r="T27" s="659">
        <v>0</v>
      </c>
      <c r="U27" s="659">
        <v>0</v>
      </c>
      <c r="V27" s="659">
        <v>0</v>
      </c>
      <c r="W27" s="801">
        <v>0</v>
      </c>
      <c r="X27" s="659">
        <v>0</v>
      </c>
      <c r="Y27" s="659">
        <v>0</v>
      </c>
      <c r="Z27" s="659">
        <v>0</v>
      </c>
      <c r="AA27" s="659">
        <v>0</v>
      </c>
      <c r="AB27" s="659">
        <v>0</v>
      </c>
      <c r="AC27" s="659">
        <v>0</v>
      </c>
      <c r="AD27" s="801">
        <v>0</v>
      </c>
      <c r="AE27" s="659">
        <v>0</v>
      </c>
      <c r="AF27" s="659">
        <v>0</v>
      </c>
      <c r="AG27" s="659">
        <v>0</v>
      </c>
      <c r="AH27" s="659">
        <v>0</v>
      </c>
      <c r="AI27" s="659">
        <v>0</v>
      </c>
      <c r="AJ27" s="659">
        <v>0</v>
      </c>
      <c r="AK27" s="801">
        <v>0</v>
      </c>
      <c r="AL27" s="659">
        <v>0</v>
      </c>
      <c r="AM27" s="659">
        <v>0</v>
      </c>
      <c r="AN27" s="659">
        <v>0</v>
      </c>
      <c r="AO27" s="659">
        <v>0</v>
      </c>
      <c r="AP27" s="659">
        <v>0</v>
      </c>
      <c r="AQ27" s="801">
        <v>0</v>
      </c>
      <c r="AR27" s="659">
        <v>0</v>
      </c>
      <c r="AS27" s="659">
        <v>0</v>
      </c>
      <c r="AT27" s="659">
        <v>0</v>
      </c>
      <c r="AU27" s="659">
        <v>0</v>
      </c>
      <c r="AV27" s="659">
        <v>0</v>
      </c>
      <c r="AW27" s="659">
        <v>0</v>
      </c>
      <c r="AX27" s="659">
        <v>0</v>
      </c>
      <c r="AY27" s="659">
        <v>0</v>
      </c>
      <c r="AZ27" s="659">
        <v>0</v>
      </c>
      <c r="BA27" s="659">
        <v>0</v>
      </c>
      <c r="BB27" s="659">
        <v>0</v>
      </c>
      <c r="BC27" s="659">
        <v>0</v>
      </c>
      <c r="BD27" s="659">
        <v>0</v>
      </c>
      <c r="BE27" s="801">
        <v>0</v>
      </c>
      <c r="BF27" s="659">
        <v>0</v>
      </c>
      <c r="BG27" s="659">
        <v>0</v>
      </c>
      <c r="BH27" s="659">
        <v>0</v>
      </c>
      <c r="BI27" s="659">
        <v>0</v>
      </c>
      <c r="BJ27" s="659">
        <v>0</v>
      </c>
      <c r="BK27" s="659">
        <v>0</v>
      </c>
      <c r="BL27" s="659">
        <v>0</v>
      </c>
      <c r="BM27" s="659">
        <v>0</v>
      </c>
      <c r="BN27" s="659">
        <v>0</v>
      </c>
      <c r="BO27" s="659">
        <v>0</v>
      </c>
      <c r="BP27" s="659">
        <v>0</v>
      </c>
      <c r="BQ27" s="659">
        <v>0</v>
      </c>
      <c r="BR27" s="659">
        <v>0</v>
      </c>
      <c r="BS27" s="659">
        <v>0</v>
      </c>
      <c r="BT27" s="659">
        <v>0</v>
      </c>
      <c r="BU27" s="659">
        <v>0</v>
      </c>
      <c r="BV27" s="659">
        <v>0</v>
      </c>
      <c r="BW27" s="659">
        <v>0</v>
      </c>
      <c r="BX27" s="659">
        <v>0</v>
      </c>
      <c r="BY27" s="659">
        <v>0</v>
      </c>
      <c r="BZ27" s="659">
        <v>0</v>
      </c>
      <c r="CA27" s="659">
        <v>0</v>
      </c>
      <c r="CB27" s="659">
        <v>0</v>
      </c>
      <c r="CC27" s="659">
        <v>0</v>
      </c>
      <c r="CD27" s="659">
        <v>0</v>
      </c>
      <c r="CE27" s="659">
        <v>0</v>
      </c>
      <c r="CF27" s="659">
        <v>0</v>
      </c>
      <c r="CG27" s="659">
        <v>0</v>
      </c>
      <c r="CH27" s="659">
        <v>0</v>
      </c>
      <c r="CI27" s="659">
        <v>0</v>
      </c>
      <c r="CJ27" s="659">
        <v>0</v>
      </c>
      <c r="CK27" s="659">
        <v>0</v>
      </c>
      <c r="CL27" s="659">
        <v>0</v>
      </c>
      <c r="CM27" s="659">
        <v>0</v>
      </c>
      <c r="CN27" s="659">
        <v>0</v>
      </c>
      <c r="CO27" s="659">
        <v>0</v>
      </c>
      <c r="CP27" s="659">
        <v>0</v>
      </c>
      <c r="CQ27" s="659">
        <v>0</v>
      </c>
      <c r="CR27" s="659">
        <v>0</v>
      </c>
      <c r="CS27" s="659">
        <v>0</v>
      </c>
      <c r="CT27" s="659">
        <v>0</v>
      </c>
      <c r="CU27" s="659">
        <v>0</v>
      </c>
      <c r="CV27" s="659">
        <v>0</v>
      </c>
      <c r="CW27" s="659">
        <v>0</v>
      </c>
      <c r="CX27" s="659">
        <v>0</v>
      </c>
      <c r="CY27" s="659">
        <v>0</v>
      </c>
      <c r="CZ27" s="659">
        <v>0</v>
      </c>
      <c r="DA27" s="659">
        <v>0</v>
      </c>
      <c r="DB27" s="659">
        <v>0</v>
      </c>
      <c r="DC27" s="659">
        <v>0</v>
      </c>
      <c r="DD27" s="659">
        <v>0</v>
      </c>
      <c r="DE27" s="659">
        <v>0</v>
      </c>
      <c r="DF27" s="659">
        <v>0</v>
      </c>
      <c r="DG27" s="659">
        <v>0</v>
      </c>
      <c r="DH27" s="659">
        <v>0</v>
      </c>
      <c r="DI27" s="659">
        <v>0</v>
      </c>
      <c r="DJ27" s="659">
        <v>0</v>
      </c>
      <c r="DK27" s="659">
        <v>0</v>
      </c>
      <c r="DL27" s="659">
        <v>0</v>
      </c>
      <c r="DM27" s="659">
        <v>0</v>
      </c>
      <c r="DN27" s="659">
        <v>0</v>
      </c>
      <c r="DO27" s="659">
        <v>0</v>
      </c>
      <c r="DP27" s="659">
        <v>0</v>
      </c>
      <c r="DQ27" s="659">
        <v>0</v>
      </c>
      <c r="DR27" s="659">
        <v>0</v>
      </c>
      <c r="DS27" s="659">
        <v>0</v>
      </c>
      <c r="DT27" s="659">
        <v>0</v>
      </c>
      <c r="DU27" s="659">
        <v>0</v>
      </c>
      <c r="DV27" s="659">
        <v>0</v>
      </c>
      <c r="DW27" s="659">
        <v>0</v>
      </c>
      <c r="DX27" s="659">
        <v>0</v>
      </c>
      <c r="DY27" s="659">
        <v>0</v>
      </c>
      <c r="DZ27" s="659">
        <v>0</v>
      </c>
      <c r="EA27" s="659">
        <v>0</v>
      </c>
      <c r="EB27" s="659">
        <v>0</v>
      </c>
      <c r="EC27" s="659">
        <v>0</v>
      </c>
      <c r="ED27" s="659">
        <v>0</v>
      </c>
      <c r="EE27" s="659">
        <v>0</v>
      </c>
      <c r="EF27" s="659">
        <v>0</v>
      </c>
      <c r="EG27" s="659">
        <v>0</v>
      </c>
      <c r="EH27" s="659">
        <v>0</v>
      </c>
      <c r="EI27" s="659">
        <v>0</v>
      </c>
      <c r="EJ27" s="659">
        <v>0</v>
      </c>
      <c r="EK27" s="659">
        <v>0</v>
      </c>
      <c r="EL27" s="659">
        <v>0</v>
      </c>
      <c r="EM27" s="659">
        <v>0</v>
      </c>
      <c r="EN27" s="659">
        <v>0</v>
      </c>
      <c r="EO27" s="659">
        <v>0</v>
      </c>
      <c r="EP27" s="659">
        <v>0</v>
      </c>
      <c r="EQ27" s="659">
        <v>0</v>
      </c>
    </row>
    <row r="28" spans="1:147" ht="30.45" customHeight="1" x14ac:dyDescent="0.3">
      <c r="A28" s="657" t="s">
        <v>1684</v>
      </c>
      <c r="B28" s="658" t="s">
        <v>269</v>
      </c>
      <c r="C28" s="659">
        <v>0</v>
      </c>
      <c r="D28" s="659">
        <v>0</v>
      </c>
      <c r="E28" s="659">
        <v>0</v>
      </c>
      <c r="F28" s="659">
        <v>0</v>
      </c>
      <c r="G28" s="659">
        <v>0</v>
      </c>
      <c r="H28" s="659">
        <v>0</v>
      </c>
      <c r="I28" s="659">
        <v>0</v>
      </c>
      <c r="J28" s="801">
        <v>0</v>
      </c>
      <c r="K28" s="659">
        <v>0</v>
      </c>
      <c r="L28" s="659">
        <v>0</v>
      </c>
      <c r="M28" s="659">
        <v>0</v>
      </c>
      <c r="N28" s="659">
        <v>0</v>
      </c>
      <c r="O28" s="659">
        <v>0</v>
      </c>
      <c r="P28" s="659">
        <v>0</v>
      </c>
      <c r="Q28" s="801">
        <v>0</v>
      </c>
      <c r="R28" s="659">
        <v>0</v>
      </c>
      <c r="S28" s="659">
        <v>0</v>
      </c>
      <c r="T28" s="659">
        <v>0</v>
      </c>
      <c r="U28" s="659">
        <v>0</v>
      </c>
      <c r="V28" s="659">
        <v>0</v>
      </c>
      <c r="W28" s="801">
        <v>0</v>
      </c>
      <c r="X28" s="659">
        <v>0</v>
      </c>
      <c r="Y28" s="659">
        <v>0</v>
      </c>
      <c r="Z28" s="659">
        <v>0</v>
      </c>
      <c r="AA28" s="659">
        <v>0</v>
      </c>
      <c r="AB28" s="659">
        <v>0</v>
      </c>
      <c r="AC28" s="659">
        <v>0</v>
      </c>
      <c r="AD28" s="801">
        <v>0</v>
      </c>
      <c r="AE28" s="659">
        <v>0</v>
      </c>
      <c r="AF28" s="659">
        <v>0</v>
      </c>
      <c r="AG28" s="659">
        <v>0</v>
      </c>
      <c r="AH28" s="659">
        <v>0</v>
      </c>
      <c r="AI28" s="659">
        <v>0</v>
      </c>
      <c r="AJ28" s="659">
        <v>0</v>
      </c>
      <c r="AK28" s="801">
        <v>0</v>
      </c>
      <c r="AL28" s="659">
        <v>0</v>
      </c>
      <c r="AM28" s="659">
        <v>0</v>
      </c>
      <c r="AN28" s="659">
        <v>0</v>
      </c>
      <c r="AO28" s="659">
        <v>0</v>
      </c>
      <c r="AP28" s="659">
        <v>0</v>
      </c>
      <c r="AQ28" s="801">
        <v>0</v>
      </c>
      <c r="AR28" s="659">
        <v>0</v>
      </c>
      <c r="AS28" s="659">
        <v>0</v>
      </c>
      <c r="AT28" s="659">
        <v>0</v>
      </c>
      <c r="AU28" s="659">
        <v>0</v>
      </c>
      <c r="AV28" s="659">
        <v>0</v>
      </c>
      <c r="AW28" s="659">
        <v>0</v>
      </c>
      <c r="AX28" s="659">
        <v>0</v>
      </c>
      <c r="AY28" s="659">
        <v>0</v>
      </c>
      <c r="AZ28" s="659">
        <v>0</v>
      </c>
      <c r="BA28" s="659">
        <v>0</v>
      </c>
      <c r="BB28" s="659">
        <v>0</v>
      </c>
      <c r="BC28" s="659">
        <v>0</v>
      </c>
      <c r="BD28" s="659">
        <v>0</v>
      </c>
      <c r="BE28" s="801">
        <v>0</v>
      </c>
      <c r="BF28" s="659">
        <v>0</v>
      </c>
      <c r="BG28" s="659">
        <v>0</v>
      </c>
      <c r="BH28" s="659">
        <v>0</v>
      </c>
      <c r="BI28" s="659">
        <v>0</v>
      </c>
      <c r="BJ28" s="659">
        <v>0</v>
      </c>
      <c r="BK28" s="659">
        <v>0</v>
      </c>
      <c r="BL28" s="659">
        <v>0</v>
      </c>
      <c r="BM28" s="659">
        <v>0</v>
      </c>
      <c r="BN28" s="659">
        <v>0</v>
      </c>
      <c r="BO28" s="659">
        <v>0</v>
      </c>
      <c r="BP28" s="659">
        <v>0</v>
      </c>
      <c r="BQ28" s="659">
        <v>0</v>
      </c>
      <c r="BR28" s="659">
        <v>0</v>
      </c>
      <c r="BS28" s="659">
        <v>0</v>
      </c>
      <c r="BT28" s="659">
        <v>0</v>
      </c>
      <c r="BU28" s="659">
        <v>0</v>
      </c>
      <c r="BV28" s="659">
        <v>0</v>
      </c>
      <c r="BW28" s="659">
        <v>0</v>
      </c>
      <c r="BX28" s="659">
        <v>0</v>
      </c>
      <c r="BY28" s="659">
        <v>0</v>
      </c>
      <c r="BZ28" s="659">
        <v>0</v>
      </c>
      <c r="CA28" s="659">
        <v>0</v>
      </c>
      <c r="CB28" s="659">
        <v>0</v>
      </c>
      <c r="CC28" s="659">
        <v>0</v>
      </c>
      <c r="CD28" s="659">
        <v>0</v>
      </c>
      <c r="CE28" s="659">
        <v>0</v>
      </c>
      <c r="CF28" s="659">
        <v>0</v>
      </c>
      <c r="CG28" s="659">
        <v>0</v>
      </c>
      <c r="CH28" s="659">
        <v>0</v>
      </c>
      <c r="CI28" s="659">
        <v>0</v>
      </c>
      <c r="CJ28" s="659">
        <v>0</v>
      </c>
      <c r="CK28" s="659">
        <v>0</v>
      </c>
      <c r="CL28" s="659">
        <v>0</v>
      </c>
      <c r="CM28" s="659">
        <v>0</v>
      </c>
      <c r="CN28" s="659">
        <v>0</v>
      </c>
      <c r="CO28" s="659">
        <v>0</v>
      </c>
      <c r="CP28" s="659">
        <v>0</v>
      </c>
      <c r="CQ28" s="659">
        <v>0</v>
      </c>
      <c r="CR28" s="659">
        <v>0</v>
      </c>
      <c r="CS28" s="659">
        <v>0</v>
      </c>
      <c r="CT28" s="659">
        <v>0</v>
      </c>
      <c r="CU28" s="659">
        <v>0</v>
      </c>
      <c r="CV28" s="659">
        <v>0</v>
      </c>
      <c r="CW28" s="659">
        <v>0</v>
      </c>
      <c r="CX28" s="659">
        <v>0</v>
      </c>
      <c r="CY28" s="659">
        <v>0</v>
      </c>
      <c r="CZ28" s="659">
        <v>0</v>
      </c>
      <c r="DA28" s="659">
        <v>0</v>
      </c>
      <c r="DB28" s="659">
        <v>0</v>
      </c>
      <c r="DC28" s="659">
        <v>0</v>
      </c>
      <c r="DD28" s="659">
        <v>0</v>
      </c>
      <c r="DE28" s="659">
        <v>0</v>
      </c>
      <c r="DF28" s="659">
        <v>0</v>
      </c>
      <c r="DG28" s="659">
        <v>0</v>
      </c>
      <c r="DH28" s="659">
        <v>0</v>
      </c>
      <c r="DI28" s="659">
        <v>0</v>
      </c>
      <c r="DJ28" s="659">
        <v>0</v>
      </c>
      <c r="DK28" s="659">
        <v>0</v>
      </c>
      <c r="DL28" s="659">
        <v>0</v>
      </c>
      <c r="DM28" s="659">
        <v>0</v>
      </c>
      <c r="DN28" s="659">
        <v>0</v>
      </c>
      <c r="DO28" s="659">
        <v>0</v>
      </c>
      <c r="DP28" s="659">
        <v>0</v>
      </c>
      <c r="DQ28" s="659">
        <v>0</v>
      </c>
      <c r="DR28" s="659">
        <v>0</v>
      </c>
      <c r="DS28" s="659">
        <v>0</v>
      </c>
      <c r="DT28" s="659">
        <v>0</v>
      </c>
      <c r="DU28" s="659">
        <v>0</v>
      </c>
      <c r="DV28" s="659">
        <v>0</v>
      </c>
      <c r="DW28" s="659">
        <v>0</v>
      </c>
      <c r="DX28" s="659">
        <v>0</v>
      </c>
      <c r="DY28" s="659">
        <v>0</v>
      </c>
      <c r="DZ28" s="659">
        <v>0</v>
      </c>
      <c r="EA28" s="659">
        <v>0</v>
      </c>
      <c r="EB28" s="659">
        <v>0</v>
      </c>
      <c r="EC28" s="659">
        <v>0</v>
      </c>
      <c r="ED28" s="659">
        <v>0</v>
      </c>
      <c r="EE28" s="659">
        <v>0</v>
      </c>
      <c r="EF28" s="659">
        <v>0</v>
      </c>
      <c r="EG28" s="659">
        <v>0</v>
      </c>
      <c r="EH28" s="659">
        <v>0</v>
      </c>
      <c r="EI28" s="659">
        <v>0</v>
      </c>
      <c r="EJ28" s="659">
        <v>0</v>
      </c>
      <c r="EK28" s="659">
        <v>0</v>
      </c>
      <c r="EL28" s="659">
        <v>0</v>
      </c>
      <c r="EM28" s="659">
        <v>0</v>
      </c>
      <c r="EN28" s="659">
        <v>0</v>
      </c>
      <c r="EO28" s="659">
        <v>0</v>
      </c>
      <c r="EP28" s="659">
        <v>0</v>
      </c>
      <c r="EQ28" s="659">
        <v>0</v>
      </c>
    </row>
    <row r="29" spans="1:147" ht="13.95" customHeight="1" x14ac:dyDescent="0.3">
      <c r="A29" s="657" t="s">
        <v>1685</v>
      </c>
      <c r="B29" s="658" t="s">
        <v>269</v>
      </c>
      <c r="C29" s="659">
        <v>103789</v>
      </c>
      <c r="D29" s="659">
        <v>0</v>
      </c>
      <c r="E29" s="659">
        <v>0</v>
      </c>
      <c r="F29" s="659">
        <v>2415144</v>
      </c>
      <c r="G29" s="659">
        <v>0</v>
      </c>
      <c r="H29" s="659">
        <v>0</v>
      </c>
      <c r="I29" s="659">
        <v>2381069</v>
      </c>
      <c r="J29" s="801">
        <v>590</v>
      </c>
      <c r="K29" s="659">
        <v>0</v>
      </c>
      <c r="L29" s="659">
        <v>0</v>
      </c>
      <c r="M29" s="659">
        <v>21226</v>
      </c>
      <c r="N29" s="659">
        <v>0</v>
      </c>
      <c r="O29" s="659">
        <v>0</v>
      </c>
      <c r="P29" s="659">
        <v>21226</v>
      </c>
      <c r="Q29" s="801">
        <v>0</v>
      </c>
      <c r="R29" s="659">
        <v>0</v>
      </c>
      <c r="S29" s="659">
        <v>0</v>
      </c>
      <c r="T29" s="659">
        <v>0</v>
      </c>
      <c r="U29" s="659">
        <v>0</v>
      </c>
      <c r="V29" s="659">
        <v>0</v>
      </c>
      <c r="W29" s="801">
        <v>1</v>
      </c>
      <c r="X29" s="659">
        <v>0</v>
      </c>
      <c r="Y29" s="659">
        <v>0</v>
      </c>
      <c r="Z29" s="659">
        <v>20</v>
      </c>
      <c r="AA29" s="659">
        <v>0</v>
      </c>
      <c r="AB29" s="659">
        <v>0</v>
      </c>
      <c r="AC29" s="659">
        <v>20</v>
      </c>
      <c r="AD29" s="801">
        <v>337</v>
      </c>
      <c r="AE29" s="659">
        <v>0</v>
      </c>
      <c r="AF29" s="659">
        <v>0</v>
      </c>
      <c r="AG29" s="659">
        <v>11593</v>
      </c>
      <c r="AH29" s="659">
        <v>0</v>
      </c>
      <c r="AI29" s="659">
        <v>0</v>
      </c>
      <c r="AJ29" s="659">
        <v>11593</v>
      </c>
      <c r="AK29" s="801">
        <v>13</v>
      </c>
      <c r="AL29" s="659">
        <v>0</v>
      </c>
      <c r="AM29" s="659">
        <v>404</v>
      </c>
      <c r="AN29" s="659">
        <v>0</v>
      </c>
      <c r="AO29" s="659">
        <v>0</v>
      </c>
      <c r="AP29" s="659">
        <v>404</v>
      </c>
      <c r="AQ29" s="801">
        <v>174</v>
      </c>
      <c r="AR29" s="659">
        <v>0</v>
      </c>
      <c r="AS29" s="659">
        <v>0</v>
      </c>
      <c r="AT29" s="659">
        <v>7580</v>
      </c>
      <c r="AU29" s="659">
        <v>0</v>
      </c>
      <c r="AV29" s="659">
        <v>0</v>
      </c>
      <c r="AW29" s="659">
        <v>7277</v>
      </c>
      <c r="AX29" s="659">
        <v>20</v>
      </c>
      <c r="AY29" s="659">
        <v>0</v>
      </c>
      <c r="AZ29" s="659">
        <v>0</v>
      </c>
      <c r="BA29" s="659">
        <v>842</v>
      </c>
      <c r="BB29" s="659">
        <v>0</v>
      </c>
      <c r="BC29" s="659">
        <v>0</v>
      </c>
      <c r="BD29" s="659">
        <v>825</v>
      </c>
      <c r="BE29" s="801">
        <v>320</v>
      </c>
      <c r="BF29" s="659">
        <v>0</v>
      </c>
      <c r="BG29" s="659">
        <v>0</v>
      </c>
      <c r="BH29" s="659">
        <v>10995</v>
      </c>
      <c r="BI29" s="659">
        <v>0</v>
      </c>
      <c r="BJ29" s="659">
        <v>0</v>
      </c>
      <c r="BK29" s="659">
        <v>10995</v>
      </c>
      <c r="BL29" s="659">
        <v>13060</v>
      </c>
      <c r="BM29" s="659">
        <v>0</v>
      </c>
      <c r="BN29" s="659">
        <v>0</v>
      </c>
      <c r="BO29" s="659">
        <v>342076</v>
      </c>
      <c r="BP29" s="659">
        <v>0</v>
      </c>
      <c r="BQ29" s="659">
        <v>0</v>
      </c>
      <c r="BR29" s="659">
        <v>338720</v>
      </c>
      <c r="BS29" s="659">
        <v>1420</v>
      </c>
      <c r="BT29" s="659">
        <v>0</v>
      </c>
      <c r="BU29" s="659">
        <v>0</v>
      </c>
      <c r="BV29" s="659">
        <v>42180</v>
      </c>
      <c r="BW29" s="659">
        <v>0</v>
      </c>
      <c r="BX29" s="659">
        <v>0</v>
      </c>
      <c r="BY29" s="659">
        <v>42180</v>
      </c>
      <c r="BZ29" s="659">
        <v>735</v>
      </c>
      <c r="CA29" s="659">
        <v>0</v>
      </c>
      <c r="CB29" s="659">
        <v>0</v>
      </c>
      <c r="CC29" s="659">
        <v>21616</v>
      </c>
      <c r="CD29" s="659">
        <v>0</v>
      </c>
      <c r="CE29" s="659">
        <v>0</v>
      </c>
      <c r="CF29" s="659">
        <v>21324</v>
      </c>
      <c r="CG29" s="659">
        <v>1960</v>
      </c>
      <c r="CH29" s="659">
        <v>0</v>
      </c>
      <c r="CI29" s="659">
        <v>0</v>
      </c>
      <c r="CJ29" s="659">
        <v>54270</v>
      </c>
      <c r="CK29" s="659">
        <v>0</v>
      </c>
      <c r="CL29" s="659">
        <v>0</v>
      </c>
      <c r="CM29" s="659">
        <v>52200</v>
      </c>
      <c r="CN29" s="659">
        <v>3585</v>
      </c>
      <c r="CO29" s="659">
        <v>0</v>
      </c>
      <c r="CP29" s="659">
        <v>0</v>
      </c>
      <c r="CQ29" s="659">
        <v>68600</v>
      </c>
      <c r="CR29" s="659">
        <v>0</v>
      </c>
      <c r="CS29" s="659">
        <v>0</v>
      </c>
      <c r="CT29" s="659">
        <v>68400</v>
      </c>
      <c r="CU29" s="659">
        <v>1450</v>
      </c>
      <c r="CV29" s="659">
        <v>0</v>
      </c>
      <c r="CW29" s="659">
        <v>0</v>
      </c>
      <c r="CX29" s="659">
        <v>39150</v>
      </c>
      <c r="CY29" s="659">
        <v>0</v>
      </c>
      <c r="CZ29" s="659">
        <v>0</v>
      </c>
      <c r="DA29" s="659">
        <v>39150</v>
      </c>
      <c r="DB29" s="659">
        <v>9930</v>
      </c>
      <c r="DC29" s="659">
        <v>0</v>
      </c>
      <c r="DD29" s="659">
        <v>0</v>
      </c>
      <c r="DE29" s="659">
        <v>267807</v>
      </c>
      <c r="DF29" s="659">
        <v>0</v>
      </c>
      <c r="DG29" s="659">
        <v>0</v>
      </c>
      <c r="DH29" s="659">
        <v>267657</v>
      </c>
      <c r="DI29" s="659">
        <v>24650</v>
      </c>
      <c r="DJ29" s="659">
        <v>0</v>
      </c>
      <c r="DK29" s="659">
        <v>0</v>
      </c>
      <c r="DL29" s="659">
        <v>562800</v>
      </c>
      <c r="DM29" s="659">
        <v>0</v>
      </c>
      <c r="DN29" s="659">
        <v>0</v>
      </c>
      <c r="DO29" s="659">
        <v>546545</v>
      </c>
      <c r="DP29" s="659">
        <v>16950</v>
      </c>
      <c r="DQ29" s="659">
        <v>0</v>
      </c>
      <c r="DR29" s="659">
        <v>0</v>
      </c>
      <c r="DS29" s="659">
        <v>321061</v>
      </c>
      <c r="DT29" s="659">
        <v>0</v>
      </c>
      <c r="DU29" s="659">
        <v>0</v>
      </c>
      <c r="DV29" s="659">
        <v>320966</v>
      </c>
      <c r="DW29" s="659">
        <v>12591</v>
      </c>
      <c r="DX29" s="659">
        <v>0</v>
      </c>
      <c r="DY29" s="659">
        <v>0</v>
      </c>
      <c r="DZ29" s="659">
        <v>295785</v>
      </c>
      <c r="EA29" s="659">
        <v>0</v>
      </c>
      <c r="EB29" s="659">
        <v>0</v>
      </c>
      <c r="EC29" s="659">
        <v>287808</v>
      </c>
      <c r="ED29" s="659">
        <v>7830</v>
      </c>
      <c r="EE29" s="659">
        <v>0</v>
      </c>
      <c r="EF29" s="659">
        <v>0</v>
      </c>
      <c r="EG29" s="659">
        <v>203110</v>
      </c>
      <c r="EH29" s="659">
        <v>0</v>
      </c>
      <c r="EI29" s="659">
        <v>0</v>
      </c>
      <c r="EJ29" s="659">
        <v>199750</v>
      </c>
      <c r="EK29" s="659">
        <v>8173</v>
      </c>
      <c r="EL29" s="659">
        <v>0</v>
      </c>
      <c r="EM29" s="659">
        <v>0</v>
      </c>
      <c r="EN29" s="659">
        <v>144029</v>
      </c>
      <c r="EO29" s="659">
        <v>0</v>
      </c>
      <c r="EP29" s="659">
        <v>0</v>
      </c>
      <c r="EQ29" s="659">
        <v>144029</v>
      </c>
    </row>
    <row r="30" spans="1:147" ht="30.45" customHeight="1" x14ac:dyDescent="0.3">
      <c r="A30" s="657" t="s">
        <v>1686</v>
      </c>
      <c r="B30" s="658" t="s">
        <v>269</v>
      </c>
      <c r="C30" s="659">
        <v>0</v>
      </c>
      <c r="D30" s="659">
        <v>0</v>
      </c>
      <c r="E30" s="659">
        <v>0</v>
      </c>
      <c r="F30" s="659">
        <v>0</v>
      </c>
      <c r="G30" s="659">
        <v>0</v>
      </c>
      <c r="H30" s="659">
        <v>0</v>
      </c>
      <c r="I30" s="659">
        <v>0</v>
      </c>
      <c r="J30" s="801">
        <v>0</v>
      </c>
      <c r="K30" s="659">
        <v>0</v>
      </c>
      <c r="L30" s="659">
        <v>0</v>
      </c>
      <c r="M30" s="659">
        <v>0</v>
      </c>
      <c r="N30" s="659">
        <v>0</v>
      </c>
      <c r="O30" s="659">
        <v>0</v>
      </c>
      <c r="P30" s="659">
        <v>0</v>
      </c>
      <c r="Q30" s="801">
        <v>0</v>
      </c>
      <c r="R30" s="659">
        <v>0</v>
      </c>
      <c r="S30" s="659">
        <v>0</v>
      </c>
      <c r="T30" s="659">
        <v>0</v>
      </c>
      <c r="U30" s="659">
        <v>0</v>
      </c>
      <c r="V30" s="659">
        <v>0</v>
      </c>
      <c r="W30" s="801">
        <v>0</v>
      </c>
      <c r="X30" s="659">
        <v>0</v>
      </c>
      <c r="Y30" s="659">
        <v>0</v>
      </c>
      <c r="Z30" s="659">
        <v>0</v>
      </c>
      <c r="AA30" s="659">
        <v>0</v>
      </c>
      <c r="AB30" s="659">
        <v>0</v>
      </c>
      <c r="AC30" s="659">
        <v>0</v>
      </c>
      <c r="AD30" s="801">
        <v>0</v>
      </c>
      <c r="AE30" s="659">
        <v>0</v>
      </c>
      <c r="AF30" s="659">
        <v>0</v>
      </c>
      <c r="AG30" s="659">
        <v>0</v>
      </c>
      <c r="AH30" s="659">
        <v>0</v>
      </c>
      <c r="AI30" s="659">
        <v>0</v>
      </c>
      <c r="AJ30" s="659">
        <v>0</v>
      </c>
      <c r="AK30" s="801">
        <v>0</v>
      </c>
      <c r="AL30" s="659">
        <v>0</v>
      </c>
      <c r="AM30" s="659">
        <v>0</v>
      </c>
      <c r="AN30" s="659">
        <v>0</v>
      </c>
      <c r="AO30" s="659">
        <v>0</v>
      </c>
      <c r="AP30" s="659">
        <v>0</v>
      </c>
      <c r="AQ30" s="801">
        <v>0</v>
      </c>
      <c r="AR30" s="659">
        <v>0</v>
      </c>
      <c r="AS30" s="659">
        <v>0</v>
      </c>
      <c r="AT30" s="659">
        <v>0</v>
      </c>
      <c r="AU30" s="659">
        <v>0</v>
      </c>
      <c r="AV30" s="659">
        <v>0</v>
      </c>
      <c r="AW30" s="659">
        <v>0</v>
      </c>
      <c r="AX30" s="659">
        <v>0</v>
      </c>
      <c r="AY30" s="659">
        <v>0</v>
      </c>
      <c r="AZ30" s="659">
        <v>0</v>
      </c>
      <c r="BA30" s="659">
        <v>0</v>
      </c>
      <c r="BB30" s="659">
        <v>0</v>
      </c>
      <c r="BC30" s="659">
        <v>0</v>
      </c>
      <c r="BD30" s="659">
        <v>0</v>
      </c>
      <c r="BE30" s="801">
        <v>0</v>
      </c>
      <c r="BF30" s="659">
        <v>0</v>
      </c>
      <c r="BG30" s="659">
        <v>0</v>
      </c>
      <c r="BH30" s="659">
        <v>0</v>
      </c>
      <c r="BI30" s="659">
        <v>0</v>
      </c>
      <c r="BJ30" s="659">
        <v>0</v>
      </c>
      <c r="BK30" s="659">
        <v>0</v>
      </c>
      <c r="BL30" s="659">
        <v>0</v>
      </c>
      <c r="BM30" s="659">
        <v>0</v>
      </c>
      <c r="BN30" s="659">
        <v>0</v>
      </c>
      <c r="BO30" s="659">
        <v>0</v>
      </c>
      <c r="BP30" s="659">
        <v>0</v>
      </c>
      <c r="BQ30" s="659">
        <v>0</v>
      </c>
      <c r="BR30" s="659">
        <v>0</v>
      </c>
      <c r="BS30" s="659">
        <v>0</v>
      </c>
      <c r="BT30" s="659">
        <v>0</v>
      </c>
      <c r="BU30" s="659">
        <v>0</v>
      </c>
      <c r="BV30" s="659">
        <v>0</v>
      </c>
      <c r="BW30" s="659">
        <v>0</v>
      </c>
      <c r="BX30" s="659">
        <v>0</v>
      </c>
      <c r="BY30" s="659">
        <v>0</v>
      </c>
      <c r="BZ30" s="659">
        <v>0</v>
      </c>
      <c r="CA30" s="659">
        <v>0</v>
      </c>
      <c r="CB30" s="659">
        <v>0</v>
      </c>
      <c r="CC30" s="659">
        <v>0</v>
      </c>
      <c r="CD30" s="659">
        <v>0</v>
      </c>
      <c r="CE30" s="659">
        <v>0</v>
      </c>
      <c r="CF30" s="659">
        <v>0</v>
      </c>
      <c r="CG30" s="659">
        <v>0</v>
      </c>
      <c r="CH30" s="659">
        <v>0</v>
      </c>
      <c r="CI30" s="659">
        <v>0</v>
      </c>
      <c r="CJ30" s="659">
        <v>0</v>
      </c>
      <c r="CK30" s="659">
        <v>0</v>
      </c>
      <c r="CL30" s="659">
        <v>0</v>
      </c>
      <c r="CM30" s="659">
        <v>0</v>
      </c>
      <c r="CN30" s="659">
        <v>0</v>
      </c>
      <c r="CO30" s="659">
        <v>0</v>
      </c>
      <c r="CP30" s="659">
        <v>0</v>
      </c>
      <c r="CQ30" s="659">
        <v>0</v>
      </c>
      <c r="CR30" s="659">
        <v>0</v>
      </c>
      <c r="CS30" s="659">
        <v>0</v>
      </c>
      <c r="CT30" s="659">
        <v>0</v>
      </c>
      <c r="CU30" s="659">
        <v>0</v>
      </c>
      <c r="CV30" s="659">
        <v>0</v>
      </c>
      <c r="CW30" s="659">
        <v>0</v>
      </c>
      <c r="CX30" s="659">
        <v>0</v>
      </c>
      <c r="CY30" s="659">
        <v>0</v>
      </c>
      <c r="CZ30" s="659">
        <v>0</v>
      </c>
      <c r="DA30" s="659">
        <v>0</v>
      </c>
      <c r="DB30" s="659">
        <v>0</v>
      </c>
      <c r="DC30" s="659">
        <v>0</v>
      </c>
      <c r="DD30" s="659">
        <v>0</v>
      </c>
      <c r="DE30" s="659">
        <v>0</v>
      </c>
      <c r="DF30" s="659">
        <v>0</v>
      </c>
      <c r="DG30" s="659">
        <v>0</v>
      </c>
      <c r="DH30" s="659">
        <v>0</v>
      </c>
      <c r="DI30" s="659">
        <v>0</v>
      </c>
      <c r="DJ30" s="659">
        <v>0</v>
      </c>
      <c r="DK30" s="659">
        <v>0</v>
      </c>
      <c r="DL30" s="659">
        <v>0</v>
      </c>
      <c r="DM30" s="659">
        <v>0</v>
      </c>
      <c r="DN30" s="659">
        <v>0</v>
      </c>
      <c r="DO30" s="659">
        <v>0</v>
      </c>
      <c r="DP30" s="659">
        <v>0</v>
      </c>
      <c r="DQ30" s="659">
        <v>0</v>
      </c>
      <c r="DR30" s="659">
        <v>0</v>
      </c>
      <c r="DS30" s="659">
        <v>0</v>
      </c>
      <c r="DT30" s="659">
        <v>0</v>
      </c>
      <c r="DU30" s="659">
        <v>0</v>
      </c>
      <c r="DV30" s="659">
        <v>0</v>
      </c>
      <c r="DW30" s="659">
        <v>0</v>
      </c>
      <c r="DX30" s="659">
        <v>0</v>
      </c>
      <c r="DY30" s="659">
        <v>0</v>
      </c>
      <c r="DZ30" s="659">
        <v>0</v>
      </c>
      <c r="EA30" s="659">
        <v>0</v>
      </c>
      <c r="EB30" s="659">
        <v>0</v>
      </c>
      <c r="EC30" s="659">
        <v>0</v>
      </c>
      <c r="ED30" s="659">
        <v>0</v>
      </c>
      <c r="EE30" s="659">
        <v>0</v>
      </c>
      <c r="EF30" s="659">
        <v>0</v>
      </c>
      <c r="EG30" s="659">
        <v>0</v>
      </c>
      <c r="EH30" s="659">
        <v>0</v>
      </c>
      <c r="EI30" s="659">
        <v>0</v>
      </c>
      <c r="EJ30" s="659">
        <v>0</v>
      </c>
      <c r="EK30" s="659">
        <v>0</v>
      </c>
      <c r="EL30" s="659">
        <v>0</v>
      </c>
      <c r="EM30" s="659">
        <v>0</v>
      </c>
      <c r="EN30" s="659">
        <v>0</v>
      </c>
      <c r="EO30" s="659">
        <v>0</v>
      </c>
      <c r="EP30" s="659">
        <v>0</v>
      </c>
      <c r="EQ30" s="659">
        <v>0</v>
      </c>
    </row>
    <row r="31" spans="1:147" ht="13.95" customHeight="1" x14ac:dyDescent="0.3">
      <c r="A31" s="657" t="s">
        <v>1687</v>
      </c>
      <c r="B31" s="658" t="s">
        <v>269</v>
      </c>
      <c r="C31" s="659">
        <v>628801</v>
      </c>
      <c r="D31" s="659">
        <v>0</v>
      </c>
      <c r="E31" s="659">
        <v>0</v>
      </c>
      <c r="F31" s="659">
        <v>63914442</v>
      </c>
      <c r="G31" s="659">
        <v>0</v>
      </c>
      <c r="H31" s="659">
        <v>0</v>
      </c>
      <c r="I31" s="659">
        <v>62587469</v>
      </c>
      <c r="J31" s="801">
        <v>138891</v>
      </c>
      <c r="K31" s="659">
        <v>0</v>
      </c>
      <c r="L31" s="659">
        <v>0</v>
      </c>
      <c r="M31" s="659">
        <v>15487410</v>
      </c>
      <c r="N31" s="659">
        <v>0</v>
      </c>
      <c r="O31" s="659">
        <v>0</v>
      </c>
      <c r="P31" s="659">
        <v>15299525</v>
      </c>
      <c r="Q31" s="801">
        <v>12</v>
      </c>
      <c r="R31" s="659">
        <v>0</v>
      </c>
      <c r="S31" s="659">
        <v>900</v>
      </c>
      <c r="T31" s="659">
        <v>0</v>
      </c>
      <c r="U31" s="659">
        <v>0</v>
      </c>
      <c r="V31" s="659">
        <v>890</v>
      </c>
      <c r="W31" s="801">
        <v>110</v>
      </c>
      <c r="X31" s="659">
        <v>0</v>
      </c>
      <c r="Y31" s="659">
        <v>0</v>
      </c>
      <c r="Z31" s="659">
        <v>5200</v>
      </c>
      <c r="AA31" s="659">
        <v>0</v>
      </c>
      <c r="AB31" s="659">
        <v>0</v>
      </c>
      <c r="AC31" s="659">
        <v>5200</v>
      </c>
      <c r="AD31" s="801">
        <v>140665</v>
      </c>
      <c r="AE31" s="659">
        <v>0</v>
      </c>
      <c r="AF31" s="659">
        <v>0</v>
      </c>
      <c r="AG31" s="659">
        <v>15884491</v>
      </c>
      <c r="AH31" s="659">
        <v>0</v>
      </c>
      <c r="AI31" s="659">
        <v>0</v>
      </c>
      <c r="AJ31" s="659">
        <v>15884491</v>
      </c>
      <c r="AK31" s="801">
        <v>342</v>
      </c>
      <c r="AL31" s="659">
        <v>0</v>
      </c>
      <c r="AM31" s="659">
        <v>15460</v>
      </c>
      <c r="AN31" s="659">
        <v>0</v>
      </c>
      <c r="AO31" s="659">
        <v>0</v>
      </c>
      <c r="AP31" s="659">
        <v>15460</v>
      </c>
      <c r="AQ31" s="801">
        <v>161475</v>
      </c>
      <c r="AR31" s="659">
        <v>0</v>
      </c>
      <c r="AS31" s="659">
        <v>0</v>
      </c>
      <c r="AT31" s="659">
        <v>14875495</v>
      </c>
      <c r="AU31" s="659">
        <v>0</v>
      </c>
      <c r="AV31" s="659">
        <v>0</v>
      </c>
      <c r="AW31" s="659">
        <v>13941270</v>
      </c>
      <c r="AX31" s="659">
        <v>52862</v>
      </c>
      <c r="AY31" s="659">
        <v>0</v>
      </c>
      <c r="AZ31" s="659">
        <v>0</v>
      </c>
      <c r="BA31" s="659">
        <v>5779352</v>
      </c>
      <c r="BB31" s="659">
        <v>0</v>
      </c>
      <c r="BC31" s="659">
        <v>0</v>
      </c>
      <c r="BD31" s="659">
        <v>5627761</v>
      </c>
      <c r="BE31" s="801">
        <v>62425</v>
      </c>
      <c r="BF31" s="659">
        <v>0</v>
      </c>
      <c r="BG31" s="659">
        <v>0</v>
      </c>
      <c r="BH31" s="659">
        <v>5707837</v>
      </c>
      <c r="BI31" s="659">
        <v>0</v>
      </c>
      <c r="BJ31" s="659">
        <v>0</v>
      </c>
      <c r="BK31" s="659">
        <v>5707837</v>
      </c>
      <c r="BL31" s="659">
        <v>11601</v>
      </c>
      <c r="BM31" s="659">
        <v>0</v>
      </c>
      <c r="BN31" s="659">
        <v>0</v>
      </c>
      <c r="BO31" s="659">
        <v>951100</v>
      </c>
      <c r="BP31" s="659">
        <v>0</v>
      </c>
      <c r="BQ31" s="659">
        <v>0</v>
      </c>
      <c r="BR31" s="659">
        <v>942570</v>
      </c>
      <c r="BS31" s="659">
        <v>11040</v>
      </c>
      <c r="BT31" s="659">
        <v>0</v>
      </c>
      <c r="BU31" s="659">
        <v>0</v>
      </c>
      <c r="BV31" s="659">
        <v>1269160</v>
      </c>
      <c r="BW31" s="659">
        <v>0</v>
      </c>
      <c r="BX31" s="659">
        <v>0</v>
      </c>
      <c r="BY31" s="659">
        <v>1269160</v>
      </c>
      <c r="BZ31" s="659">
        <v>5284</v>
      </c>
      <c r="CA31" s="659">
        <v>0</v>
      </c>
      <c r="CB31" s="659">
        <v>0</v>
      </c>
      <c r="CC31" s="659">
        <v>391120</v>
      </c>
      <c r="CD31" s="659">
        <v>0</v>
      </c>
      <c r="CE31" s="659">
        <v>0</v>
      </c>
      <c r="CF31" s="659">
        <v>389563</v>
      </c>
      <c r="CG31" s="659">
        <v>13130</v>
      </c>
      <c r="CH31" s="659">
        <v>0</v>
      </c>
      <c r="CI31" s="659">
        <v>0</v>
      </c>
      <c r="CJ31" s="659">
        <v>1348000</v>
      </c>
      <c r="CK31" s="659">
        <v>0</v>
      </c>
      <c r="CL31" s="659">
        <v>0</v>
      </c>
      <c r="CM31" s="659">
        <v>1316900</v>
      </c>
      <c r="CN31" s="659">
        <v>7671</v>
      </c>
      <c r="CO31" s="659">
        <v>0</v>
      </c>
      <c r="CP31" s="659">
        <v>0</v>
      </c>
      <c r="CQ31" s="659">
        <v>640900</v>
      </c>
      <c r="CR31" s="659">
        <v>0</v>
      </c>
      <c r="CS31" s="659">
        <v>0</v>
      </c>
      <c r="CT31" s="659">
        <v>640580</v>
      </c>
      <c r="CU31" s="659">
        <v>1500</v>
      </c>
      <c r="CV31" s="659">
        <v>0</v>
      </c>
      <c r="CW31" s="659">
        <v>0</v>
      </c>
      <c r="CX31" s="659">
        <v>70000</v>
      </c>
      <c r="CY31" s="659">
        <v>0</v>
      </c>
      <c r="CZ31" s="659">
        <v>0</v>
      </c>
      <c r="DA31" s="659">
        <v>70000</v>
      </c>
      <c r="DB31" s="659">
        <v>13711</v>
      </c>
      <c r="DC31" s="659">
        <v>0</v>
      </c>
      <c r="DD31" s="659">
        <v>0</v>
      </c>
      <c r="DE31" s="659">
        <v>1016960</v>
      </c>
      <c r="DF31" s="659">
        <v>0</v>
      </c>
      <c r="DG31" s="659">
        <v>0</v>
      </c>
      <c r="DH31" s="659">
        <v>1013900</v>
      </c>
      <c r="DI31" s="659">
        <v>840</v>
      </c>
      <c r="DJ31" s="659">
        <v>0</v>
      </c>
      <c r="DK31" s="659">
        <v>0</v>
      </c>
      <c r="DL31" s="659">
        <v>49800</v>
      </c>
      <c r="DM31" s="659">
        <v>0</v>
      </c>
      <c r="DN31" s="659">
        <v>0</v>
      </c>
      <c r="DO31" s="659">
        <v>47235</v>
      </c>
      <c r="DP31" s="659">
        <v>821</v>
      </c>
      <c r="DQ31" s="659">
        <v>0</v>
      </c>
      <c r="DR31" s="659">
        <v>0</v>
      </c>
      <c r="DS31" s="659">
        <v>38457</v>
      </c>
      <c r="DT31" s="659">
        <v>0</v>
      </c>
      <c r="DU31" s="659">
        <v>0</v>
      </c>
      <c r="DV31" s="659">
        <v>38450</v>
      </c>
      <c r="DW31" s="659">
        <v>4276</v>
      </c>
      <c r="DX31" s="659">
        <v>0</v>
      </c>
      <c r="DY31" s="659">
        <v>0</v>
      </c>
      <c r="DZ31" s="659">
        <v>193880</v>
      </c>
      <c r="EA31" s="659">
        <v>0</v>
      </c>
      <c r="EB31" s="659">
        <v>0</v>
      </c>
      <c r="EC31" s="659">
        <v>188757</v>
      </c>
      <c r="ED31" s="659">
        <v>200</v>
      </c>
      <c r="EE31" s="659">
        <v>0</v>
      </c>
      <c r="EF31" s="659">
        <v>0</v>
      </c>
      <c r="EG31" s="659">
        <v>14600</v>
      </c>
      <c r="EH31" s="659">
        <v>0</v>
      </c>
      <c r="EI31" s="659">
        <v>0</v>
      </c>
      <c r="EJ31" s="659">
        <v>13600</v>
      </c>
      <c r="EK31" s="659">
        <v>1945</v>
      </c>
      <c r="EL31" s="659">
        <v>0</v>
      </c>
      <c r="EM31" s="659">
        <v>0</v>
      </c>
      <c r="EN31" s="659">
        <v>174320</v>
      </c>
      <c r="EO31" s="659">
        <v>0</v>
      </c>
      <c r="EP31" s="659">
        <v>0</v>
      </c>
      <c r="EQ31" s="659">
        <v>174320</v>
      </c>
    </row>
    <row r="32" spans="1:147" ht="13.95" customHeight="1" x14ac:dyDescent="0.3">
      <c r="A32" s="657" t="s">
        <v>1688</v>
      </c>
      <c r="B32" s="658" t="s">
        <v>269</v>
      </c>
      <c r="C32" s="659">
        <v>220027</v>
      </c>
      <c r="D32" s="659">
        <v>0</v>
      </c>
      <c r="E32" s="659">
        <v>0</v>
      </c>
      <c r="F32" s="659">
        <v>14981329</v>
      </c>
      <c r="G32" s="659">
        <v>0</v>
      </c>
      <c r="H32" s="659">
        <v>0</v>
      </c>
      <c r="I32" s="659">
        <v>14981329</v>
      </c>
      <c r="J32" s="801">
        <v>111632</v>
      </c>
      <c r="K32" s="659">
        <v>0</v>
      </c>
      <c r="L32" s="659">
        <v>0</v>
      </c>
      <c r="M32" s="659">
        <v>7867805</v>
      </c>
      <c r="N32" s="659">
        <v>0</v>
      </c>
      <c r="O32" s="659">
        <v>0</v>
      </c>
      <c r="P32" s="659">
        <v>7867805</v>
      </c>
      <c r="Q32" s="801">
        <v>0</v>
      </c>
      <c r="R32" s="659">
        <v>0</v>
      </c>
      <c r="S32" s="659">
        <v>0</v>
      </c>
      <c r="T32" s="659">
        <v>0</v>
      </c>
      <c r="U32" s="659">
        <v>0</v>
      </c>
      <c r="V32" s="659">
        <v>0</v>
      </c>
      <c r="W32" s="801">
        <v>0</v>
      </c>
      <c r="X32" s="659">
        <v>0</v>
      </c>
      <c r="Y32" s="659">
        <v>0</v>
      </c>
      <c r="Z32" s="659">
        <v>0</v>
      </c>
      <c r="AA32" s="659">
        <v>0</v>
      </c>
      <c r="AB32" s="659">
        <v>0</v>
      </c>
      <c r="AC32" s="659">
        <v>0</v>
      </c>
      <c r="AD32" s="801">
        <v>94218</v>
      </c>
      <c r="AE32" s="659">
        <v>0</v>
      </c>
      <c r="AF32" s="659">
        <v>0</v>
      </c>
      <c r="AG32" s="659">
        <v>6321295</v>
      </c>
      <c r="AH32" s="659">
        <v>0</v>
      </c>
      <c r="AI32" s="659">
        <v>0</v>
      </c>
      <c r="AJ32" s="659">
        <v>6321295</v>
      </c>
      <c r="AK32" s="801">
        <v>0</v>
      </c>
      <c r="AL32" s="659">
        <v>0</v>
      </c>
      <c r="AM32" s="659">
        <v>0</v>
      </c>
      <c r="AN32" s="659">
        <v>0</v>
      </c>
      <c r="AO32" s="659">
        <v>0</v>
      </c>
      <c r="AP32" s="659">
        <v>0</v>
      </c>
      <c r="AQ32" s="801">
        <v>3242</v>
      </c>
      <c r="AR32" s="659">
        <v>0</v>
      </c>
      <c r="AS32" s="659">
        <v>0</v>
      </c>
      <c r="AT32" s="659">
        <v>183029</v>
      </c>
      <c r="AU32" s="659">
        <v>0</v>
      </c>
      <c r="AV32" s="659">
        <v>0</v>
      </c>
      <c r="AW32" s="659">
        <v>183029</v>
      </c>
      <c r="AX32" s="659">
        <v>0</v>
      </c>
      <c r="AY32" s="659">
        <v>0</v>
      </c>
      <c r="AZ32" s="659">
        <v>0</v>
      </c>
      <c r="BA32" s="659">
        <v>575</v>
      </c>
      <c r="BB32" s="659">
        <v>0</v>
      </c>
      <c r="BC32" s="659">
        <v>0</v>
      </c>
      <c r="BD32" s="659">
        <v>575</v>
      </c>
      <c r="BE32" s="801">
        <v>6123</v>
      </c>
      <c r="BF32" s="659">
        <v>0</v>
      </c>
      <c r="BG32" s="659">
        <v>0</v>
      </c>
      <c r="BH32" s="659">
        <v>310935</v>
      </c>
      <c r="BI32" s="659">
        <v>0</v>
      </c>
      <c r="BJ32" s="659">
        <v>0</v>
      </c>
      <c r="BK32" s="659">
        <v>310935</v>
      </c>
      <c r="BL32" s="659">
        <v>410</v>
      </c>
      <c r="BM32" s="659">
        <v>0</v>
      </c>
      <c r="BN32" s="659">
        <v>0</v>
      </c>
      <c r="BO32" s="659">
        <v>17810</v>
      </c>
      <c r="BP32" s="659">
        <v>0</v>
      </c>
      <c r="BQ32" s="659">
        <v>0</v>
      </c>
      <c r="BR32" s="659">
        <v>17810</v>
      </c>
      <c r="BS32" s="659">
        <v>0</v>
      </c>
      <c r="BT32" s="659">
        <v>0</v>
      </c>
      <c r="BU32" s="659">
        <v>0</v>
      </c>
      <c r="BV32" s="659">
        <v>0</v>
      </c>
      <c r="BW32" s="659">
        <v>0</v>
      </c>
      <c r="BX32" s="659">
        <v>0</v>
      </c>
      <c r="BY32" s="659">
        <v>0</v>
      </c>
      <c r="BZ32" s="659">
        <v>1</v>
      </c>
      <c r="CA32" s="659">
        <v>0</v>
      </c>
      <c r="CB32" s="659">
        <v>0</v>
      </c>
      <c r="CC32" s="659">
        <v>0</v>
      </c>
      <c r="CD32" s="659">
        <v>0</v>
      </c>
      <c r="CE32" s="659">
        <v>0</v>
      </c>
      <c r="CF32" s="659">
        <v>0</v>
      </c>
      <c r="CG32" s="659">
        <v>0</v>
      </c>
      <c r="CH32" s="659">
        <v>0</v>
      </c>
      <c r="CI32" s="659">
        <v>0</v>
      </c>
      <c r="CJ32" s="659">
        <v>0</v>
      </c>
      <c r="CK32" s="659">
        <v>0</v>
      </c>
      <c r="CL32" s="659">
        <v>0</v>
      </c>
      <c r="CM32" s="659">
        <v>0</v>
      </c>
      <c r="CN32" s="659">
        <v>5</v>
      </c>
      <c r="CO32" s="659">
        <v>0</v>
      </c>
      <c r="CP32" s="659">
        <v>0</v>
      </c>
      <c r="CQ32" s="659">
        <v>62</v>
      </c>
      <c r="CR32" s="659">
        <v>0</v>
      </c>
      <c r="CS32" s="659">
        <v>0</v>
      </c>
      <c r="CT32" s="659">
        <v>62</v>
      </c>
      <c r="CU32" s="659">
        <v>0</v>
      </c>
      <c r="CV32" s="659">
        <v>0</v>
      </c>
      <c r="CW32" s="659">
        <v>0</v>
      </c>
      <c r="CX32" s="659">
        <v>0</v>
      </c>
      <c r="CY32" s="659">
        <v>0</v>
      </c>
      <c r="CZ32" s="659">
        <v>0</v>
      </c>
      <c r="DA32" s="659">
        <v>0</v>
      </c>
      <c r="DB32" s="659">
        <v>0</v>
      </c>
      <c r="DC32" s="659">
        <v>0</v>
      </c>
      <c r="DD32" s="659">
        <v>0</v>
      </c>
      <c r="DE32" s="659">
        <v>0</v>
      </c>
      <c r="DF32" s="659">
        <v>0</v>
      </c>
      <c r="DG32" s="659">
        <v>0</v>
      </c>
      <c r="DH32" s="659">
        <v>0</v>
      </c>
      <c r="DI32" s="659">
        <v>4</v>
      </c>
      <c r="DJ32" s="659">
        <v>0</v>
      </c>
      <c r="DK32" s="659">
        <v>0</v>
      </c>
      <c r="DL32" s="659">
        <v>48</v>
      </c>
      <c r="DM32" s="659">
        <v>0</v>
      </c>
      <c r="DN32" s="659">
        <v>0</v>
      </c>
      <c r="DO32" s="659">
        <v>48</v>
      </c>
      <c r="DP32" s="659">
        <v>0</v>
      </c>
      <c r="DQ32" s="659">
        <v>0</v>
      </c>
      <c r="DR32" s="659">
        <v>0</v>
      </c>
      <c r="DS32" s="659">
        <v>0</v>
      </c>
      <c r="DT32" s="659">
        <v>0</v>
      </c>
      <c r="DU32" s="659">
        <v>0</v>
      </c>
      <c r="DV32" s="659">
        <v>0</v>
      </c>
      <c r="DW32" s="659">
        <v>688</v>
      </c>
      <c r="DX32" s="659">
        <v>0</v>
      </c>
      <c r="DY32" s="659">
        <v>0</v>
      </c>
      <c r="DZ32" s="659">
        <v>24547</v>
      </c>
      <c r="EA32" s="659">
        <v>0</v>
      </c>
      <c r="EB32" s="659">
        <v>0</v>
      </c>
      <c r="EC32" s="659">
        <v>24547</v>
      </c>
      <c r="ED32" s="659">
        <v>124</v>
      </c>
      <c r="EE32" s="659">
        <v>0</v>
      </c>
      <c r="EF32" s="659">
        <v>0</v>
      </c>
      <c r="EG32" s="659">
        <v>3663</v>
      </c>
      <c r="EH32" s="659">
        <v>0</v>
      </c>
      <c r="EI32" s="659">
        <v>0</v>
      </c>
      <c r="EJ32" s="659">
        <v>3663</v>
      </c>
      <c r="EK32" s="659">
        <v>3579</v>
      </c>
      <c r="EL32" s="659">
        <v>0</v>
      </c>
      <c r="EM32" s="659">
        <v>0</v>
      </c>
      <c r="EN32" s="659">
        <v>251560</v>
      </c>
      <c r="EO32" s="659">
        <v>0</v>
      </c>
      <c r="EP32" s="659">
        <v>0</v>
      </c>
      <c r="EQ32" s="659">
        <v>251560</v>
      </c>
    </row>
    <row r="33" spans="1:147" ht="13.95" customHeight="1" x14ac:dyDescent="0.3">
      <c r="A33" s="657" t="s">
        <v>1689</v>
      </c>
      <c r="B33" s="658" t="s">
        <v>269</v>
      </c>
      <c r="C33" s="659">
        <v>46799</v>
      </c>
      <c r="D33" s="659">
        <v>0</v>
      </c>
      <c r="E33" s="659">
        <v>0</v>
      </c>
      <c r="F33" s="659">
        <v>3133241</v>
      </c>
      <c r="G33" s="659">
        <v>0</v>
      </c>
      <c r="H33" s="659">
        <v>0</v>
      </c>
      <c r="I33" s="659">
        <v>3123836</v>
      </c>
      <c r="J33" s="801">
        <v>3821</v>
      </c>
      <c r="K33" s="659">
        <v>0</v>
      </c>
      <c r="L33" s="659">
        <v>0</v>
      </c>
      <c r="M33" s="659">
        <v>254622</v>
      </c>
      <c r="N33" s="659">
        <v>0</v>
      </c>
      <c r="O33" s="659">
        <v>0</v>
      </c>
      <c r="P33" s="659">
        <v>254622</v>
      </c>
      <c r="Q33" s="801">
        <v>0</v>
      </c>
      <c r="R33" s="659">
        <v>0</v>
      </c>
      <c r="S33" s="659">
        <v>0</v>
      </c>
      <c r="T33" s="659">
        <v>0</v>
      </c>
      <c r="U33" s="659">
        <v>0</v>
      </c>
      <c r="V33" s="659">
        <v>0</v>
      </c>
      <c r="W33" s="801">
        <v>0</v>
      </c>
      <c r="X33" s="659">
        <v>0</v>
      </c>
      <c r="Y33" s="659">
        <v>0</v>
      </c>
      <c r="Z33" s="659">
        <v>0</v>
      </c>
      <c r="AA33" s="659">
        <v>0</v>
      </c>
      <c r="AB33" s="659">
        <v>0</v>
      </c>
      <c r="AC33" s="659">
        <v>0</v>
      </c>
      <c r="AD33" s="801">
        <v>2921</v>
      </c>
      <c r="AE33" s="659">
        <v>0</v>
      </c>
      <c r="AF33" s="659">
        <v>0</v>
      </c>
      <c r="AG33" s="659">
        <v>204370</v>
      </c>
      <c r="AH33" s="659">
        <v>0</v>
      </c>
      <c r="AI33" s="659">
        <v>0</v>
      </c>
      <c r="AJ33" s="659">
        <v>204370</v>
      </c>
      <c r="AK33" s="801">
        <v>9</v>
      </c>
      <c r="AL33" s="659">
        <v>0</v>
      </c>
      <c r="AM33" s="659">
        <v>360</v>
      </c>
      <c r="AN33" s="659">
        <v>0</v>
      </c>
      <c r="AO33" s="659">
        <v>0</v>
      </c>
      <c r="AP33" s="659">
        <v>360</v>
      </c>
      <c r="AQ33" s="801">
        <v>2883</v>
      </c>
      <c r="AR33" s="659">
        <v>0</v>
      </c>
      <c r="AS33" s="659">
        <v>0</v>
      </c>
      <c r="AT33" s="659">
        <v>218170</v>
      </c>
      <c r="AU33" s="659">
        <v>0</v>
      </c>
      <c r="AV33" s="659">
        <v>0</v>
      </c>
      <c r="AW33" s="659">
        <v>213790</v>
      </c>
      <c r="AX33" s="659">
        <v>549</v>
      </c>
      <c r="AY33" s="659">
        <v>0</v>
      </c>
      <c r="AZ33" s="659">
        <v>0</v>
      </c>
      <c r="BA33" s="659">
        <v>37169</v>
      </c>
      <c r="BB33" s="659">
        <v>0</v>
      </c>
      <c r="BC33" s="659">
        <v>0</v>
      </c>
      <c r="BD33" s="659">
        <v>37129</v>
      </c>
      <c r="BE33" s="801">
        <v>28289</v>
      </c>
      <c r="BF33" s="659">
        <v>0</v>
      </c>
      <c r="BG33" s="659">
        <v>0</v>
      </c>
      <c r="BH33" s="659">
        <v>2093794</v>
      </c>
      <c r="BI33" s="659">
        <v>0</v>
      </c>
      <c r="BJ33" s="659">
        <v>0</v>
      </c>
      <c r="BK33" s="659">
        <v>2093794</v>
      </c>
      <c r="BL33" s="659">
        <v>3836</v>
      </c>
      <c r="BM33" s="659">
        <v>0</v>
      </c>
      <c r="BN33" s="659">
        <v>0</v>
      </c>
      <c r="BO33" s="659">
        <v>137315</v>
      </c>
      <c r="BP33" s="659">
        <v>0</v>
      </c>
      <c r="BQ33" s="659">
        <v>0</v>
      </c>
      <c r="BR33" s="659">
        <v>134705</v>
      </c>
      <c r="BS33" s="659">
        <v>500</v>
      </c>
      <c r="BT33" s="659">
        <v>0</v>
      </c>
      <c r="BU33" s="659">
        <v>0</v>
      </c>
      <c r="BV33" s="659">
        <v>20090</v>
      </c>
      <c r="BW33" s="659">
        <v>0</v>
      </c>
      <c r="BX33" s="659">
        <v>0</v>
      </c>
      <c r="BY33" s="659">
        <v>20090</v>
      </c>
      <c r="BZ33" s="659">
        <v>1993</v>
      </c>
      <c r="CA33" s="659">
        <v>0</v>
      </c>
      <c r="CB33" s="659">
        <v>0</v>
      </c>
      <c r="CC33" s="659">
        <v>86293</v>
      </c>
      <c r="CD33" s="659">
        <v>0</v>
      </c>
      <c r="CE33" s="659">
        <v>0</v>
      </c>
      <c r="CF33" s="659">
        <v>85245</v>
      </c>
      <c r="CG33" s="659">
        <v>204</v>
      </c>
      <c r="CH33" s="659">
        <v>0</v>
      </c>
      <c r="CI33" s="659">
        <v>0</v>
      </c>
      <c r="CJ33" s="659">
        <v>7537</v>
      </c>
      <c r="CK33" s="659">
        <v>0</v>
      </c>
      <c r="CL33" s="659">
        <v>0</v>
      </c>
      <c r="CM33" s="659">
        <v>6825</v>
      </c>
      <c r="CN33" s="659">
        <v>820</v>
      </c>
      <c r="CO33" s="659">
        <v>0</v>
      </c>
      <c r="CP33" s="659">
        <v>0</v>
      </c>
      <c r="CQ33" s="659">
        <v>35575</v>
      </c>
      <c r="CR33" s="659">
        <v>0</v>
      </c>
      <c r="CS33" s="659">
        <v>0</v>
      </c>
      <c r="CT33" s="659">
        <v>35575</v>
      </c>
      <c r="CU33" s="659">
        <v>200</v>
      </c>
      <c r="CV33" s="659">
        <v>0</v>
      </c>
      <c r="CW33" s="659">
        <v>0</v>
      </c>
      <c r="CX33" s="659">
        <v>7200</v>
      </c>
      <c r="CY33" s="659">
        <v>0</v>
      </c>
      <c r="CZ33" s="659">
        <v>0</v>
      </c>
      <c r="DA33" s="659">
        <v>7200</v>
      </c>
      <c r="DB33" s="659">
        <v>95</v>
      </c>
      <c r="DC33" s="659">
        <v>0</v>
      </c>
      <c r="DD33" s="659">
        <v>0</v>
      </c>
      <c r="DE33" s="659">
        <v>3700</v>
      </c>
      <c r="DF33" s="659">
        <v>0</v>
      </c>
      <c r="DG33" s="659">
        <v>0</v>
      </c>
      <c r="DH33" s="659">
        <v>3700</v>
      </c>
      <c r="DI33" s="659">
        <v>100</v>
      </c>
      <c r="DJ33" s="659">
        <v>0</v>
      </c>
      <c r="DK33" s="659">
        <v>0</v>
      </c>
      <c r="DL33" s="659">
        <v>4000</v>
      </c>
      <c r="DM33" s="659">
        <v>0</v>
      </c>
      <c r="DN33" s="659">
        <v>0</v>
      </c>
      <c r="DO33" s="659">
        <v>3800</v>
      </c>
      <c r="DP33" s="659">
        <v>122</v>
      </c>
      <c r="DQ33" s="659">
        <v>0</v>
      </c>
      <c r="DR33" s="659">
        <v>0</v>
      </c>
      <c r="DS33" s="659">
        <v>6416</v>
      </c>
      <c r="DT33" s="659">
        <v>0</v>
      </c>
      <c r="DU33" s="659">
        <v>0</v>
      </c>
      <c r="DV33" s="659">
        <v>6405</v>
      </c>
      <c r="DW33" s="659">
        <v>337</v>
      </c>
      <c r="DX33" s="659">
        <v>0</v>
      </c>
      <c r="DY33" s="659">
        <v>0</v>
      </c>
      <c r="DZ33" s="659">
        <v>13990</v>
      </c>
      <c r="EA33" s="659">
        <v>0</v>
      </c>
      <c r="EB33" s="659">
        <v>0</v>
      </c>
      <c r="EC33" s="659">
        <v>13586</v>
      </c>
      <c r="ED33" s="659">
        <v>0</v>
      </c>
      <c r="EE33" s="659">
        <v>0</v>
      </c>
      <c r="EF33" s="659">
        <v>0</v>
      </c>
      <c r="EG33" s="659">
        <v>0</v>
      </c>
      <c r="EH33" s="659">
        <v>0</v>
      </c>
      <c r="EI33" s="659">
        <v>0</v>
      </c>
      <c r="EJ33" s="659">
        <v>0</v>
      </c>
      <c r="EK33" s="659">
        <v>120</v>
      </c>
      <c r="EL33" s="659">
        <v>0</v>
      </c>
      <c r="EM33" s="659">
        <v>0</v>
      </c>
      <c r="EN33" s="659">
        <v>2640</v>
      </c>
      <c r="EO33" s="659">
        <v>0</v>
      </c>
      <c r="EP33" s="659">
        <v>0</v>
      </c>
      <c r="EQ33" s="659">
        <v>2640</v>
      </c>
    </row>
    <row r="34" spans="1:147" ht="13.95" customHeight="1" x14ac:dyDescent="0.3">
      <c r="A34" s="657" t="s">
        <v>1690</v>
      </c>
      <c r="B34" s="658" t="s">
        <v>269</v>
      </c>
      <c r="C34" s="659">
        <v>0</v>
      </c>
      <c r="D34" s="659">
        <v>0</v>
      </c>
      <c r="E34" s="659">
        <v>0</v>
      </c>
      <c r="F34" s="659">
        <v>0</v>
      </c>
      <c r="G34" s="659">
        <v>0</v>
      </c>
      <c r="H34" s="659">
        <v>0</v>
      </c>
      <c r="I34" s="659">
        <v>0</v>
      </c>
      <c r="J34" s="801">
        <v>0</v>
      </c>
      <c r="K34" s="659">
        <v>0</v>
      </c>
      <c r="L34" s="659">
        <v>0</v>
      </c>
      <c r="M34" s="659">
        <v>0</v>
      </c>
      <c r="N34" s="659">
        <v>0</v>
      </c>
      <c r="O34" s="659">
        <v>0</v>
      </c>
      <c r="P34" s="659">
        <v>0</v>
      </c>
      <c r="Q34" s="801">
        <v>0</v>
      </c>
      <c r="R34" s="659">
        <v>0</v>
      </c>
      <c r="S34" s="659">
        <v>0</v>
      </c>
      <c r="T34" s="659">
        <v>0</v>
      </c>
      <c r="U34" s="659">
        <v>0</v>
      </c>
      <c r="V34" s="659">
        <v>0</v>
      </c>
      <c r="W34" s="801">
        <v>0</v>
      </c>
      <c r="X34" s="659">
        <v>0</v>
      </c>
      <c r="Y34" s="659">
        <v>0</v>
      </c>
      <c r="Z34" s="659">
        <v>0</v>
      </c>
      <c r="AA34" s="659">
        <v>0</v>
      </c>
      <c r="AB34" s="659">
        <v>0</v>
      </c>
      <c r="AC34" s="659">
        <v>0</v>
      </c>
      <c r="AD34" s="801">
        <v>0</v>
      </c>
      <c r="AE34" s="659">
        <v>0</v>
      </c>
      <c r="AF34" s="659">
        <v>0</v>
      </c>
      <c r="AG34" s="659">
        <v>0</v>
      </c>
      <c r="AH34" s="659">
        <v>0</v>
      </c>
      <c r="AI34" s="659">
        <v>0</v>
      </c>
      <c r="AJ34" s="659">
        <v>0</v>
      </c>
      <c r="AK34" s="801">
        <v>0</v>
      </c>
      <c r="AL34" s="659">
        <v>0</v>
      </c>
      <c r="AM34" s="659">
        <v>0</v>
      </c>
      <c r="AN34" s="659">
        <v>0</v>
      </c>
      <c r="AO34" s="659">
        <v>0</v>
      </c>
      <c r="AP34" s="659">
        <v>0</v>
      </c>
      <c r="AQ34" s="801">
        <v>0</v>
      </c>
      <c r="AR34" s="659">
        <v>0</v>
      </c>
      <c r="AS34" s="659">
        <v>0</v>
      </c>
      <c r="AT34" s="659">
        <v>0</v>
      </c>
      <c r="AU34" s="659">
        <v>0</v>
      </c>
      <c r="AV34" s="659">
        <v>0</v>
      </c>
      <c r="AW34" s="659">
        <v>0</v>
      </c>
      <c r="AX34" s="659">
        <v>0</v>
      </c>
      <c r="AY34" s="659">
        <v>0</v>
      </c>
      <c r="AZ34" s="659">
        <v>0</v>
      </c>
      <c r="BA34" s="659">
        <v>0</v>
      </c>
      <c r="BB34" s="659">
        <v>0</v>
      </c>
      <c r="BC34" s="659">
        <v>0</v>
      </c>
      <c r="BD34" s="659">
        <v>0</v>
      </c>
      <c r="BE34" s="801">
        <v>0</v>
      </c>
      <c r="BF34" s="659">
        <v>0</v>
      </c>
      <c r="BG34" s="659">
        <v>0</v>
      </c>
      <c r="BH34" s="659">
        <v>0</v>
      </c>
      <c r="BI34" s="659">
        <v>0</v>
      </c>
      <c r="BJ34" s="659">
        <v>0</v>
      </c>
      <c r="BK34" s="659">
        <v>0</v>
      </c>
      <c r="BL34" s="659">
        <v>0</v>
      </c>
      <c r="BM34" s="659">
        <v>0</v>
      </c>
      <c r="BN34" s="659">
        <v>0</v>
      </c>
      <c r="BO34" s="659">
        <v>0</v>
      </c>
      <c r="BP34" s="659">
        <v>0</v>
      </c>
      <c r="BQ34" s="659">
        <v>0</v>
      </c>
      <c r="BR34" s="659">
        <v>0</v>
      </c>
      <c r="BS34" s="659">
        <v>0</v>
      </c>
      <c r="BT34" s="659">
        <v>0</v>
      </c>
      <c r="BU34" s="659">
        <v>0</v>
      </c>
      <c r="BV34" s="659">
        <v>0</v>
      </c>
      <c r="BW34" s="659">
        <v>0</v>
      </c>
      <c r="BX34" s="659">
        <v>0</v>
      </c>
      <c r="BY34" s="659">
        <v>0</v>
      </c>
      <c r="BZ34" s="659">
        <v>0</v>
      </c>
      <c r="CA34" s="659">
        <v>0</v>
      </c>
      <c r="CB34" s="659">
        <v>0</v>
      </c>
      <c r="CC34" s="659">
        <v>0</v>
      </c>
      <c r="CD34" s="659">
        <v>0</v>
      </c>
      <c r="CE34" s="659">
        <v>0</v>
      </c>
      <c r="CF34" s="659">
        <v>0</v>
      </c>
      <c r="CG34" s="659">
        <v>0</v>
      </c>
      <c r="CH34" s="659">
        <v>0</v>
      </c>
      <c r="CI34" s="659">
        <v>0</v>
      </c>
      <c r="CJ34" s="659">
        <v>0</v>
      </c>
      <c r="CK34" s="659">
        <v>0</v>
      </c>
      <c r="CL34" s="659">
        <v>0</v>
      </c>
      <c r="CM34" s="659">
        <v>0</v>
      </c>
      <c r="CN34" s="659">
        <v>0</v>
      </c>
      <c r="CO34" s="659">
        <v>0</v>
      </c>
      <c r="CP34" s="659">
        <v>0</v>
      </c>
      <c r="CQ34" s="659">
        <v>0</v>
      </c>
      <c r="CR34" s="659">
        <v>0</v>
      </c>
      <c r="CS34" s="659">
        <v>0</v>
      </c>
      <c r="CT34" s="659">
        <v>0</v>
      </c>
      <c r="CU34" s="659">
        <v>0</v>
      </c>
      <c r="CV34" s="659">
        <v>0</v>
      </c>
      <c r="CW34" s="659">
        <v>0</v>
      </c>
      <c r="CX34" s="659">
        <v>0</v>
      </c>
      <c r="CY34" s="659">
        <v>0</v>
      </c>
      <c r="CZ34" s="659">
        <v>0</v>
      </c>
      <c r="DA34" s="659">
        <v>0</v>
      </c>
      <c r="DB34" s="659">
        <v>0</v>
      </c>
      <c r="DC34" s="659">
        <v>0</v>
      </c>
      <c r="DD34" s="659">
        <v>0</v>
      </c>
      <c r="DE34" s="659">
        <v>0</v>
      </c>
      <c r="DF34" s="659">
        <v>0</v>
      </c>
      <c r="DG34" s="659">
        <v>0</v>
      </c>
      <c r="DH34" s="659">
        <v>0</v>
      </c>
      <c r="DI34" s="659">
        <v>0</v>
      </c>
      <c r="DJ34" s="659">
        <v>0</v>
      </c>
      <c r="DK34" s="659">
        <v>0</v>
      </c>
      <c r="DL34" s="659">
        <v>0</v>
      </c>
      <c r="DM34" s="659">
        <v>0</v>
      </c>
      <c r="DN34" s="659">
        <v>0</v>
      </c>
      <c r="DO34" s="659">
        <v>0</v>
      </c>
      <c r="DP34" s="659">
        <v>0</v>
      </c>
      <c r="DQ34" s="659">
        <v>0</v>
      </c>
      <c r="DR34" s="659">
        <v>0</v>
      </c>
      <c r="DS34" s="659">
        <v>0</v>
      </c>
      <c r="DT34" s="659">
        <v>0</v>
      </c>
      <c r="DU34" s="659">
        <v>0</v>
      </c>
      <c r="DV34" s="659">
        <v>0</v>
      </c>
      <c r="DW34" s="659">
        <v>0</v>
      </c>
      <c r="DX34" s="659">
        <v>0</v>
      </c>
      <c r="DY34" s="659">
        <v>0</v>
      </c>
      <c r="DZ34" s="659">
        <v>0</v>
      </c>
      <c r="EA34" s="659">
        <v>0</v>
      </c>
      <c r="EB34" s="659">
        <v>0</v>
      </c>
      <c r="EC34" s="659">
        <v>0</v>
      </c>
      <c r="ED34" s="659">
        <v>0</v>
      </c>
      <c r="EE34" s="659">
        <v>0</v>
      </c>
      <c r="EF34" s="659">
        <v>0</v>
      </c>
      <c r="EG34" s="659">
        <v>0</v>
      </c>
      <c r="EH34" s="659">
        <v>0</v>
      </c>
      <c r="EI34" s="659">
        <v>0</v>
      </c>
      <c r="EJ34" s="659">
        <v>0</v>
      </c>
      <c r="EK34" s="659">
        <v>0</v>
      </c>
      <c r="EL34" s="659">
        <v>0</v>
      </c>
      <c r="EM34" s="659">
        <v>0</v>
      </c>
      <c r="EN34" s="659">
        <v>0</v>
      </c>
      <c r="EO34" s="659">
        <v>0</v>
      </c>
      <c r="EP34" s="659">
        <v>0</v>
      </c>
      <c r="EQ34" s="659">
        <v>0</v>
      </c>
    </row>
    <row r="35" spans="1:147" ht="13.95" customHeight="1" x14ac:dyDescent="0.3">
      <c r="A35" s="657" t="s">
        <v>1691</v>
      </c>
      <c r="B35" s="658" t="s">
        <v>269</v>
      </c>
      <c r="C35" s="659">
        <v>32962</v>
      </c>
      <c r="D35" s="659">
        <v>0</v>
      </c>
      <c r="E35" s="659">
        <v>0</v>
      </c>
      <c r="F35" s="659">
        <v>1042213</v>
      </c>
      <c r="G35" s="659">
        <v>0</v>
      </c>
      <c r="H35" s="659">
        <v>0</v>
      </c>
      <c r="I35" s="659">
        <v>1033940</v>
      </c>
      <c r="J35" s="801">
        <v>749</v>
      </c>
      <c r="K35" s="659">
        <v>0</v>
      </c>
      <c r="L35" s="659">
        <v>0</v>
      </c>
      <c r="M35" s="659">
        <v>32359</v>
      </c>
      <c r="N35" s="659">
        <v>0</v>
      </c>
      <c r="O35" s="659">
        <v>0</v>
      </c>
      <c r="P35" s="659">
        <v>32359</v>
      </c>
      <c r="Q35" s="801">
        <v>0</v>
      </c>
      <c r="R35" s="659">
        <v>0</v>
      </c>
      <c r="S35" s="659">
        <v>0</v>
      </c>
      <c r="T35" s="659">
        <v>0</v>
      </c>
      <c r="U35" s="659">
        <v>0</v>
      </c>
      <c r="V35" s="659">
        <v>0</v>
      </c>
      <c r="W35" s="801">
        <v>0</v>
      </c>
      <c r="X35" s="659">
        <v>0</v>
      </c>
      <c r="Y35" s="659">
        <v>0</v>
      </c>
      <c r="Z35" s="659">
        <v>0</v>
      </c>
      <c r="AA35" s="659">
        <v>0</v>
      </c>
      <c r="AB35" s="659">
        <v>0</v>
      </c>
      <c r="AC35" s="659">
        <v>0</v>
      </c>
      <c r="AD35" s="801">
        <v>578</v>
      </c>
      <c r="AE35" s="659">
        <v>0</v>
      </c>
      <c r="AF35" s="659">
        <v>0</v>
      </c>
      <c r="AG35" s="659">
        <v>20701</v>
      </c>
      <c r="AH35" s="659">
        <v>0</v>
      </c>
      <c r="AI35" s="659">
        <v>0</v>
      </c>
      <c r="AJ35" s="659">
        <v>20701</v>
      </c>
      <c r="AK35" s="801">
        <v>48</v>
      </c>
      <c r="AL35" s="659">
        <v>0</v>
      </c>
      <c r="AM35" s="659">
        <v>1500</v>
      </c>
      <c r="AN35" s="659">
        <v>0</v>
      </c>
      <c r="AO35" s="659">
        <v>0</v>
      </c>
      <c r="AP35" s="659">
        <v>1500</v>
      </c>
      <c r="AQ35" s="801">
        <v>282</v>
      </c>
      <c r="AR35" s="659">
        <v>0</v>
      </c>
      <c r="AS35" s="659">
        <v>0</v>
      </c>
      <c r="AT35" s="659">
        <v>9670</v>
      </c>
      <c r="AU35" s="659">
        <v>0</v>
      </c>
      <c r="AV35" s="659">
        <v>0</v>
      </c>
      <c r="AW35" s="659">
        <v>9142</v>
      </c>
      <c r="AX35" s="659">
        <v>175</v>
      </c>
      <c r="AY35" s="659">
        <v>0</v>
      </c>
      <c r="AZ35" s="659">
        <v>0</v>
      </c>
      <c r="BA35" s="659">
        <v>5937</v>
      </c>
      <c r="BB35" s="659">
        <v>0</v>
      </c>
      <c r="BC35" s="659">
        <v>0</v>
      </c>
      <c r="BD35" s="659">
        <v>5862</v>
      </c>
      <c r="BE35" s="801">
        <v>1920</v>
      </c>
      <c r="BF35" s="659">
        <v>0</v>
      </c>
      <c r="BG35" s="659">
        <v>0</v>
      </c>
      <c r="BH35" s="659">
        <v>76519</v>
      </c>
      <c r="BI35" s="659">
        <v>0</v>
      </c>
      <c r="BJ35" s="659">
        <v>0</v>
      </c>
      <c r="BK35" s="659">
        <v>76519</v>
      </c>
      <c r="BL35" s="659">
        <v>5105</v>
      </c>
      <c r="BM35" s="659">
        <v>0</v>
      </c>
      <c r="BN35" s="659">
        <v>0</v>
      </c>
      <c r="BO35" s="659">
        <v>155266</v>
      </c>
      <c r="BP35" s="659">
        <v>0</v>
      </c>
      <c r="BQ35" s="659">
        <v>0</v>
      </c>
      <c r="BR35" s="659">
        <v>153972</v>
      </c>
      <c r="BS35" s="659">
        <v>3850</v>
      </c>
      <c r="BT35" s="659">
        <v>0</v>
      </c>
      <c r="BU35" s="659">
        <v>0</v>
      </c>
      <c r="BV35" s="659">
        <v>166995</v>
      </c>
      <c r="BW35" s="659">
        <v>0</v>
      </c>
      <c r="BX35" s="659">
        <v>0</v>
      </c>
      <c r="BY35" s="659">
        <v>166995</v>
      </c>
      <c r="BZ35" s="659">
        <v>3280</v>
      </c>
      <c r="CA35" s="659">
        <v>0</v>
      </c>
      <c r="CB35" s="659">
        <v>0</v>
      </c>
      <c r="CC35" s="659">
        <v>97394</v>
      </c>
      <c r="CD35" s="659">
        <v>0</v>
      </c>
      <c r="CE35" s="659">
        <v>0</v>
      </c>
      <c r="CF35" s="659">
        <v>97130</v>
      </c>
      <c r="CG35" s="659">
        <v>570</v>
      </c>
      <c r="CH35" s="659">
        <v>0</v>
      </c>
      <c r="CI35" s="659">
        <v>0</v>
      </c>
      <c r="CJ35" s="659">
        <v>16740</v>
      </c>
      <c r="CK35" s="659">
        <v>0</v>
      </c>
      <c r="CL35" s="659">
        <v>0</v>
      </c>
      <c r="CM35" s="659">
        <v>16140</v>
      </c>
      <c r="CN35" s="659">
        <v>292</v>
      </c>
      <c r="CO35" s="659">
        <v>0</v>
      </c>
      <c r="CP35" s="659">
        <v>0</v>
      </c>
      <c r="CQ35" s="659">
        <v>7750</v>
      </c>
      <c r="CR35" s="659">
        <v>0</v>
      </c>
      <c r="CS35" s="659">
        <v>0</v>
      </c>
      <c r="CT35" s="659">
        <v>7600</v>
      </c>
      <c r="CU35" s="659">
        <v>50</v>
      </c>
      <c r="CV35" s="659">
        <v>0</v>
      </c>
      <c r="CW35" s="659">
        <v>0</v>
      </c>
      <c r="CX35" s="659">
        <v>1500</v>
      </c>
      <c r="CY35" s="659">
        <v>0</v>
      </c>
      <c r="CZ35" s="659">
        <v>0</v>
      </c>
      <c r="DA35" s="659">
        <v>1500</v>
      </c>
      <c r="DB35" s="659">
        <v>335</v>
      </c>
      <c r="DC35" s="659">
        <v>0</v>
      </c>
      <c r="DD35" s="659">
        <v>0</v>
      </c>
      <c r="DE35" s="659">
        <v>9870</v>
      </c>
      <c r="DF35" s="659">
        <v>0</v>
      </c>
      <c r="DG35" s="659">
        <v>0</v>
      </c>
      <c r="DH35" s="659">
        <v>9870</v>
      </c>
      <c r="DI35" s="659">
        <v>6030</v>
      </c>
      <c r="DJ35" s="659">
        <v>0</v>
      </c>
      <c r="DK35" s="659">
        <v>0</v>
      </c>
      <c r="DL35" s="659">
        <v>126500</v>
      </c>
      <c r="DM35" s="659">
        <v>0</v>
      </c>
      <c r="DN35" s="659">
        <v>0</v>
      </c>
      <c r="DO35" s="659">
        <v>125400</v>
      </c>
      <c r="DP35" s="659">
        <v>1493</v>
      </c>
      <c r="DQ35" s="659">
        <v>0</v>
      </c>
      <c r="DR35" s="659">
        <v>0</v>
      </c>
      <c r="DS35" s="659">
        <v>51405</v>
      </c>
      <c r="DT35" s="659">
        <v>0</v>
      </c>
      <c r="DU35" s="659">
        <v>0</v>
      </c>
      <c r="DV35" s="659">
        <v>50958</v>
      </c>
      <c r="DW35" s="659">
        <v>3165</v>
      </c>
      <c r="DX35" s="659">
        <v>0</v>
      </c>
      <c r="DY35" s="659">
        <v>0</v>
      </c>
      <c r="DZ35" s="659">
        <v>101407</v>
      </c>
      <c r="EA35" s="659">
        <v>0</v>
      </c>
      <c r="EB35" s="659">
        <v>0</v>
      </c>
      <c r="EC35" s="659">
        <v>98792</v>
      </c>
      <c r="ED35" s="659">
        <v>5040</v>
      </c>
      <c r="EE35" s="659">
        <v>0</v>
      </c>
      <c r="EF35" s="659">
        <v>0</v>
      </c>
      <c r="EG35" s="659">
        <v>160700</v>
      </c>
      <c r="EH35" s="659">
        <v>0</v>
      </c>
      <c r="EI35" s="659">
        <v>0</v>
      </c>
      <c r="EJ35" s="659">
        <v>159500</v>
      </c>
      <c r="EK35" s="659">
        <v>0</v>
      </c>
      <c r="EL35" s="659">
        <v>0</v>
      </c>
      <c r="EM35" s="659">
        <v>0</v>
      </c>
      <c r="EN35" s="659">
        <v>0</v>
      </c>
      <c r="EO35" s="659">
        <v>0</v>
      </c>
      <c r="EP35" s="659">
        <v>0</v>
      </c>
      <c r="EQ35" s="659">
        <v>0</v>
      </c>
    </row>
    <row r="36" spans="1:147" ht="13.95" customHeight="1" x14ac:dyDescent="0.3">
      <c r="A36" s="657" t="s">
        <v>1692</v>
      </c>
      <c r="B36" s="658" t="s">
        <v>269</v>
      </c>
      <c r="C36" s="659">
        <f t="shared" ref="C36:BN36" si="25">C38</f>
        <v>115380</v>
      </c>
      <c r="D36" s="659">
        <f t="shared" si="25"/>
        <v>0</v>
      </c>
      <c r="E36" s="659">
        <f t="shared" si="25"/>
        <v>0</v>
      </c>
      <c r="F36" s="659">
        <f t="shared" si="25"/>
        <v>2457778</v>
      </c>
      <c r="G36" s="659">
        <f t="shared" si="25"/>
        <v>0</v>
      </c>
      <c r="H36" s="659">
        <f t="shared" si="25"/>
        <v>0</v>
      </c>
      <c r="I36" s="659">
        <f t="shared" si="25"/>
        <v>2412313</v>
      </c>
      <c r="J36" s="801">
        <f t="shared" si="25"/>
        <v>4467</v>
      </c>
      <c r="K36" s="659">
        <f t="shared" si="25"/>
        <v>0</v>
      </c>
      <c r="L36" s="659">
        <f t="shared" si="25"/>
        <v>0</v>
      </c>
      <c r="M36" s="659">
        <f t="shared" si="25"/>
        <v>97200</v>
      </c>
      <c r="N36" s="659">
        <f t="shared" si="25"/>
        <v>0</v>
      </c>
      <c r="O36" s="659">
        <f t="shared" si="25"/>
        <v>0</v>
      </c>
      <c r="P36" s="659">
        <f t="shared" si="25"/>
        <v>97152</v>
      </c>
      <c r="Q36" s="801">
        <f t="shared" si="25"/>
        <v>0</v>
      </c>
      <c r="R36" s="659">
        <f t="shared" si="25"/>
        <v>0</v>
      </c>
      <c r="S36" s="659">
        <f t="shared" si="25"/>
        <v>0</v>
      </c>
      <c r="T36" s="659">
        <f t="shared" si="25"/>
        <v>0</v>
      </c>
      <c r="U36" s="659">
        <f t="shared" si="25"/>
        <v>0</v>
      </c>
      <c r="V36" s="659">
        <f t="shared" si="25"/>
        <v>0</v>
      </c>
      <c r="W36" s="801">
        <f t="shared" si="25"/>
        <v>17</v>
      </c>
      <c r="X36" s="659">
        <f t="shared" si="25"/>
        <v>0</v>
      </c>
      <c r="Y36" s="659">
        <f t="shared" si="25"/>
        <v>0</v>
      </c>
      <c r="Z36" s="659">
        <f t="shared" si="25"/>
        <v>1190</v>
      </c>
      <c r="AA36" s="659">
        <f t="shared" si="25"/>
        <v>0</v>
      </c>
      <c r="AB36" s="659">
        <f t="shared" si="25"/>
        <v>0</v>
      </c>
      <c r="AC36" s="659">
        <f t="shared" si="25"/>
        <v>1000</v>
      </c>
      <c r="AD36" s="801">
        <f t="shared" si="25"/>
        <v>7577</v>
      </c>
      <c r="AE36" s="659">
        <f t="shared" si="25"/>
        <v>0</v>
      </c>
      <c r="AF36" s="659">
        <f t="shared" si="25"/>
        <v>0</v>
      </c>
      <c r="AG36" s="659">
        <f t="shared" si="25"/>
        <v>247295</v>
      </c>
      <c r="AH36" s="659">
        <f t="shared" si="25"/>
        <v>0</v>
      </c>
      <c r="AI36" s="659">
        <f t="shared" si="25"/>
        <v>0</v>
      </c>
      <c r="AJ36" s="659">
        <f t="shared" si="25"/>
        <v>247295</v>
      </c>
      <c r="AK36" s="801">
        <f t="shared" si="25"/>
        <v>0</v>
      </c>
      <c r="AL36" s="659">
        <f t="shared" si="25"/>
        <v>0</v>
      </c>
      <c r="AM36" s="659">
        <f t="shared" si="25"/>
        <v>0</v>
      </c>
      <c r="AN36" s="659">
        <f t="shared" si="25"/>
        <v>0</v>
      </c>
      <c r="AO36" s="659">
        <f t="shared" si="25"/>
        <v>0</v>
      </c>
      <c r="AP36" s="659">
        <f t="shared" si="25"/>
        <v>0</v>
      </c>
      <c r="AQ36" s="801">
        <f t="shared" si="25"/>
        <v>3525</v>
      </c>
      <c r="AR36" s="659">
        <f t="shared" si="25"/>
        <v>0</v>
      </c>
      <c r="AS36" s="659">
        <f t="shared" si="25"/>
        <v>0</v>
      </c>
      <c r="AT36" s="659">
        <f t="shared" si="25"/>
        <v>193610</v>
      </c>
      <c r="AU36" s="659">
        <f t="shared" si="25"/>
        <v>0</v>
      </c>
      <c r="AV36" s="659">
        <f t="shared" si="25"/>
        <v>0</v>
      </c>
      <c r="AW36" s="659">
        <f t="shared" si="25"/>
        <v>184580</v>
      </c>
      <c r="AX36" s="659">
        <f t="shared" si="25"/>
        <v>1403</v>
      </c>
      <c r="AY36" s="659">
        <f t="shared" si="25"/>
        <v>0</v>
      </c>
      <c r="AZ36" s="659">
        <f t="shared" si="25"/>
        <v>0</v>
      </c>
      <c r="BA36" s="659">
        <f t="shared" si="25"/>
        <v>48623</v>
      </c>
      <c r="BB36" s="659">
        <f t="shared" si="25"/>
        <v>0</v>
      </c>
      <c r="BC36" s="659">
        <f t="shared" si="25"/>
        <v>0</v>
      </c>
      <c r="BD36" s="659">
        <f t="shared" si="25"/>
        <v>47148</v>
      </c>
      <c r="BE36" s="801">
        <f t="shared" si="25"/>
        <v>9317</v>
      </c>
      <c r="BF36" s="659">
        <f t="shared" si="25"/>
        <v>0</v>
      </c>
      <c r="BG36" s="659">
        <f t="shared" si="25"/>
        <v>0</v>
      </c>
      <c r="BH36" s="659">
        <f t="shared" si="25"/>
        <v>226708</v>
      </c>
      <c r="BI36" s="659">
        <f t="shared" si="25"/>
        <v>0</v>
      </c>
      <c r="BJ36" s="659">
        <f t="shared" si="25"/>
        <v>0</v>
      </c>
      <c r="BK36" s="659">
        <f t="shared" si="25"/>
        <v>226708</v>
      </c>
      <c r="BL36" s="659">
        <f t="shared" si="25"/>
        <v>22880</v>
      </c>
      <c r="BM36" s="659">
        <f t="shared" si="25"/>
        <v>0</v>
      </c>
      <c r="BN36" s="659">
        <f t="shared" si="25"/>
        <v>0</v>
      </c>
      <c r="BO36" s="659">
        <f t="shared" ref="BO36:DZ36" si="26">BO38</f>
        <v>458983</v>
      </c>
      <c r="BP36" s="659">
        <f t="shared" si="26"/>
        <v>0</v>
      </c>
      <c r="BQ36" s="659">
        <f t="shared" si="26"/>
        <v>0</v>
      </c>
      <c r="BR36" s="659">
        <f t="shared" si="26"/>
        <v>445801</v>
      </c>
      <c r="BS36" s="659">
        <f t="shared" si="26"/>
        <v>13420</v>
      </c>
      <c r="BT36" s="659">
        <f t="shared" si="26"/>
        <v>0</v>
      </c>
      <c r="BU36" s="659">
        <f t="shared" si="26"/>
        <v>0</v>
      </c>
      <c r="BV36" s="659">
        <f t="shared" si="26"/>
        <v>179240</v>
      </c>
      <c r="BW36" s="659">
        <f t="shared" si="26"/>
        <v>0</v>
      </c>
      <c r="BX36" s="659">
        <f t="shared" si="26"/>
        <v>0</v>
      </c>
      <c r="BY36" s="659">
        <f t="shared" si="26"/>
        <v>179240</v>
      </c>
      <c r="BZ36" s="659">
        <f t="shared" si="26"/>
        <v>14269</v>
      </c>
      <c r="CA36" s="659">
        <f t="shared" si="26"/>
        <v>0</v>
      </c>
      <c r="CB36" s="659">
        <f t="shared" si="26"/>
        <v>0</v>
      </c>
      <c r="CC36" s="659">
        <f t="shared" si="26"/>
        <v>258880</v>
      </c>
      <c r="CD36" s="659">
        <f t="shared" si="26"/>
        <v>0</v>
      </c>
      <c r="CE36" s="659">
        <f t="shared" si="26"/>
        <v>0</v>
      </c>
      <c r="CF36" s="659">
        <f t="shared" si="26"/>
        <v>255945</v>
      </c>
      <c r="CG36" s="659">
        <f t="shared" si="26"/>
        <v>2673</v>
      </c>
      <c r="CH36" s="659">
        <f t="shared" si="26"/>
        <v>0</v>
      </c>
      <c r="CI36" s="659">
        <f t="shared" si="26"/>
        <v>0</v>
      </c>
      <c r="CJ36" s="659">
        <f t="shared" si="26"/>
        <v>39625</v>
      </c>
      <c r="CK36" s="659">
        <f t="shared" si="26"/>
        <v>0</v>
      </c>
      <c r="CL36" s="659">
        <f t="shared" si="26"/>
        <v>0</v>
      </c>
      <c r="CM36" s="659">
        <f t="shared" si="26"/>
        <v>32322</v>
      </c>
      <c r="CN36" s="659">
        <f t="shared" si="26"/>
        <v>5353</v>
      </c>
      <c r="CO36" s="659">
        <f t="shared" si="26"/>
        <v>0</v>
      </c>
      <c r="CP36" s="659">
        <f t="shared" si="26"/>
        <v>0</v>
      </c>
      <c r="CQ36" s="659">
        <f t="shared" si="26"/>
        <v>170883</v>
      </c>
      <c r="CR36" s="659">
        <f t="shared" si="26"/>
        <v>0</v>
      </c>
      <c r="CS36" s="659">
        <f t="shared" si="26"/>
        <v>0</v>
      </c>
      <c r="CT36" s="659">
        <f t="shared" si="26"/>
        <v>170883</v>
      </c>
      <c r="CU36" s="659">
        <f t="shared" si="26"/>
        <v>2620</v>
      </c>
      <c r="CV36" s="659">
        <f t="shared" si="26"/>
        <v>0</v>
      </c>
      <c r="CW36" s="659">
        <f t="shared" si="26"/>
        <v>0</v>
      </c>
      <c r="CX36" s="659">
        <f t="shared" si="26"/>
        <v>56005</v>
      </c>
      <c r="CY36" s="659">
        <f t="shared" si="26"/>
        <v>0</v>
      </c>
      <c r="CZ36" s="659">
        <f t="shared" si="26"/>
        <v>0</v>
      </c>
      <c r="DA36" s="659">
        <f t="shared" si="26"/>
        <v>56005</v>
      </c>
      <c r="DB36" s="659">
        <f t="shared" si="26"/>
        <v>3318</v>
      </c>
      <c r="DC36" s="659">
        <f t="shared" si="26"/>
        <v>0</v>
      </c>
      <c r="DD36" s="659">
        <f t="shared" si="26"/>
        <v>0</v>
      </c>
      <c r="DE36" s="659">
        <f t="shared" si="26"/>
        <v>64946</v>
      </c>
      <c r="DF36" s="659">
        <f t="shared" si="26"/>
        <v>0</v>
      </c>
      <c r="DG36" s="659">
        <f t="shared" si="26"/>
        <v>0</v>
      </c>
      <c r="DH36" s="659">
        <f t="shared" si="26"/>
        <v>64686</v>
      </c>
      <c r="DI36" s="659">
        <f t="shared" si="26"/>
        <v>9877</v>
      </c>
      <c r="DJ36" s="659">
        <f t="shared" si="26"/>
        <v>0</v>
      </c>
      <c r="DK36" s="659">
        <f t="shared" si="26"/>
        <v>0</v>
      </c>
      <c r="DL36" s="659">
        <f t="shared" si="26"/>
        <v>167945</v>
      </c>
      <c r="DM36" s="659">
        <f t="shared" si="26"/>
        <v>0</v>
      </c>
      <c r="DN36" s="659">
        <f t="shared" si="26"/>
        <v>0</v>
      </c>
      <c r="DO36" s="659">
        <f t="shared" si="26"/>
        <v>162142</v>
      </c>
      <c r="DP36" s="659">
        <f t="shared" si="26"/>
        <v>1173</v>
      </c>
      <c r="DQ36" s="659">
        <f t="shared" si="26"/>
        <v>0</v>
      </c>
      <c r="DR36" s="659">
        <f t="shared" si="26"/>
        <v>0</v>
      </c>
      <c r="DS36" s="659">
        <f t="shared" si="26"/>
        <v>17030</v>
      </c>
      <c r="DT36" s="659">
        <f t="shared" si="26"/>
        <v>0</v>
      </c>
      <c r="DU36" s="659">
        <f t="shared" si="26"/>
        <v>0</v>
      </c>
      <c r="DV36" s="659">
        <f t="shared" si="26"/>
        <v>16922</v>
      </c>
      <c r="DW36" s="659">
        <f t="shared" si="26"/>
        <v>1702</v>
      </c>
      <c r="DX36" s="659">
        <f t="shared" si="26"/>
        <v>0</v>
      </c>
      <c r="DY36" s="659">
        <f t="shared" si="26"/>
        <v>0</v>
      </c>
      <c r="DZ36" s="659">
        <f t="shared" si="26"/>
        <v>43061</v>
      </c>
      <c r="EA36" s="659">
        <f t="shared" ref="EA36:EQ36" si="27">EA38</f>
        <v>0</v>
      </c>
      <c r="EB36" s="659">
        <f t="shared" si="27"/>
        <v>0</v>
      </c>
      <c r="EC36" s="659">
        <f t="shared" si="27"/>
        <v>41418</v>
      </c>
      <c r="ED36" s="659">
        <f t="shared" si="27"/>
        <v>6230</v>
      </c>
      <c r="EE36" s="659">
        <f t="shared" si="27"/>
        <v>0</v>
      </c>
      <c r="EF36" s="659">
        <f t="shared" si="27"/>
        <v>0</v>
      </c>
      <c r="EG36" s="659">
        <f t="shared" si="27"/>
        <v>108421</v>
      </c>
      <c r="EH36" s="659">
        <f t="shared" si="27"/>
        <v>0</v>
      </c>
      <c r="EI36" s="659">
        <f t="shared" si="27"/>
        <v>0</v>
      </c>
      <c r="EJ36" s="659">
        <f t="shared" si="27"/>
        <v>104933</v>
      </c>
      <c r="EK36" s="659">
        <f t="shared" si="27"/>
        <v>5559</v>
      </c>
      <c r="EL36" s="659">
        <f t="shared" si="27"/>
        <v>0</v>
      </c>
      <c r="EM36" s="659">
        <f t="shared" si="27"/>
        <v>0</v>
      </c>
      <c r="EN36" s="659">
        <f t="shared" si="27"/>
        <v>78133</v>
      </c>
      <c r="EO36" s="659">
        <f t="shared" si="27"/>
        <v>0</v>
      </c>
      <c r="EP36" s="659">
        <f t="shared" si="27"/>
        <v>0</v>
      </c>
      <c r="EQ36" s="659">
        <f t="shared" si="27"/>
        <v>78133</v>
      </c>
    </row>
    <row r="37" spans="1:147" ht="13.95" customHeight="1" x14ac:dyDescent="0.3">
      <c r="A37" s="657" t="s">
        <v>1693</v>
      </c>
      <c r="B37" s="658" t="s">
        <v>269</v>
      </c>
      <c r="C37" s="659">
        <v>0</v>
      </c>
      <c r="D37" s="659">
        <v>0</v>
      </c>
      <c r="E37" s="659">
        <v>0</v>
      </c>
      <c r="F37" s="659">
        <v>0</v>
      </c>
      <c r="G37" s="659">
        <v>0</v>
      </c>
      <c r="H37" s="659">
        <v>0</v>
      </c>
      <c r="I37" s="659">
        <v>0</v>
      </c>
      <c r="J37" s="801">
        <v>0</v>
      </c>
      <c r="K37" s="659">
        <v>0</v>
      </c>
      <c r="L37" s="659">
        <v>0</v>
      </c>
      <c r="M37" s="659">
        <v>0</v>
      </c>
      <c r="N37" s="659">
        <v>0</v>
      </c>
      <c r="O37" s="659">
        <v>0</v>
      </c>
      <c r="P37" s="659">
        <v>0</v>
      </c>
      <c r="Q37" s="801">
        <v>0</v>
      </c>
      <c r="R37" s="659">
        <v>0</v>
      </c>
      <c r="S37" s="659">
        <v>0</v>
      </c>
      <c r="T37" s="659">
        <v>0</v>
      </c>
      <c r="U37" s="659">
        <v>0</v>
      </c>
      <c r="V37" s="659">
        <v>0</v>
      </c>
      <c r="W37" s="801">
        <v>0</v>
      </c>
      <c r="X37" s="659">
        <v>0</v>
      </c>
      <c r="Y37" s="659">
        <v>0</v>
      </c>
      <c r="Z37" s="659">
        <v>0</v>
      </c>
      <c r="AA37" s="659">
        <v>0</v>
      </c>
      <c r="AB37" s="659">
        <v>0</v>
      </c>
      <c r="AC37" s="659">
        <v>0</v>
      </c>
      <c r="AD37" s="801">
        <v>0</v>
      </c>
      <c r="AE37" s="659">
        <v>0</v>
      </c>
      <c r="AF37" s="659">
        <v>0</v>
      </c>
      <c r="AG37" s="659">
        <v>0</v>
      </c>
      <c r="AH37" s="659">
        <v>0</v>
      </c>
      <c r="AI37" s="659">
        <v>0</v>
      </c>
      <c r="AJ37" s="659">
        <v>0</v>
      </c>
      <c r="AK37" s="801">
        <v>0</v>
      </c>
      <c r="AL37" s="659">
        <v>0</v>
      </c>
      <c r="AM37" s="659">
        <v>0</v>
      </c>
      <c r="AN37" s="659">
        <v>0</v>
      </c>
      <c r="AO37" s="659">
        <v>0</v>
      </c>
      <c r="AP37" s="659">
        <v>0</v>
      </c>
      <c r="AQ37" s="801">
        <v>0</v>
      </c>
      <c r="AR37" s="659">
        <v>0</v>
      </c>
      <c r="AS37" s="659">
        <v>0</v>
      </c>
      <c r="AT37" s="659">
        <v>0</v>
      </c>
      <c r="AU37" s="659">
        <v>0</v>
      </c>
      <c r="AV37" s="659">
        <v>0</v>
      </c>
      <c r="AW37" s="659">
        <v>0</v>
      </c>
      <c r="AX37" s="659">
        <v>0</v>
      </c>
      <c r="AY37" s="659">
        <v>0</v>
      </c>
      <c r="AZ37" s="659">
        <v>0</v>
      </c>
      <c r="BA37" s="659">
        <v>0</v>
      </c>
      <c r="BB37" s="659">
        <v>0</v>
      </c>
      <c r="BC37" s="659">
        <v>0</v>
      </c>
      <c r="BD37" s="659">
        <v>0</v>
      </c>
      <c r="BE37" s="801">
        <v>0</v>
      </c>
      <c r="BF37" s="659">
        <v>0</v>
      </c>
      <c r="BG37" s="659">
        <v>0</v>
      </c>
      <c r="BH37" s="659">
        <v>0</v>
      </c>
      <c r="BI37" s="659">
        <v>0</v>
      </c>
      <c r="BJ37" s="659">
        <v>0</v>
      </c>
      <c r="BK37" s="659">
        <v>0</v>
      </c>
      <c r="BL37" s="659">
        <v>0</v>
      </c>
      <c r="BM37" s="659">
        <v>0</v>
      </c>
      <c r="BN37" s="659">
        <v>0</v>
      </c>
      <c r="BO37" s="659">
        <v>0</v>
      </c>
      <c r="BP37" s="659">
        <v>0</v>
      </c>
      <c r="BQ37" s="659">
        <v>0</v>
      </c>
      <c r="BR37" s="659">
        <v>0</v>
      </c>
      <c r="BS37" s="659">
        <v>0</v>
      </c>
      <c r="BT37" s="659">
        <v>0</v>
      </c>
      <c r="BU37" s="659">
        <v>0</v>
      </c>
      <c r="BV37" s="659">
        <v>0</v>
      </c>
      <c r="BW37" s="659">
        <v>0</v>
      </c>
      <c r="BX37" s="659">
        <v>0</v>
      </c>
      <c r="BY37" s="659">
        <v>0</v>
      </c>
      <c r="BZ37" s="659">
        <v>0</v>
      </c>
      <c r="CA37" s="659">
        <v>0</v>
      </c>
      <c r="CB37" s="659">
        <v>0</v>
      </c>
      <c r="CC37" s="659">
        <v>0</v>
      </c>
      <c r="CD37" s="659">
        <v>0</v>
      </c>
      <c r="CE37" s="659">
        <v>0</v>
      </c>
      <c r="CF37" s="659">
        <v>0</v>
      </c>
      <c r="CG37" s="659">
        <v>0</v>
      </c>
      <c r="CH37" s="659">
        <v>0</v>
      </c>
      <c r="CI37" s="659">
        <v>0</v>
      </c>
      <c r="CJ37" s="659">
        <v>0</v>
      </c>
      <c r="CK37" s="659">
        <v>0</v>
      </c>
      <c r="CL37" s="659">
        <v>0</v>
      </c>
      <c r="CM37" s="659">
        <v>0</v>
      </c>
      <c r="CN37" s="659">
        <v>0</v>
      </c>
      <c r="CO37" s="659">
        <v>0</v>
      </c>
      <c r="CP37" s="659">
        <v>0</v>
      </c>
      <c r="CQ37" s="659">
        <v>0</v>
      </c>
      <c r="CR37" s="659">
        <v>0</v>
      </c>
      <c r="CS37" s="659">
        <v>0</v>
      </c>
      <c r="CT37" s="659">
        <v>0</v>
      </c>
      <c r="CU37" s="659">
        <v>0</v>
      </c>
      <c r="CV37" s="659">
        <v>0</v>
      </c>
      <c r="CW37" s="659">
        <v>0</v>
      </c>
      <c r="CX37" s="659">
        <v>0</v>
      </c>
      <c r="CY37" s="659">
        <v>0</v>
      </c>
      <c r="CZ37" s="659">
        <v>0</v>
      </c>
      <c r="DA37" s="659">
        <v>0</v>
      </c>
      <c r="DB37" s="659">
        <v>0</v>
      </c>
      <c r="DC37" s="659">
        <v>0</v>
      </c>
      <c r="DD37" s="659">
        <v>0</v>
      </c>
      <c r="DE37" s="659">
        <v>0</v>
      </c>
      <c r="DF37" s="659">
        <v>0</v>
      </c>
      <c r="DG37" s="659">
        <v>0</v>
      </c>
      <c r="DH37" s="659">
        <v>0</v>
      </c>
      <c r="DI37" s="659">
        <v>0</v>
      </c>
      <c r="DJ37" s="659">
        <v>0</v>
      </c>
      <c r="DK37" s="659">
        <v>0</v>
      </c>
      <c r="DL37" s="659">
        <v>0</v>
      </c>
      <c r="DM37" s="659">
        <v>0</v>
      </c>
      <c r="DN37" s="659">
        <v>0</v>
      </c>
      <c r="DO37" s="659">
        <v>0</v>
      </c>
      <c r="DP37" s="659">
        <v>0</v>
      </c>
      <c r="DQ37" s="659">
        <v>0</v>
      </c>
      <c r="DR37" s="659">
        <v>0</v>
      </c>
      <c r="DS37" s="659">
        <v>0</v>
      </c>
      <c r="DT37" s="659">
        <v>0</v>
      </c>
      <c r="DU37" s="659">
        <v>0</v>
      </c>
      <c r="DV37" s="659">
        <v>0</v>
      </c>
      <c r="DW37" s="659">
        <v>0</v>
      </c>
      <c r="DX37" s="659">
        <v>0</v>
      </c>
      <c r="DY37" s="659">
        <v>0</v>
      </c>
      <c r="DZ37" s="659">
        <v>0</v>
      </c>
      <c r="EA37" s="659">
        <v>0</v>
      </c>
      <c r="EB37" s="659">
        <v>0</v>
      </c>
      <c r="EC37" s="659">
        <v>0</v>
      </c>
      <c r="ED37" s="659">
        <v>0</v>
      </c>
      <c r="EE37" s="659">
        <v>0</v>
      </c>
      <c r="EF37" s="659">
        <v>0</v>
      </c>
      <c r="EG37" s="659">
        <v>0</v>
      </c>
      <c r="EH37" s="659">
        <v>0</v>
      </c>
      <c r="EI37" s="659">
        <v>0</v>
      </c>
      <c r="EJ37" s="659">
        <v>0</v>
      </c>
      <c r="EK37" s="659">
        <v>0</v>
      </c>
      <c r="EL37" s="659">
        <v>0</v>
      </c>
      <c r="EM37" s="659">
        <v>0</v>
      </c>
      <c r="EN37" s="659">
        <v>0</v>
      </c>
      <c r="EO37" s="659">
        <v>0</v>
      </c>
      <c r="EP37" s="659">
        <v>0</v>
      </c>
      <c r="EQ37" s="659">
        <v>0</v>
      </c>
    </row>
    <row r="38" spans="1:147" ht="13.95" customHeight="1" x14ac:dyDescent="0.3">
      <c r="A38" s="657" t="s">
        <v>1694</v>
      </c>
      <c r="B38" s="658" t="s">
        <v>269</v>
      </c>
      <c r="C38" s="659">
        <f t="shared" ref="C38:BN38" si="28">C40+C41+C43++C44+C46+C47</f>
        <v>115380</v>
      </c>
      <c r="D38" s="659">
        <f t="shared" si="28"/>
        <v>0</v>
      </c>
      <c r="E38" s="659">
        <f t="shared" si="28"/>
        <v>0</v>
      </c>
      <c r="F38" s="659">
        <f t="shared" si="28"/>
        <v>2457778</v>
      </c>
      <c r="G38" s="659">
        <f t="shared" si="28"/>
        <v>0</v>
      </c>
      <c r="H38" s="659">
        <f t="shared" si="28"/>
        <v>0</v>
      </c>
      <c r="I38" s="659">
        <f t="shared" si="28"/>
        <v>2412313</v>
      </c>
      <c r="J38" s="801">
        <f t="shared" si="28"/>
        <v>4467</v>
      </c>
      <c r="K38" s="659">
        <f t="shared" si="28"/>
        <v>0</v>
      </c>
      <c r="L38" s="659">
        <f t="shared" si="28"/>
        <v>0</v>
      </c>
      <c r="M38" s="659">
        <f t="shared" si="28"/>
        <v>97200</v>
      </c>
      <c r="N38" s="659">
        <f t="shared" si="28"/>
        <v>0</v>
      </c>
      <c r="O38" s="659">
        <f t="shared" si="28"/>
        <v>0</v>
      </c>
      <c r="P38" s="659">
        <f t="shared" si="28"/>
        <v>97152</v>
      </c>
      <c r="Q38" s="801">
        <f t="shared" si="28"/>
        <v>0</v>
      </c>
      <c r="R38" s="659">
        <f t="shared" si="28"/>
        <v>0</v>
      </c>
      <c r="S38" s="659">
        <f t="shared" si="28"/>
        <v>0</v>
      </c>
      <c r="T38" s="659">
        <f t="shared" si="28"/>
        <v>0</v>
      </c>
      <c r="U38" s="659">
        <f t="shared" si="28"/>
        <v>0</v>
      </c>
      <c r="V38" s="659">
        <f t="shared" si="28"/>
        <v>0</v>
      </c>
      <c r="W38" s="801">
        <f t="shared" si="28"/>
        <v>17</v>
      </c>
      <c r="X38" s="659">
        <f t="shared" si="28"/>
        <v>0</v>
      </c>
      <c r="Y38" s="659">
        <f t="shared" si="28"/>
        <v>0</v>
      </c>
      <c r="Z38" s="659">
        <f t="shared" si="28"/>
        <v>1190</v>
      </c>
      <c r="AA38" s="659">
        <f t="shared" si="28"/>
        <v>0</v>
      </c>
      <c r="AB38" s="659">
        <f t="shared" si="28"/>
        <v>0</v>
      </c>
      <c r="AC38" s="659">
        <f t="shared" si="28"/>
        <v>1000</v>
      </c>
      <c r="AD38" s="801">
        <f t="shared" si="28"/>
        <v>7577</v>
      </c>
      <c r="AE38" s="659">
        <f t="shared" si="28"/>
        <v>0</v>
      </c>
      <c r="AF38" s="659">
        <f t="shared" si="28"/>
        <v>0</v>
      </c>
      <c r="AG38" s="659">
        <f t="shared" si="28"/>
        <v>247295</v>
      </c>
      <c r="AH38" s="659">
        <f t="shared" si="28"/>
        <v>0</v>
      </c>
      <c r="AI38" s="659">
        <f t="shared" si="28"/>
        <v>0</v>
      </c>
      <c r="AJ38" s="659">
        <f t="shared" si="28"/>
        <v>247295</v>
      </c>
      <c r="AK38" s="801">
        <f t="shared" si="28"/>
        <v>0</v>
      </c>
      <c r="AL38" s="659">
        <f t="shared" si="28"/>
        <v>0</v>
      </c>
      <c r="AM38" s="659">
        <f t="shared" si="28"/>
        <v>0</v>
      </c>
      <c r="AN38" s="659">
        <f t="shared" si="28"/>
        <v>0</v>
      </c>
      <c r="AO38" s="659">
        <f t="shared" si="28"/>
        <v>0</v>
      </c>
      <c r="AP38" s="659">
        <f t="shared" si="28"/>
        <v>0</v>
      </c>
      <c r="AQ38" s="801">
        <f t="shared" si="28"/>
        <v>3525</v>
      </c>
      <c r="AR38" s="659">
        <f t="shared" si="28"/>
        <v>0</v>
      </c>
      <c r="AS38" s="659">
        <f t="shared" si="28"/>
        <v>0</v>
      </c>
      <c r="AT38" s="659">
        <f t="shared" si="28"/>
        <v>193610</v>
      </c>
      <c r="AU38" s="659">
        <f t="shared" si="28"/>
        <v>0</v>
      </c>
      <c r="AV38" s="659">
        <f t="shared" si="28"/>
        <v>0</v>
      </c>
      <c r="AW38" s="659">
        <f t="shared" si="28"/>
        <v>184580</v>
      </c>
      <c r="AX38" s="659">
        <f t="shared" si="28"/>
        <v>1403</v>
      </c>
      <c r="AY38" s="659">
        <f t="shared" si="28"/>
        <v>0</v>
      </c>
      <c r="AZ38" s="659">
        <f t="shared" si="28"/>
        <v>0</v>
      </c>
      <c r="BA38" s="659">
        <f t="shared" si="28"/>
        <v>48623</v>
      </c>
      <c r="BB38" s="659">
        <f t="shared" si="28"/>
        <v>0</v>
      </c>
      <c r="BC38" s="659">
        <f t="shared" si="28"/>
        <v>0</v>
      </c>
      <c r="BD38" s="659">
        <f t="shared" si="28"/>
        <v>47148</v>
      </c>
      <c r="BE38" s="801">
        <f t="shared" si="28"/>
        <v>9317</v>
      </c>
      <c r="BF38" s="659">
        <f t="shared" si="28"/>
        <v>0</v>
      </c>
      <c r="BG38" s="659">
        <f t="shared" si="28"/>
        <v>0</v>
      </c>
      <c r="BH38" s="659">
        <f t="shared" si="28"/>
        <v>226708</v>
      </c>
      <c r="BI38" s="659">
        <f t="shared" si="28"/>
        <v>0</v>
      </c>
      <c r="BJ38" s="659">
        <f t="shared" si="28"/>
        <v>0</v>
      </c>
      <c r="BK38" s="659">
        <f t="shared" si="28"/>
        <v>226708</v>
      </c>
      <c r="BL38" s="659">
        <f t="shared" si="28"/>
        <v>22880</v>
      </c>
      <c r="BM38" s="659">
        <f t="shared" si="28"/>
        <v>0</v>
      </c>
      <c r="BN38" s="659">
        <f t="shared" si="28"/>
        <v>0</v>
      </c>
      <c r="BO38" s="659">
        <f t="shared" ref="BO38:DZ38" si="29">BO40+BO41+BO43++BO44+BO46+BO47</f>
        <v>458983</v>
      </c>
      <c r="BP38" s="659">
        <f t="shared" si="29"/>
        <v>0</v>
      </c>
      <c r="BQ38" s="659">
        <f t="shared" si="29"/>
        <v>0</v>
      </c>
      <c r="BR38" s="659">
        <f t="shared" si="29"/>
        <v>445801</v>
      </c>
      <c r="BS38" s="659">
        <f t="shared" si="29"/>
        <v>13420</v>
      </c>
      <c r="BT38" s="659">
        <f t="shared" si="29"/>
        <v>0</v>
      </c>
      <c r="BU38" s="659">
        <f t="shared" si="29"/>
        <v>0</v>
      </c>
      <c r="BV38" s="659">
        <f t="shared" si="29"/>
        <v>179240</v>
      </c>
      <c r="BW38" s="659">
        <f t="shared" si="29"/>
        <v>0</v>
      </c>
      <c r="BX38" s="659">
        <f t="shared" si="29"/>
        <v>0</v>
      </c>
      <c r="BY38" s="659">
        <f t="shared" si="29"/>
        <v>179240</v>
      </c>
      <c r="BZ38" s="659">
        <f t="shared" si="29"/>
        <v>14269</v>
      </c>
      <c r="CA38" s="659">
        <f t="shared" si="29"/>
        <v>0</v>
      </c>
      <c r="CB38" s="659">
        <f t="shared" si="29"/>
        <v>0</v>
      </c>
      <c r="CC38" s="659">
        <f t="shared" si="29"/>
        <v>258880</v>
      </c>
      <c r="CD38" s="659">
        <f t="shared" si="29"/>
        <v>0</v>
      </c>
      <c r="CE38" s="659">
        <f t="shared" si="29"/>
        <v>0</v>
      </c>
      <c r="CF38" s="659">
        <f t="shared" si="29"/>
        <v>255945</v>
      </c>
      <c r="CG38" s="659">
        <f t="shared" si="29"/>
        <v>2673</v>
      </c>
      <c r="CH38" s="659">
        <f t="shared" si="29"/>
        <v>0</v>
      </c>
      <c r="CI38" s="659">
        <f t="shared" si="29"/>
        <v>0</v>
      </c>
      <c r="CJ38" s="659">
        <f t="shared" si="29"/>
        <v>39625</v>
      </c>
      <c r="CK38" s="659">
        <f t="shared" si="29"/>
        <v>0</v>
      </c>
      <c r="CL38" s="659">
        <f t="shared" si="29"/>
        <v>0</v>
      </c>
      <c r="CM38" s="659">
        <f t="shared" si="29"/>
        <v>32322</v>
      </c>
      <c r="CN38" s="659">
        <f t="shared" si="29"/>
        <v>5353</v>
      </c>
      <c r="CO38" s="659">
        <f t="shared" si="29"/>
        <v>0</v>
      </c>
      <c r="CP38" s="659">
        <f t="shared" si="29"/>
        <v>0</v>
      </c>
      <c r="CQ38" s="659">
        <f t="shared" si="29"/>
        <v>170883</v>
      </c>
      <c r="CR38" s="659">
        <f t="shared" si="29"/>
        <v>0</v>
      </c>
      <c r="CS38" s="659">
        <f t="shared" si="29"/>
        <v>0</v>
      </c>
      <c r="CT38" s="659">
        <f t="shared" si="29"/>
        <v>170883</v>
      </c>
      <c r="CU38" s="659">
        <f t="shared" si="29"/>
        <v>2620</v>
      </c>
      <c r="CV38" s="659">
        <f t="shared" si="29"/>
        <v>0</v>
      </c>
      <c r="CW38" s="659">
        <f t="shared" si="29"/>
        <v>0</v>
      </c>
      <c r="CX38" s="659">
        <f t="shared" si="29"/>
        <v>56005</v>
      </c>
      <c r="CY38" s="659">
        <f t="shared" si="29"/>
        <v>0</v>
      </c>
      <c r="CZ38" s="659">
        <f t="shared" si="29"/>
        <v>0</v>
      </c>
      <c r="DA38" s="659">
        <f t="shared" si="29"/>
        <v>56005</v>
      </c>
      <c r="DB38" s="659">
        <f t="shared" si="29"/>
        <v>3318</v>
      </c>
      <c r="DC38" s="659">
        <f t="shared" si="29"/>
        <v>0</v>
      </c>
      <c r="DD38" s="659">
        <f t="shared" si="29"/>
        <v>0</v>
      </c>
      <c r="DE38" s="659">
        <f t="shared" si="29"/>
        <v>64946</v>
      </c>
      <c r="DF38" s="659">
        <f t="shared" si="29"/>
        <v>0</v>
      </c>
      <c r="DG38" s="659">
        <f t="shared" si="29"/>
        <v>0</v>
      </c>
      <c r="DH38" s="659">
        <f t="shared" si="29"/>
        <v>64686</v>
      </c>
      <c r="DI38" s="659">
        <f t="shared" si="29"/>
        <v>9877</v>
      </c>
      <c r="DJ38" s="659">
        <f t="shared" si="29"/>
        <v>0</v>
      </c>
      <c r="DK38" s="659">
        <f t="shared" si="29"/>
        <v>0</v>
      </c>
      <c r="DL38" s="659">
        <f t="shared" si="29"/>
        <v>167945</v>
      </c>
      <c r="DM38" s="659">
        <f t="shared" si="29"/>
        <v>0</v>
      </c>
      <c r="DN38" s="659">
        <f t="shared" si="29"/>
        <v>0</v>
      </c>
      <c r="DO38" s="659">
        <f t="shared" si="29"/>
        <v>162142</v>
      </c>
      <c r="DP38" s="659">
        <f t="shared" si="29"/>
        <v>1173</v>
      </c>
      <c r="DQ38" s="659">
        <f t="shared" si="29"/>
        <v>0</v>
      </c>
      <c r="DR38" s="659">
        <f t="shared" si="29"/>
        <v>0</v>
      </c>
      <c r="DS38" s="659">
        <f t="shared" si="29"/>
        <v>17030</v>
      </c>
      <c r="DT38" s="659">
        <f t="shared" si="29"/>
        <v>0</v>
      </c>
      <c r="DU38" s="659">
        <f t="shared" si="29"/>
        <v>0</v>
      </c>
      <c r="DV38" s="659">
        <f t="shared" si="29"/>
        <v>16922</v>
      </c>
      <c r="DW38" s="659">
        <f t="shared" si="29"/>
        <v>1702</v>
      </c>
      <c r="DX38" s="659">
        <f t="shared" si="29"/>
        <v>0</v>
      </c>
      <c r="DY38" s="659">
        <f t="shared" si="29"/>
        <v>0</v>
      </c>
      <c r="DZ38" s="659">
        <f t="shared" si="29"/>
        <v>43061</v>
      </c>
      <c r="EA38" s="659">
        <f t="shared" ref="EA38:EQ38" si="30">EA40+EA41+EA43++EA44+EA46+EA47</f>
        <v>0</v>
      </c>
      <c r="EB38" s="659">
        <f t="shared" si="30"/>
        <v>0</v>
      </c>
      <c r="EC38" s="659">
        <f t="shared" si="30"/>
        <v>41418</v>
      </c>
      <c r="ED38" s="659">
        <f t="shared" si="30"/>
        <v>6230</v>
      </c>
      <c r="EE38" s="659">
        <f t="shared" si="30"/>
        <v>0</v>
      </c>
      <c r="EF38" s="659">
        <f t="shared" si="30"/>
        <v>0</v>
      </c>
      <c r="EG38" s="659">
        <f t="shared" si="30"/>
        <v>108421</v>
      </c>
      <c r="EH38" s="659">
        <f t="shared" si="30"/>
        <v>0</v>
      </c>
      <c r="EI38" s="659">
        <f t="shared" si="30"/>
        <v>0</v>
      </c>
      <c r="EJ38" s="659">
        <f t="shared" si="30"/>
        <v>104933</v>
      </c>
      <c r="EK38" s="659">
        <f t="shared" si="30"/>
        <v>5559</v>
      </c>
      <c r="EL38" s="659">
        <f t="shared" si="30"/>
        <v>0</v>
      </c>
      <c r="EM38" s="659">
        <f t="shared" si="30"/>
        <v>0</v>
      </c>
      <c r="EN38" s="659">
        <f t="shared" si="30"/>
        <v>78133</v>
      </c>
      <c r="EO38" s="659">
        <f t="shared" si="30"/>
        <v>0</v>
      </c>
      <c r="EP38" s="659">
        <f t="shared" si="30"/>
        <v>0</v>
      </c>
      <c r="EQ38" s="659">
        <f t="shared" si="30"/>
        <v>78133</v>
      </c>
    </row>
    <row r="39" spans="1:147" ht="20.7" customHeight="1" x14ac:dyDescent="0.3">
      <c r="A39" s="657" t="s">
        <v>1695</v>
      </c>
      <c r="B39" s="658" t="s">
        <v>269</v>
      </c>
      <c r="C39" s="659">
        <v>0</v>
      </c>
      <c r="D39" s="659">
        <v>0</v>
      </c>
      <c r="E39" s="659">
        <v>0</v>
      </c>
      <c r="F39" s="659">
        <v>0</v>
      </c>
      <c r="G39" s="659">
        <v>0</v>
      </c>
      <c r="H39" s="659">
        <v>0</v>
      </c>
      <c r="I39" s="659">
        <v>0</v>
      </c>
      <c r="J39" s="801">
        <v>0</v>
      </c>
      <c r="K39" s="659">
        <v>0</v>
      </c>
      <c r="L39" s="659">
        <v>0</v>
      </c>
      <c r="M39" s="659">
        <v>0</v>
      </c>
      <c r="N39" s="659">
        <v>0</v>
      </c>
      <c r="O39" s="659">
        <v>0</v>
      </c>
      <c r="P39" s="659">
        <v>0</v>
      </c>
      <c r="Q39" s="801">
        <v>0</v>
      </c>
      <c r="R39" s="659">
        <v>0</v>
      </c>
      <c r="S39" s="659">
        <v>0</v>
      </c>
      <c r="T39" s="659">
        <v>0</v>
      </c>
      <c r="U39" s="659">
        <v>0</v>
      </c>
      <c r="V39" s="659">
        <v>0</v>
      </c>
      <c r="W39" s="801">
        <v>0</v>
      </c>
      <c r="X39" s="659">
        <v>0</v>
      </c>
      <c r="Y39" s="659">
        <v>0</v>
      </c>
      <c r="Z39" s="659">
        <v>0</v>
      </c>
      <c r="AA39" s="659">
        <v>0</v>
      </c>
      <c r="AB39" s="659">
        <v>0</v>
      </c>
      <c r="AC39" s="659">
        <v>0</v>
      </c>
      <c r="AD39" s="801">
        <v>0</v>
      </c>
      <c r="AE39" s="659">
        <v>0</v>
      </c>
      <c r="AF39" s="659">
        <v>0</v>
      </c>
      <c r="AG39" s="659">
        <v>0</v>
      </c>
      <c r="AH39" s="659">
        <v>0</v>
      </c>
      <c r="AI39" s="659">
        <v>0</v>
      </c>
      <c r="AJ39" s="659">
        <v>0</v>
      </c>
      <c r="AK39" s="801">
        <v>0</v>
      </c>
      <c r="AL39" s="659">
        <v>0</v>
      </c>
      <c r="AM39" s="659">
        <v>0</v>
      </c>
      <c r="AN39" s="659">
        <v>0</v>
      </c>
      <c r="AO39" s="659">
        <v>0</v>
      </c>
      <c r="AP39" s="659">
        <v>0</v>
      </c>
      <c r="AQ39" s="801">
        <v>0</v>
      </c>
      <c r="AR39" s="659">
        <v>0</v>
      </c>
      <c r="AS39" s="659">
        <v>0</v>
      </c>
      <c r="AT39" s="659">
        <v>0</v>
      </c>
      <c r="AU39" s="659">
        <v>0</v>
      </c>
      <c r="AV39" s="659">
        <v>0</v>
      </c>
      <c r="AW39" s="659">
        <v>0</v>
      </c>
      <c r="AX39" s="659">
        <v>0</v>
      </c>
      <c r="AY39" s="659">
        <v>0</v>
      </c>
      <c r="AZ39" s="659">
        <v>0</v>
      </c>
      <c r="BA39" s="659">
        <v>0</v>
      </c>
      <c r="BB39" s="659">
        <v>0</v>
      </c>
      <c r="BC39" s="659">
        <v>0</v>
      </c>
      <c r="BD39" s="659">
        <v>0</v>
      </c>
      <c r="BE39" s="801">
        <v>0</v>
      </c>
      <c r="BF39" s="659">
        <v>0</v>
      </c>
      <c r="BG39" s="659">
        <v>0</v>
      </c>
      <c r="BH39" s="659">
        <v>0</v>
      </c>
      <c r="BI39" s="659">
        <v>0</v>
      </c>
      <c r="BJ39" s="659">
        <v>0</v>
      </c>
      <c r="BK39" s="659">
        <v>0</v>
      </c>
      <c r="BL39" s="659">
        <v>0</v>
      </c>
      <c r="BM39" s="659">
        <v>0</v>
      </c>
      <c r="BN39" s="659">
        <v>0</v>
      </c>
      <c r="BO39" s="659">
        <v>0</v>
      </c>
      <c r="BP39" s="659">
        <v>0</v>
      </c>
      <c r="BQ39" s="659">
        <v>0</v>
      </c>
      <c r="BR39" s="659">
        <v>0</v>
      </c>
      <c r="BS39" s="659">
        <v>0</v>
      </c>
      <c r="BT39" s="659">
        <v>0</v>
      </c>
      <c r="BU39" s="659">
        <v>0</v>
      </c>
      <c r="BV39" s="659">
        <v>0</v>
      </c>
      <c r="BW39" s="659">
        <v>0</v>
      </c>
      <c r="BX39" s="659">
        <v>0</v>
      </c>
      <c r="BY39" s="659">
        <v>0</v>
      </c>
      <c r="BZ39" s="659">
        <v>0</v>
      </c>
      <c r="CA39" s="659">
        <v>0</v>
      </c>
      <c r="CB39" s="659">
        <v>0</v>
      </c>
      <c r="CC39" s="659">
        <v>0</v>
      </c>
      <c r="CD39" s="659">
        <v>0</v>
      </c>
      <c r="CE39" s="659">
        <v>0</v>
      </c>
      <c r="CF39" s="659">
        <v>0</v>
      </c>
      <c r="CG39" s="659">
        <v>0</v>
      </c>
      <c r="CH39" s="659">
        <v>0</v>
      </c>
      <c r="CI39" s="659">
        <v>0</v>
      </c>
      <c r="CJ39" s="659">
        <v>0</v>
      </c>
      <c r="CK39" s="659">
        <v>0</v>
      </c>
      <c r="CL39" s="659">
        <v>0</v>
      </c>
      <c r="CM39" s="659">
        <v>0</v>
      </c>
      <c r="CN39" s="659">
        <v>0</v>
      </c>
      <c r="CO39" s="659">
        <v>0</v>
      </c>
      <c r="CP39" s="659">
        <v>0</v>
      </c>
      <c r="CQ39" s="659">
        <v>0</v>
      </c>
      <c r="CR39" s="659">
        <v>0</v>
      </c>
      <c r="CS39" s="659">
        <v>0</v>
      </c>
      <c r="CT39" s="659">
        <v>0</v>
      </c>
      <c r="CU39" s="659">
        <v>0</v>
      </c>
      <c r="CV39" s="659">
        <v>0</v>
      </c>
      <c r="CW39" s="659">
        <v>0</v>
      </c>
      <c r="CX39" s="659">
        <v>0</v>
      </c>
      <c r="CY39" s="659">
        <v>0</v>
      </c>
      <c r="CZ39" s="659">
        <v>0</v>
      </c>
      <c r="DA39" s="659">
        <v>0</v>
      </c>
      <c r="DB39" s="659">
        <v>0</v>
      </c>
      <c r="DC39" s="659">
        <v>0</v>
      </c>
      <c r="DD39" s="659">
        <v>0</v>
      </c>
      <c r="DE39" s="659">
        <v>0</v>
      </c>
      <c r="DF39" s="659">
        <v>0</v>
      </c>
      <c r="DG39" s="659">
        <v>0</v>
      </c>
      <c r="DH39" s="659">
        <v>0</v>
      </c>
      <c r="DI39" s="659">
        <v>0</v>
      </c>
      <c r="DJ39" s="659">
        <v>0</v>
      </c>
      <c r="DK39" s="659">
        <v>0</v>
      </c>
      <c r="DL39" s="659">
        <v>0</v>
      </c>
      <c r="DM39" s="659">
        <v>0</v>
      </c>
      <c r="DN39" s="659">
        <v>0</v>
      </c>
      <c r="DO39" s="659">
        <v>0</v>
      </c>
      <c r="DP39" s="659">
        <v>0</v>
      </c>
      <c r="DQ39" s="659">
        <v>0</v>
      </c>
      <c r="DR39" s="659">
        <v>0</v>
      </c>
      <c r="DS39" s="659">
        <v>0</v>
      </c>
      <c r="DT39" s="659">
        <v>0</v>
      </c>
      <c r="DU39" s="659">
        <v>0</v>
      </c>
      <c r="DV39" s="659">
        <v>0</v>
      </c>
      <c r="DW39" s="659">
        <v>0</v>
      </c>
      <c r="DX39" s="659">
        <v>0</v>
      </c>
      <c r="DY39" s="659">
        <v>0</v>
      </c>
      <c r="DZ39" s="659">
        <v>0</v>
      </c>
      <c r="EA39" s="659">
        <v>0</v>
      </c>
      <c r="EB39" s="659">
        <v>0</v>
      </c>
      <c r="EC39" s="659">
        <v>0</v>
      </c>
      <c r="ED39" s="659">
        <v>0</v>
      </c>
      <c r="EE39" s="659">
        <v>0</v>
      </c>
      <c r="EF39" s="659">
        <v>0</v>
      </c>
      <c r="EG39" s="659">
        <v>0</v>
      </c>
      <c r="EH39" s="659">
        <v>0</v>
      </c>
      <c r="EI39" s="659">
        <v>0</v>
      </c>
      <c r="EJ39" s="659">
        <v>0</v>
      </c>
      <c r="EK39" s="659">
        <v>0</v>
      </c>
      <c r="EL39" s="659">
        <v>0</v>
      </c>
      <c r="EM39" s="659">
        <v>0</v>
      </c>
      <c r="EN39" s="659">
        <v>0</v>
      </c>
      <c r="EO39" s="659">
        <v>0</v>
      </c>
      <c r="EP39" s="659">
        <v>0</v>
      </c>
      <c r="EQ39" s="659">
        <v>0</v>
      </c>
    </row>
    <row r="40" spans="1:147" ht="13.95" customHeight="1" x14ac:dyDescent="0.3">
      <c r="A40" s="657" t="s">
        <v>1696</v>
      </c>
      <c r="B40" s="658" t="s">
        <v>269</v>
      </c>
      <c r="C40" s="659">
        <v>14880</v>
      </c>
      <c r="D40" s="659">
        <v>0</v>
      </c>
      <c r="E40" s="659">
        <v>0</v>
      </c>
      <c r="F40" s="659">
        <v>434071</v>
      </c>
      <c r="G40" s="659">
        <v>0</v>
      </c>
      <c r="H40" s="659">
        <v>0</v>
      </c>
      <c r="I40" s="659">
        <v>428307</v>
      </c>
      <c r="J40" s="801">
        <v>678</v>
      </c>
      <c r="K40" s="659">
        <v>0</v>
      </c>
      <c r="L40" s="659">
        <v>0</v>
      </c>
      <c r="M40" s="659">
        <v>15669</v>
      </c>
      <c r="N40" s="659">
        <v>0</v>
      </c>
      <c r="O40" s="659">
        <v>0</v>
      </c>
      <c r="P40" s="659">
        <v>15669</v>
      </c>
      <c r="Q40" s="801">
        <v>0</v>
      </c>
      <c r="R40" s="659">
        <v>0</v>
      </c>
      <c r="S40" s="659">
        <v>0</v>
      </c>
      <c r="T40" s="659">
        <v>0</v>
      </c>
      <c r="U40" s="659">
        <v>0</v>
      </c>
      <c r="V40" s="659">
        <v>0</v>
      </c>
      <c r="W40" s="801">
        <v>0</v>
      </c>
      <c r="X40" s="659">
        <v>0</v>
      </c>
      <c r="Y40" s="659">
        <v>0</v>
      </c>
      <c r="Z40" s="659">
        <v>0</v>
      </c>
      <c r="AA40" s="659">
        <v>0</v>
      </c>
      <c r="AB40" s="659">
        <v>0</v>
      </c>
      <c r="AC40" s="659">
        <v>0</v>
      </c>
      <c r="AD40" s="801">
        <v>4956</v>
      </c>
      <c r="AE40" s="659">
        <v>0</v>
      </c>
      <c r="AF40" s="659">
        <v>0</v>
      </c>
      <c r="AG40" s="659">
        <v>163132</v>
      </c>
      <c r="AH40" s="659">
        <v>0</v>
      </c>
      <c r="AI40" s="659">
        <v>0</v>
      </c>
      <c r="AJ40" s="659">
        <v>163132</v>
      </c>
      <c r="AK40" s="801">
        <v>0</v>
      </c>
      <c r="AL40" s="659">
        <v>0</v>
      </c>
      <c r="AM40" s="659">
        <v>0</v>
      </c>
      <c r="AN40" s="659">
        <v>0</v>
      </c>
      <c r="AO40" s="659">
        <v>0</v>
      </c>
      <c r="AP40" s="659">
        <v>0</v>
      </c>
      <c r="AQ40" s="801">
        <v>1844</v>
      </c>
      <c r="AR40" s="659">
        <v>0</v>
      </c>
      <c r="AS40" s="659">
        <v>0</v>
      </c>
      <c r="AT40" s="659">
        <v>67380</v>
      </c>
      <c r="AU40" s="659">
        <v>0</v>
      </c>
      <c r="AV40" s="659">
        <v>0</v>
      </c>
      <c r="AW40" s="659">
        <v>64011</v>
      </c>
      <c r="AX40" s="659">
        <v>1403</v>
      </c>
      <c r="AY40" s="659">
        <v>0</v>
      </c>
      <c r="AZ40" s="659">
        <v>0</v>
      </c>
      <c r="BA40" s="659">
        <v>48623</v>
      </c>
      <c r="BB40" s="659">
        <v>0</v>
      </c>
      <c r="BC40" s="659">
        <v>0</v>
      </c>
      <c r="BD40" s="659">
        <v>47148</v>
      </c>
      <c r="BE40" s="801">
        <v>2774</v>
      </c>
      <c r="BF40" s="659">
        <v>0</v>
      </c>
      <c r="BG40" s="659">
        <v>0</v>
      </c>
      <c r="BH40" s="659">
        <v>78867</v>
      </c>
      <c r="BI40" s="659">
        <v>0</v>
      </c>
      <c r="BJ40" s="659">
        <v>0</v>
      </c>
      <c r="BK40" s="659">
        <v>78867</v>
      </c>
      <c r="BL40" s="659">
        <v>184</v>
      </c>
      <c r="BM40" s="659">
        <v>0</v>
      </c>
      <c r="BN40" s="659">
        <v>0</v>
      </c>
      <c r="BO40" s="659">
        <v>3524</v>
      </c>
      <c r="BP40" s="659">
        <v>0</v>
      </c>
      <c r="BQ40" s="659">
        <v>0</v>
      </c>
      <c r="BR40" s="659">
        <v>3508</v>
      </c>
      <c r="BS40" s="659">
        <v>60</v>
      </c>
      <c r="BT40" s="659">
        <v>0</v>
      </c>
      <c r="BU40" s="659">
        <v>0</v>
      </c>
      <c r="BV40" s="659">
        <v>1200</v>
      </c>
      <c r="BW40" s="659">
        <v>0</v>
      </c>
      <c r="BX40" s="659">
        <v>0</v>
      </c>
      <c r="BY40" s="659">
        <v>1200</v>
      </c>
      <c r="BZ40" s="659">
        <v>1712</v>
      </c>
      <c r="CA40" s="659">
        <v>0</v>
      </c>
      <c r="CB40" s="659">
        <v>0</v>
      </c>
      <c r="CC40" s="659">
        <v>32115</v>
      </c>
      <c r="CD40" s="659">
        <v>0</v>
      </c>
      <c r="CE40" s="659">
        <v>0</v>
      </c>
      <c r="CF40" s="659">
        <v>31860</v>
      </c>
      <c r="CG40" s="659">
        <v>100</v>
      </c>
      <c r="CH40" s="659">
        <v>0</v>
      </c>
      <c r="CI40" s="659">
        <v>0</v>
      </c>
      <c r="CJ40" s="659">
        <v>2100</v>
      </c>
      <c r="CK40" s="659">
        <v>0</v>
      </c>
      <c r="CL40" s="659">
        <v>0</v>
      </c>
      <c r="CM40" s="659">
        <v>1900</v>
      </c>
      <c r="CN40" s="659">
        <v>123</v>
      </c>
      <c r="CO40" s="659">
        <v>0</v>
      </c>
      <c r="CP40" s="659">
        <v>0</v>
      </c>
      <c r="CQ40" s="659">
        <v>3200</v>
      </c>
      <c r="CR40" s="659">
        <v>0</v>
      </c>
      <c r="CS40" s="659">
        <v>0</v>
      </c>
      <c r="CT40" s="659">
        <v>3200</v>
      </c>
      <c r="CU40" s="659">
        <v>170</v>
      </c>
      <c r="CV40" s="659">
        <v>0</v>
      </c>
      <c r="CW40" s="659">
        <v>0</v>
      </c>
      <c r="CX40" s="659">
        <v>3400</v>
      </c>
      <c r="CY40" s="659">
        <v>0</v>
      </c>
      <c r="CZ40" s="659">
        <v>0</v>
      </c>
      <c r="DA40" s="659">
        <v>3400</v>
      </c>
      <c r="DB40" s="659">
        <v>6</v>
      </c>
      <c r="DC40" s="659">
        <v>0</v>
      </c>
      <c r="DD40" s="659">
        <v>0</v>
      </c>
      <c r="DE40" s="659">
        <v>120</v>
      </c>
      <c r="DF40" s="659">
        <v>0</v>
      </c>
      <c r="DG40" s="659">
        <v>0</v>
      </c>
      <c r="DH40" s="659">
        <v>120</v>
      </c>
      <c r="DI40" s="659">
        <v>490</v>
      </c>
      <c r="DJ40" s="659">
        <v>0</v>
      </c>
      <c r="DK40" s="659">
        <v>0</v>
      </c>
      <c r="DL40" s="659">
        <v>9600</v>
      </c>
      <c r="DM40" s="659">
        <v>0</v>
      </c>
      <c r="DN40" s="659">
        <v>0</v>
      </c>
      <c r="DO40" s="659">
        <v>9350</v>
      </c>
      <c r="DP40" s="659">
        <v>0</v>
      </c>
      <c r="DQ40" s="659">
        <v>0</v>
      </c>
      <c r="DR40" s="659">
        <v>0</v>
      </c>
      <c r="DS40" s="659">
        <v>0</v>
      </c>
      <c r="DT40" s="659">
        <v>0</v>
      </c>
      <c r="DU40" s="659">
        <v>0</v>
      </c>
      <c r="DV40" s="659">
        <v>0</v>
      </c>
      <c r="DW40" s="659">
        <v>80</v>
      </c>
      <c r="DX40" s="659">
        <v>0</v>
      </c>
      <c r="DY40" s="659">
        <v>0</v>
      </c>
      <c r="DZ40" s="659">
        <v>2223</v>
      </c>
      <c r="EA40" s="659">
        <v>0</v>
      </c>
      <c r="EB40" s="659">
        <v>0</v>
      </c>
      <c r="EC40" s="659">
        <v>2024</v>
      </c>
      <c r="ED40" s="659">
        <v>56</v>
      </c>
      <c r="EE40" s="659">
        <v>0</v>
      </c>
      <c r="EF40" s="659">
        <v>0</v>
      </c>
      <c r="EG40" s="659">
        <v>448</v>
      </c>
      <c r="EH40" s="659">
        <v>0</v>
      </c>
      <c r="EI40" s="659">
        <v>0</v>
      </c>
      <c r="EJ40" s="659">
        <v>448</v>
      </c>
      <c r="EK40" s="659">
        <v>244</v>
      </c>
      <c r="EL40" s="659">
        <v>0</v>
      </c>
      <c r="EM40" s="659">
        <v>0</v>
      </c>
      <c r="EN40" s="659">
        <v>2470</v>
      </c>
      <c r="EO40" s="659">
        <v>0</v>
      </c>
      <c r="EP40" s="659">
        <v>0</v>
      </c>
      <c r="EQ40" s="659">
        <v>2470</v>
      </c>
    </row>
    <row r="41" spans="1:147" ht="13.95" customHeight="1" x14ac:dyDescent="0.3">
      <c r="A41" s="657" t="s">
        <v>1697</v>
      </c>
      <c r="B41" s="658" t="s">
        <v>269</v>
      </c>
      <c r="C41" s="659">
        <v>8046</v>
      </c>
      <c r="D41" s="659">
        <v>0</v>
      </c>
      <c r="E41" s="659">
        <v>0</v>
      </c>
      <c r="F41" s="659">
        <v>277807</v>
      </c>
      <c r="G41" s="659">
        <v>0</v>
      </c>
      <c r="H41" s="659">
        <v>0</v>
      </c>
      <c r="I41" s="659">
        <v>271602</v>
      </c>
      <c r="J41" s="801">
        <v>975</v>
      </c>
      <c r="K41" s="659">
        <v>0</v>
      </c>
      <c r="L41" s="659">
        <v>0</v>
      </c>
      <c r="M41" s="659">
        <v>23969</v>
      </c>
      <c r="N41" s="659">
        <v>0</v>
      </c>
      <c r="O41" s="659">
        <v>0</v>
      </c>
      <c r="P41" s="659">
        <v>23969</v>
      </c>
      <c r="Q41" s="801">
        <v>0</v>
      </c>
      <c r="R41" s="659">
        <v>0</v>
      </c>
      <c r="S41" s="659">
        <v>0</v>
      </c>
      <c r="T41" s="659">
        <v>0</v>
      </c>
      <c r="U41" s="659">
        <v>0</v>
      </c>
      <c r="V41" s="659">
        <v>0</v>
      </c>
      <c r="W41" s="801">
        <v>0</v>
      </c>
      <c r="X41" s="659">
        <v>0</v>
      </c>
      <c r="Y41" s="659">
        <v>0</v>
      </c>
      <c r="Z41" s="659">
        <v>0</v>
      </c>
      <c r="AA41" s="659">
        <v>0</v>
      </c>
      <c r="AB41" s="659">
        <v>0</v>
      </c>
      <c r="AC41" s="659">
        <v>0</v>
      </c>
      <c r="AD41" s="801">
        <v>1183</v>
      </c>
      <c r="AE41" s="659">
        <v>0</v>
      </c>
      <c r="AF41" s="659">
        <v>0</v>
      </c>
      <c r="AG41" s="659">
        <v>48660</v>
      </c>
      <c r="AH41" s="659">
        <v>0</v>
      </c>
      <c r="AI41" s="659">
        <v>0</v>
      </c>
      <c r="AJ41" s="659">
        <v>48660</v>
      </c>
      <c r="AK41" s="801">
        <v>0</v>
      </c>
      <c r="AL41" s="659">
        <v>0</v>
      </c>
      <c r="AM41" s="659">
        <v>0</v>
      </c>
      <c r="AN41" s="659">
        <v>0</v>
      </c>
      <c r="AO41" s="659">
        <v>0</v>
      </c>
      <c r="AP41" s="659">
        <v>0</v>
      </c>
      <c r="AQ41" s="801">
        <v>1604</v>
      </c>
      <c r="AR41" s="659">
        <v>0</v>
      </c>
      <c r="AS41" s="659">
        <v>0</v>
      </c>
      <c r="AT41" s="659">
        <v>123920</v>
      </c>
      <c r="AU41" s="659">
        <v>0</v>
      </c>
      <c r="AV41" s="659">
        <v>0</v>
      </c>
      <c r="AW41" s="659">
        <v>118344</v>
      </c>
      <c r="AX41" s="659">
        <v>0</v>
      </c>
      <c r="AY41" s="659">
        <v>0</v>
      </c>
      <c r="AZ41" s="659">
        <v>0</v>
      </c>
      <c r="BA41" s="659">
        <v>0</v>
      </c>
      <c r="BB41" s="659">
        <v>0</v>
      </c>
      <c r="BC41" s="659">
        <v>0</v>
      </c>
      <c r="BD41" s="659">
        <v>0</v>
      </c>
      <c r="BE41" s="801">
        <v>1572</v>
      </c>
      <c r="BF41" s="659">
        <v>0</v>
      </c>
      <c r="BG41" s="659">
        <v>0</v>
      </c>
      <c r="BH41" s="659">
        <v>37361</v>
      </c>
      <c r="BI41" s="659">
        <v>0</v>
      </c>
      <c r="BJ41" s="659">
        <v>0</v>
      </c>
      <c r="BK41" s="659">
        <v>37361</v>
      </c>
      <c r="BL41" s="659">
        <v>154</v>
      </c>
      <c r="BM41" s="659">
        <v>0</v>
      </c>
      <c r="BN41" s="659">
        <v>0</v>
      </c>
      <c r="BO41" s="659">
        <v>3532</v>
      </c>
      <c r="BP41" s="659">
        <v>0</v>
      </c>
      <c r="BQ41" s="659">
        <v>0</v>
      </c>
      <c r="BR41" s="659">
        <v>3517</v>
      </c>
      <c r="BS41" s="659">
        <v>200</v>
      </c>
      <c r="BT41" s="659">
        <v>0</v>
      </c>
      <c r="BU41" s="659">
        <v>0</v>
      </c>
      <c r="BV41" s="659">
        <v>4000</v>
      </c>
      <c r="BW41" s="659">
        <v>0</v>
      </c>
      <c r="BX41" s="659">
        <v>0</v>
      </c>
      <c r="BY41" s="659">
        <v>4000</v>
      </c>
      <c r="BZ41" s="659">
        <v>744</v>
      </c>
      <c r="CA41" s="659">
        <v>0</v>
      </c>
      <c r="CB41" s="659">
        <v>0</v>
      </c>
      <c r="CC41" s="659">
        <v>8882</v>
      </c>
      <c r="CD41" s="659">
        <v>0</v>
      </c>
      <c r="CE41" s="659">
        <v>0</v>
      </c>
      <c r="CF41" s="659">
        <v>8856</v>
      </c>
      <c r="CG41" s="659">
        <v>12</v>
      </c>
      <c r="CH41" s="659">
        <v>0</v>
      </c>
      <c r="CI41" s="659">
        <v>0</v>
      </c>
      <c r="CJ41" s="659">
        <v>145</v>
      </c>
      <c r="CK41" s="659">
        <v>0</v>
      </c>
      <c r="CL41" s="659">
        <v>0</v>
      </c>
      <c r="CM41" s="659">
        <v>123</v>
      </c>
      <c r="CN41" s="659">
        <v>215</v>
      </c>
      <c r="CO41" s="659">
        <v>0</v>
      </c>
      <c r="CP41" s="659">
        <v>0</v>
      </c>
      <c r="CQ41" s="659">
        <v>5000</v>
      </c>
      <c r="CR41" s="659">
        <v>0</v>
      </c>
      <c r="CS41" s="659">
        <v>0</v>
      </c>
      <c r="CT41" s="659">
        <v>5000</v>
      </c>
      <c r="CU41" s="659">
        <v>0</v>
      </c>
      <c r="CV41" s="659">
        <v>0</v>
      </c>
      <c r="CW41" s="659">
        <v>0</v>
      </c>
      <c r="CX41" s="659">
        <v>0</v>
      </c>
      <c r="CY41" s="659">
        <v>0</v>
      </c>
      <c r="CZ41" s="659">
        <v>0</v>
      </c>
      <c r="DA41" s="659">
        <v>0</v>
      </c>
      <c r="DB41" s="659">
        <v>0</v>
      </c>
      <c r="DC41" s="659">
        <v>0</v>
      </c>
      <c r="DD41" s="659">
        <v>0</v>
      </c>
      <c r="DE41" s="659">
        <v>0</v>
      </c>
      <c r="DF41" s="659">
        <v>0</v>
      </c>
      <c r="DG41" s="659">
        <v>0</v>
      </c>
      <c r="DH41" s="659">
        <v>0</v>
      </c>
      <c r="DI41" s="659">
        <v>695</v>
      </c>
      <c r="DJ41" s="659">
        <v>0</v>
      </c>
      <c r="DK41" s="659">
        <v>0</v>
      </c>
      <c r="DL41" s="659">
        <v>10475</v>
      </c>
      <c r="DM41" s="659">
        <v>0</v>
      </c>
      <c r="DN41" s="659">
        <v>0</v>
      </c>
      <c r="DO41" s="659">
        <v>10115</v>
      </c>
      <c r="DP41" s="659">
        <v>0</v>
      </c>
      <c r="DQ41" s="659">
        <v>0</v>
      </c>
      <c r="DR41" s="659">
        <v>0</v>
      </c>
      <c r="DS41" s="659">
        <v>0</v>
      </c>
      <c r="DT41" s="659">
        <v>0</v>
      </c>
      <c r="DU41" s="659">
        <v>0</v>
      </c>
      <c r="DV41" s="659">
        <v>0</v>
      </c>
      <c r="DW41" s="659">
        <v>179</v>
      </c>
      <c r="DX41" s="659">
        <v>0</v>
      </c>
      <c r="DY41" s="659">
        <v>0</v>
      </c>
      <c r="DZ41" s="659">
        <v>4080</v>
      </c>
      <c r="EA41" s="659">
        <v>0</v>
      </c>
      <c r="EB41" s="659">
        <v>0</v>
      </c>
      <c r="EC41" s="659">
        <v>4009</v>
      </c>
      <c r="ED41" s="659">
        <v>93</v>
      </c>
      <c r="EE41" s="659">
        <v>0</v>
      </c>
      <c r="EF41" s="659">
        <v>0</v>
      </c>
      <c r="EG41" s="659">
        <v>1457</v>
      </c>
      <c r="EH41" s="659">
        <v>0</v>
      </c>
      <c r="EI41" s="659">
        <v>0</v>
      </c>
      <c r="EJ41" s="659">
        <v>1322</v>
      </c>
      <c r="EK41" s="659">
        <v>420</v>
      </c>
      <c r="EL41" s="659">
        <v>0</v>
      </c>
      <c r="EM41" s="659">
        <v>0</v>
      </c>
      <c r="EN41" s="659">
        <v>6326</v>
      </c>
      <c r="EO41" s="659">
        <v>0</v>
      </c>
      <c r="EP41" s="659">
        <v>0</v>
      </c>
      <c r="EQ41" s="659">
        <v>6326</v>
      </c>
    </row>
    <row r="42" spans="1:147" ht="13.95" customHeight="1" x14ac:dyDescent="0.3">
      <c r="A42" s="657" t="s">
        <v>1698</v>
      </c>
      <c r="B42" s="658" t="s">
        <v>269</v>
      </c>
      <c r="C42" s="659">
        <v>0</v>
      </c>
      <c r="D42" s="659">
        <v>0</v>
      </c>
      <c r="E42" s="659">
        <v>0</v>
      </c>
      <c r="F42" s="659">
        <v>0</v>
      </c>
      <c r="G42" s="659">
        <v>0</v>
      </c>
      <c r="H42" s="659">
        <v>0</v>
      </c>
      <c r="I42" s="659">
        <v>0</v>
      </c>
      <c r="J42" s="801">
        <v>0</v>
      </c>
      <c r="K42" s="659">
        <v>0</v>
      </c>
      <c r="L42" s="659">
        <v>0</v>
      </c>
      <c r="M42" s="659">
        <v>0</v>
      </c>
      <c r="N42" s="659">
        <v>0</v>
      </c>
      <c r="O42" s="659">
        <v>0</v>
      </c>
      <c r="P42" s="659">
        <v>0</v>
      </c>
      <c r="Q42" s="801">
        <v>0</v>
      </c>
      <c r="R42" s="659">
        <v>0</v>
      </c>
      <c r="S42" s="659">
        <v>0</v>
      </c>
      <c r="T42" s="659">
        <v>0</v>
      </c>
      <c r="U42" s="659">
        <v>0</v>
      </c>
      <c r="V42" s="659">
        <v>0</v>
      </c>
      <c r="W42" s="801">
        <v>0</v>
      </c>
      <c r="X42" s="659">
        <v>0</v>
      </c>
      <c r="Y42" s="659">
        <v>0</v>
      </c>
      <c r="Z42" s="659">
        <v>0</v>
      </c>
      <c r="AA42" s="659">
        <v>0</v>
      </c>
      <c r="AB42" s="659">
        <v>0</v>
      </c>
      <c r="AC42" s="659">
        <v>0</v>
      </c>
      <c r="AD42" s="801">
        <v>0</v>
      </c>
      <c r="AE42" s="659">
        <v>0</v>
      </c>
      <c r="AF42" s="659">
        <v>0</v>
      </c>
      <c r="AG42" s="659">
        <v>0</v>
      </c>
      <c r="AH42" s="659">
        <v>0</v>
      </c>
      <c r="AI42" s="659">
        <v>0</v>
      </c>
      <c r="AJ42" s="659">
        <v>0</v>
      </c>
      <c r="AK42" s="801">
        <v>0</v>
      </c>
      <c r="AL42" s="659">
        <v>0</v>
      </c>
      <c r="AM42" s="659">
        <v>0</v>
      </c>
      <c r="AN42" s="659">
        <v>0</v>
      </c>
      <c r="AO42" s="659">
        <v>0</v>
      </c>
      <c r="AP42" s="659">
        <v>0</v>
      </c>
      <c r="AQ42" s="801">
        <v>0</v>
      </c>
      <c r="AR42" s="659">
        <v>0</v>
      </c>
      <c r="AS42" s="659">
        <v>0</v>
      </c>
      <c r="AT42" s="659">
        <v>0</v>
      </c>
      <c r="AU42" s="659">
        <v>0</v>
      </c>
      <c r="AV42" s="659">
        <v>0</v>
      </c>
      <c r="AW42" s="659">
        <v>0</v>
      </c>
      <c r="AX42" s="659">
        <v>0</v>
      </c>
      <c r="AY42" s="659">
        <v>0</v>
      </c>
      <c r="AZ42" s="659">
        <v>0</v>
      </c>
      <c r="BA42" s="659">
        <v>0</v>
      </c>
      <c r="BB42" s="659">
        <v>0</v>
      </c>
      <c r="BC42" s="659">
        <v>0</v>
      </c>
      <c r="BD42" s="659">
        <v>0</v>
      </c>
      <c r="BE42" s="801">
        <v>0</v>
      </c>
      <c r="BF42" s="659">
        <v>0</v>
      </c>
      <c r="BG42" s="659">
        <v>0</v>
      </c>
      <c r="BH42" s="659">
        <v>0</v>
      </c>
      <c r="BI42" s="659">
        <v>0</v>
      </c>
      <c r="BJ42" s="659">
        <v>0</v>
      </c>
      <c r="BK42" s="659">
        <v>0</v>
      </c>
      <c r="BL42" s="659">
        <v>0</v>
      </c>
      <c r="BM42" s="659">
        <v>0</v>
      </c>
      <c r="BN42" s="659">
        <v>0</v>
      </c>
      <c r="BO42" s="659">
        <v>0</v>
      </c>
      <c r="BP42" s="659">
        <v>0</v>
      </c>
      <c r="BQ42" s="659">
        <v>0</v>
      </c>
      <c r="BR42" s="659">
        <v>0</v>
      </c>
      <c r="BS42" s="659">
        <v>0</v>
      </c>
      <c r="BT42" s="659">
        <v>0</v>
      </c>
      <c r="BU42" s="659">
        <v>0</v>
      </c>
      <c r="BV42" s="659">
        <v>0</v>
      </c>
      <c r="BW42" s="659">
        <v>0</v>
      </c>
      <c r="BX42" s="659">
        <v>0</v>
      </c>
      <c r="BY42" s="659">
        <v>0</v>
      </c>
      <c r="BZ42" s="659">
        <v>0</v>
      </c>
      <c r="CA42" s="659">
        <v>0</v>
      </c>
      <c r="CB42" s="659">
        <v>0</v>
      </c>
      <c r="CC42" s="659">
        <v>0</v>
      </c>
      <c r="CD42" s="659">
        <v>0</v>
      </c>
      <c r="CE42" s="659">
        <v>0</v>
      </c>
      <c r="CF42" s="659">
        <v>0</v>
      </c>
      <c r="CG42" s="659">
        <v>0</v>
      </c>
      <c r="CH42" s="659">
        <v>0</v>
      </c>
      <c r="CI42" s="659">
        <v>0</v>
      </c>
      <c r="CJ42" s="659">
        <v>0</v>
      </c>
      <c r="CK42" s="659">
        <v>0</v>
      </c>
      <c r="CL42" s="659">
        <v>0</v>
      </c>
      <c r="CM42" s="659">
        <v>0</v>
      </c>
      <c r="CN42" s="659">
        <v>0</v>
      </c>
      <c r="CO42" s="659">
        <v>0</v>
      </c>
      <c r="CP42" s="659">
        <v>0</v>
      </c>
      <c r="CQ42" s="659">
        <v>0</v>
      </c>
      <c r="CR42" s="659">
        <v>0</v>
      </c>
      <c r="CS42" s="659">
        <v>0</v>
      </c>
      <c r="CT42" s="659">
        <v>0</v>
      </c>
      <c r="CU42" s="659">
        <v>0</v>
      </c>
      <c r="CV42" s="659">
        <v>0</v>
      </c>
      <c r="CW42" s="659">
        <v>0</v>
      </c>
      <c r="CX42" s="659">
        <v>0</v>
      </c>
      <c r="CY42" s="659">
        <v>0</v>
      </c>
      <c r="CZ42" s="659">
        <v>0</v>
      </c>
      <c r="DA42" s="659">
        <v>0</v>
      </c>
      <c r="DB42" s="659">
        <v>0</v>
      </c>
      <c r="DC42" s="659">
        <v>0</v>
      </c>
      <c r="DD42" s="659">
        <v>0</v>
      </c>
      <c r="DE42" s="659">
        <v>0</v>
      </c>
      <c r="DF42" s="659">
        <v>0</v>
      </c>
      <c r="DG42" s="659">
        <v>0</v>
      </c>
      <c r="DH42" s="659">
        <v>0</v>
      </c>
      <c r="DI42" s="659">
        <v>0</v>
      </c>
      <c r="DJ42" s="659">
        <v>0</v>
      </c>
      <c r="DK42" s="659">
        <v>0</v>
      </c>
      <c r="DL42" s="659">
        <v>0</v>
      </c>
      <c r="DM42" s="659">
        <v>0</v>
      </c>
      <c r="DN42" s="659">
        <v>0</v>
      </c>
      <c r="DO42" s="659">
        <v>0</v>
      </c>
      <c r="DP42" s="659">
        <v>0</v>
      </c>
      <c r="DQ42" s="659">
        <v>0</v>
      </c>
      <c r="DR42" s="659">
        <v>0</v>
      </c>
      <c r="DS42" s="659">
        <v>0</v>
      </c>
      <c r="DT42" s="659">
        <v>0</v>
      </c>
      <c r="DU42" s="659">
        <v>0</v>
      </c>
      <c r="DV42" s="659">
        <v>0</v>
      </c>
      <c r="DW42" s="659">
        <v>0</v>
      </c>
      <c r="DX42" s="659">
        <v>0</v>
      </c>
      <c r="DY42" s="659">
        <v>0</v>
      </c>
      <c r="DZ42" s="659">
        <v>0</v>
      </c>
      <c r="EA42" s="659">
        <v>0</v>
      </c>
      <c r="EB42" s="659">
        <v>0</v>
      </c>
      <c r="EC42" s="659">
        <v>0</v>
      </c>
      <c r="ED42" s="659">
        <v>0</v>
      </c>
      <c r="EE42" s="659">
        <v>0</v>
      </c>
      <c r="EF42" s="659">
        <v>0</v>
      </c>
      <c r="EG42" s="659">
        <v>0</v>
      </c>
      <c r="EH42" s="659">
        <v>0</v>
      </c>
      <c r="EI42" s="659">
        <v>0</v>
      </c>
      <c r="EJ42" s="659">
        <v>0</v>
      </c>
      <c r="EK42" s="659">
        <v>0</v>
      </c>
      <c r="EL42" s="659">
        <v>0</v>
      </c>
      <c r="EM42" s="659">
        <v>0</v>
      </c>
      <c r="EN42" s="659">
        <v>0</v>
      </c>
      <c r="EO42" s="659">
        <v>0</v>
      </c>
      <c r="EP42" s="659">
        <v>0</v>
      </c>
      <c r="EQ42" s="659">
        <v>0</v>
      </c>
    </row>
    <row r="43" spans="1:147" ht="13.95" customHeight="1" x14ac:dyDescent="0.3">
      <c r="A43" s="657" t="s">
        <v>1699</v>
      </c>
      <c r="B43" s="658" t="s">
        <v>269</v>
      </c>
      <c r="C43" s="659">
        <v>5587</v>
      </c>
      <c r="D43" s="659">
        <v>0</v>
      </c>
      <c r="E43" s="659">
        <v>0</v>
      </c>
      <c r="F43" s="659">
        <v>117822</v>
      </c>
      <c r="G43" s="659">
        <v>0</v>
      </c>
      <c r="H43" s="659">
        <v>0</v>
      </c>
      <c r="I43" s="659">
        <v>116447</v>
      </c>
      <c r="J43" s="801">
        <v>1712</v>
      </c>
      <c r="K43" s="659">
        <v>0</v>
      </c>
      <c r="L43" s="659">
        <v>0</v>
      </c>
      <c r="M43" s="659">
        <v>37906</v>
      </c>
      <c r="N43" s="659">
        <v>0</v>
      </c>
      <c r="O43" s="659">
        <v>0</v>
      </c>
      <c r="P43" s="659">
        <v>37876</v>
      </c>
      <c r="Q43" s="801">
        <v>0</v>
      </c>
      <c r="R43" s="659">
        <v>0</v>
      </c>
      <c r="S43" s="659">
        <v>0</v>
      </c>
      <c r="T43" s="659">
        <v>0</v>
      </c>
      <c r="U43" s="659">
        <v>0</v>
      </c>
      <c r="V43" s="659">
        <v>0</v>
      </c>
      <c r="W43" s="801">
        <v>17</v>
      </c>
      <c r="X43" s="659">
        <v>0</v>
      </c>
      <c r="Y43" s="659">
        <v>0</v>
      </c>
      <c r="Z43" s="659">
        <v>1190</v>
      </c>
      <c r="AA43" s="659">
        <v>0</v>
      </c>
      <c r="AB43" s="659">
        <v>0</v>
      </c>
      <c r="AC43" s="659">
        <v>1000</v>
      </c>
      <c r="AD43" s="801">
        <v>621</v>
      </c>
      <c r="AE43" s="659">
        <v>0</v>
      </c>
      <c r="AF43" s="659">
        <v>0</v>
      </c>
      <c r="AG43" s="659">
        <v>15736</v>
      </c>
      <c r="AH43" s="659">
        <v>0</v>
      </c>
      <c r="AI43" s="659">
        <v>0</v>
      </c>
      <c r="AJ43" s="659">
        <v>15736</v>
      </c>
      <c r="AK43" s="801">
        <v>0</v>
      </c>
      <c r="AL43" s="659">
        <v>0</v>
      </c>
      <c r="AM43" s="659">
        <v>0</v>
      </c>
      <c r="AN43" s="659">
        <v>0</v>
      </c>
      <c r="AO43" s="659">
        <v>0</v>
      </c>
      <c r="AP43" s="659">
        <v>0</v>
      </c>
      <c r="AQ43" s="801">
        <v>54</v>
      </c>
      <c r="AR43" s="659">
        <v>0</v>
      </c>
      <c r="AS43" s="659">
        <v>0</v>
      </c>
      <c r="AT43" s="659">
        <v>1445</v>
      </c>
      <c r="AU43" s="659">
        <v>0</v>
      </c>
      <c r="AV43" s="659">
        <v>0</v>
      </c>
      <c r="AW43" s="659">
        <v>1378</v>
      </c>
      <c r="AX43" s="659">
        <v>0</v>
      </c>
      <c r="AY43" s="659">
        <v>0</v>
      </c>
      <c r="AZ43" s="659">
        <v>0</v>
      </c>
      <c r="BA43" s="659">
        <v>0</v>
      </c>
      <c r="BB43" s="659">
        <v>0</v>
      </c>
      <c r="BC43" s="659">
        <v>0</v>
      </c>
      <c r="BD43" s="659">
        <v>0</v>
      </c>
      <c r="BE43" s="801">
        <v>206</v>
      </c>
      <c r="BF43" s="659">
        <v>0</v>
      </c>
      <c r="BG43" s="659">
        <v>0</v>
      </c>
      <c r="BH43" s="659">
        <v>6257</v>
      </c>
      <c r="BI43" s="659">
        <v>0</v>
      </c>
      <c r="BJ43" s="659">
        <v>0</v>
      </c>
      <c r="BK43" s="659">
        <v>6257</v>
      </c>
      <c r="BL43" s="659">
        <v>328</v>
      </c>
      <c r="BM43" s="659">
        <v>0</v>
      </c>
      <c r="BN43" s="659">
        <v>0</v>
      </c>
      <c r="BO43" s="659">
        <v>6274</v>
      </c>
      <c r="BP43" s="659">
        <v>0</v>
      </c>
      <c r="BQ43" s="659">
        <v>0</v>
      </c>
      <c r="BR43" s="659">
        <v>6137</v>
      </c>
      <c r="BS43" s="659">
        <v>130</v>
      </c>
      <c r="BT43" s="659">
        <v>0</v>
      </c>
      <c r="BU43" s="659">
        <v>0</v>
      </c>
      <c r="BV43" s="659">
        <v>1600</v>
      </c>
      <c r="BW43" s="659">
        <v>0</v>
      </c>
      <c r="BX43" s="659">
        <v>0</v>
      </c>
      <c r="BY43" s="659">
        <v>1600</v>
      </c>
      <c r="BZ43" s="659">
        <v>31</v>
      </c>
      <c r="CA43" s="659">
        <v>0</v>
      </c>
      <c r="CB43" s="659">
        <v>0</v>
      </c>
      <c r="CC43" s="659">
        <v>401</v>
      </c>
      <c r="CD43" s="659">
        <v>0</v>
      </c>
      <c r="CE43" s="659">
        <v>0</v>
      </c>
      <c r="CF43" s="659">
        <v>388</v>
      </c>
      <c r="CG43" s="659">
        <v>108</v>
      </c>
      <c r="CH43" s="659">
        <v>0</v>
      </c>
      <c r="CI43" s="659">
        <v>0</v>
      </c>
      <c r="CJ43" s="659">
        <v>1486</v>
      </c>
      <c r="CK43" s="659">
        <v>0</v>
      </c>
      <c r="CL43" s="659">
        <v>0</v>
      </c>
      <c r="CM43" s="659">
        <v>1437</v>
      </c>
      <c r="CN43" s="659">
        <v>196</v>
      </c>
      <c r="CO43" s="659">
        <v>0</v>
      </c>
      <c r="CP43" s="659">
        <v>0</v>
      </c>
      <c r="CQ43" s="659">
        <v>4837</v>
      </c>
      <c r="CR43" s="659">
        <v>0</v>
      </c>
      <c r="CS43" s="659">
        <v>0</v>
      </c>
      <c r="CT43" s="659">
        <v>4837</v>
      </c>
      <c r="CU43" s="659">
        <v>80</v>
      </c>
      <c r="CV43" s="659">
        <v>0</v>
      </c>
      <c r="CW43" s="659">
        <v>0</v>
      </c>
      <c r="CX43" s="659">
        <v>1440</v>
      </c>
      <c r="CY43" s="659">
        <v>0</v>
      </c>
      <c r="CZ43" s="659">
        <v>0</v>
      </c>
      <c r="DA43" s="659">
        <v>1440</v>
      </c>
      <c r="DB43" s="659">
        <v>508</v>
      </c>
      <c r="DC43" s="659">
        <v>0</v>
      </c>
      <c r="DD43" s="659">
        <v>0</v>
      </c>
      <c r="DE43" s="659">
        <v>12493</v>
      </c>
      <c r="DF43" s="659">
        <v>0</v>
      </c>
      <c r="DG43" s="659">
        <v>0</v>
      </c>
      <c r="DH43" s="659">
        <v>12233</v>
      </c>
      <c r="DI43" s="659">
        <v>395</v>
      </c>
      <c r="DJ43" s="659">
        <v>0</v>
      </c>
      <c r="DK43" s="659">
        <v>0</v>
      </c>
      <c r="DL43" s="659">
        <v>7440</v>
      </c>
      <c r="DM43" s="659">
        <v>0</v>
      </c>
      <c r="DN43" s="659">
        <v>0</v>
      </c>
      <c r="DO43" s="659">
        <v>7120</v>
      </c>
      <c r="DP43" s="659">
        <v>151</v>
      </c>
      <c r="DQ43" s="659">
        <v>0</v>
      </c>
      <c r="DR43" s="659">
        <v>0</v>
      </c>
      <c r="DS43" s="659">
        <v>1930</v>
      </c>
      <c r="DT43" s="659">
        <v>0</v>
      </c>
      <c r="DU43" s="659">
        <v>0</v>
      </c>
      <c r="DV43" s="659">
        <v>1915</v>
      </c>
      <c r="DW43" s="659">
        <v>482</v>
      </c>
      <c r="DX43" s="659">
        <v>0</v>
      </c>
      <c r="DY43" s="659">
        <v>0</v>
      </c>
      <c r="DZ43" s="659">
        <v>11623</v>
      </c>
      <c r="EA43" s="659">
        <v>0</v>
      </c>
      <c r="EB43" s="659">
        <v>0</v>
      </c>
      <c r="EC43" s="659">
        <v>11407</v>
      </c>
      <c r="ED43" s="659">
        <v>133</v>
      </c>
      <c r="EE43" s="659">
        <v>0</v>
      </c>
      <c r="EF43" s="659">
        <v>0</v>
      </c>
      <c r="EG43" s="659">
        <v>1836</v>
      </c>
      <c r="EH43" s="659">
        <v>0</v>
      </c>
      <c r="EI43" s="659">
        <v>0</v>
      </c>
      <c r="EJ43" s="659">
        <v>1758</v>
      </c>
      <c r="EK43" s="659">
        <v>435</v>
      </c>
      <c r="EL43" s="659">
        <v>0</v>
      </c>
      <c r="EM43" s="659">
        <v>0</v>
      </c>
      <c r="EN43" s="659">
        <v>3928</v>
      </c>
      <c r="EO43" s="659">
        <v>0</v>
      </c>
      <c r="EP43" s="659">
        <v>0</v>
      </c>
      <c r="EQ43" s="659">
        <v>3928</v>
      </c>
    </row>
    <row r="44" spans="1:147" ht="13.95" customHeight="1" x14ac:dyDescent="0.3">
      <c r="A44" s="657" t="s">
        <v>1700</v>
      </c>
      <c r="B44" s="658" t="s">
        <v>269</v>
      </c>
      <c r="C44" s="659">
        <v>60007</v>
      </c>
      <c r="D44" s="659">
        <v>0</v>
      </c>
      <c r="E44" s="659">
        <v>0</v>
      </c>
      <c r="F44" s="659">
        <v>1213544</v>
      </c>
      <c r="G44" s="659">
        <v>0</v>
      </c>
      <c r="H44" s="659">
        <v>0</v>
      </c>
      <c r="I44" s="659">
        <v>1187854</v>
      </c>
      <c r="J44" s="801">
        <v>959</v>
      </c>
      <c r="K44" s="659">
        <v>0</v>
      </c>
      <c r="L44" s="659">
        <v>0</v>
      </c>
      <c r="M44" s="659">
        <v>16789</v>
      </c>
      <c r="N44" s="659">
        <v>0</v>
      </c>
      <c r="O44" s="659">
        <v>0</v>
      </c>
      <c r="P44" s="659">
        <v>16771</v>
      </c>
      <c r="Q44" s="801">
        <v>0</v>
      </c>
      <c r="R44" s="659">
        <v>0</v>
      </c>
      <c r="S44" s="659">
        <v>0</v>
      </c>
      <c r="T44" s="659">
        <v>0</v>
      </c>
      <c r="U44" s="659">
        <v>0</v>
      </c>
      <c r="V44" s="659">
        <v>0</v>
      </c>
      <c r="W44" s="801">
        <v>0</v>
      </c>
      <c r="X44" s="659">
        <v>0</v>
      </c>
      <c r="Y44" s="659">
        <v>0</v>
      </c>
      <c r="Z44" s="659">
        <v>0</v>
      </c>
      <c r="AA44" s="659">
        <v>0</v>
      </c>
      <c r="AB44" s="659">
        <v>0</v>
      </c>
      <c r="AC44" s="659">
        <v>0</v>
      </c>
      <c r="AD44" s="801">
        <v>171</v>
      </c>
      <c r="AE44" s="659">
        <v>0</v>
      </c>
      <c r="AF44" s="659">
        <v>0</v>
      </c>
      <c r="AG44" s="659">
        <v>7193</v>
      </c>
      <c r="AH44" s="659">
        <v>0</v>
      </c>
      <c r="AI44" s="659">
        <v>0</v>
      </c>
      <c r="AJ44" s="659">
        <v>7193</v>
      </c>
      <c r="AK44" s="801">
        <v>0</v>
      </c>
      <c r="AL44" s="659">
        <v>0</v>
      </c>
      <c r="AM44" s="659">
        <v>0</v>
      </c>
      <c r="AN44" s="659">
        <v>0</v>
      </c>
      <c r="AO44" s="659">
        <v>0</v>
      </c>
      <c r="AP44" s="659">
        <v>0</v>
      </c>
      <c r="AQ44" s="801">
        <v>5</v>
      </c>
      <c r="AR44" s="659">
        <v>0</v>
      </c>
      <c r="AS44" s="659">
        <v>0</v>
      </c>
      <c r="AT44" s="659">
        <v>225</v>
      </c>
      <c r="AU44" s="659">
        <v>0</v>
      </c>
      <c r="AV44" s="659">
        <v>0</v>
      </c>
      <c r="AW44" s="659">
        <v>220</v>
      </c>
      <c r="AX44" s="659">
        <v>0</v>
      </c>
      <c r="AY44" s="659">
        <v>0</v>
      </c>
      <c r="AZ44" s="659">
        <v>0</v>
      </c>
      <c r="BA44" s="659">
        <v>0</v>
      </c>
      <c r="BB44" s="659">
        <v>0</v>
      </c>
      <c r="BC44" s="659">
        <v>0</v>
      </c>
      <c r="BD44" s="659">
        <v>0</v>
      </c>
      <c r="BE44" s="801">
        <v>2942</v>
      </c>
      <c r="BF44" s="659">
        <v>0</v>
      </c>
      <c r="BG44" s="659">
        <v>0</v>
      </c>
      <c r="BH44" s="659">
        <v>66058</v>
      </c>
      <c r="BI44" s="659">
        <v>0</v>
      </c>
      <c r="BJ44" s="659">
        <v>0</v>
      </c>
      <c r="BK44" s="659">
        <v>66058</v>
      </c>
      <c r="BL44" s="659">
        <v>17194</v>
      </c>
      <c r="BM44" s="659">
        <v>0</v>
      </c>
      <c r="BN44" s="659">
        <v>0</v>
      </c>
      <c r="BO44" s="659">
        <v>361260</v>
      </c>
      <c r="BP44" s="659">
        <v>0</v>
      </c>
      <c r="BQ44" s="659">
        <v>0</v>
      </c>
      <c r="BR44" s="659">
        <v>350540</v>
      </c>
      <c r="BS44" s="659">
        <v>8950</v>
      </c>
      <c r="BT44" s="659">
        <v>0</v>
      </c>
      <c r="BU44" s="659">
        <v>0</v>
      </c>
      <c r="BV44" s="659">
        <v>138100</v>
      </c>
      <c r="BW44" s="659">
        <v>0</v>
      </c>
      <c r="BX44" s="659">
        <v>0</v>
      </c>
      <c r="BY44" s="659">
        <v>138100</v>
      </c>
      <c r="BZ44" s="659">
        <v>7053</v>
      </c>
      <c r="CA44" s="659">
        <v>0</v>
      </c>
      <c r="CB44" s="659">
        <v>0</v>
      </c>
      <c r="CC44" s="659">
        <v>152997</v>
      </c>
      <c r="CD44" s="659">
        <v>0</v>
      </c>
      <c r="CE44" s="659">
        <v>0</v>
      </c>
      <c r="CF44" s="659">
        <v>151422</v>
      </c>
      <c r="CG44" s="659">
        <v>1493</v>
      </c>
      <c r="CH44" s="659">
        <v>0</v>
      </c>
      <c r="CI44" s="659">
        <v>0</v>
      </c>
      <c r="CJ44" s="659">
        <v>23090</v>
      </c>
      <c r="CK44" s="659">
        <v>0</v>
      </c>
      <c r="CL44" s="659">
        <v>0</v>
      </c>
      <c r="CM44" s="659">
        <v>16740</v>
      </c>
      <c r="CN44" s="659">
        <v>3861</v>
      </c>
      <c r="CO44" s="659">
        <v>0</v>
      </c>
      <c r="CP44" s="659">
        <v>0</v>
      </c>
      <c r="CQ44" s="659">
        <v>139041</v>
      </c>
      <c r="CR44" s="659">
        <v>0</v>
      </c>
      <c r="CS44" s="659">
        <v>0</v>
      </c>
      <c r="CT44" s="659">
        <v>139041</v>
      </c>
      <c r="CU44" s="659">
        <v>285</v>
      </c>
      <c r="CV44" s="659">
        <v>0</v>
      </c>
      <c r="CW44" s="659">
        <v>0</v>
      </c>
      <c r="CX44" s="659">
        <v>5665</v>
      </c>
      <c r="CY44" s="659">
        <v>0</v>
      </c>
      <c r="CZ44" s="659">
        <v>0</v>
      </c>
      <c r="DA44" s="659">
        <v>5665</v>
      </c>
      <c r="DB44" s="659">
        <v>2480</v>
      </c>
      <c r="DC44" s="659">
        <v>0</v>
      </c>
      <c r="DD44" s="659">
        <v>0</v>
      </c>
      <c r="DE44" s="659">
        <v>47052</v>
      </c>
      <c r="DF44" s="659">
        <v>0</v>
      </c>
      <c r="DG44" s="659">
        <v>0</v>
      </c>
      <c r="DH44" s="659">
        <v>47052</v>
      </c>
      <c r="DI44" s="659">
        <v>6000</v>
      </c>
      <c r="DJ44" s="659">
        <v>0</v>
      </c>
      <c r="DK44" s="659">
        <v>0</v>
      </c>
      <c r="DL44" s="659">
        <v>100850</v>
      </c>
      <c r="DM44" s="659">
        <v>0</v>
      </c>
      <c r="DN44" s="659">
        <v>0</v>
      </c>
      <c r="DO44" s="659">
        <v>97485</v>
      </c>
      <c r="DP44" s="659">
        <v>0</v>
      </c>
      <c r="DQ44" s="659">
        <v>0</v>
      </c>
      <c r="DR44" s="659">
        <v>0</v>
      </c>
      <c r="DS44" s="659">
        <v>0</v>
      </c>
      <c r="DT44" s="659">
        <v>0</v>
      </c>
      <c r="DU44" s="659">
        <v>0</v>
      </c>
      <c r="DV44" s="659">
        <v>0</v>
      </c>
      <c r="DW44" s="659">
        <v>620</v>
      </c>
      <c r="DX44" s="659">
        <v>0</v>
      </c>
      <c r="DY44" s="659">
        <v>0</v>
      </c>
      <c r="DZ44" s="659">
        <v>18228</v>
      </c>
      <c r="EA44" s="659">
        <v>0</v>
      </c>
      <c r="EB44" s="659">
        <v>0</v>
      </c>
      <c r="EC44" s="659">
        <v>17521</v>
      </c>
      <c r="ED44" s="659">
        <v>4135</v>
      </c>
      <c r="EE44" s="659">
        <v>0</v>
      </c>
      <c r="EF44" s="659">
        <v>0</v>
      </c>
      <c r="EG44" s="659">
        <v>74672</v>
      </c>
      <c r="EH44" s="659">
        <v>0</v>
      </c>
      <c r="EI44" s="659">
        <v>0</v>
      </c>
      <c r="EJ44" s="659">
        <v>71722</v>
      </c>
      <c r="EK44" s="659">
        <v>3859</v>
      </c>
      <c r="EL44" s="659">
        <v>0</v>
      </c>
      <c r="EM44" s="659">
        <v>0</v>
      </c>
      <c r="EN44" s="659">
        <v>62324</v>
      </c>
      <c r="EO44" s="659">
        <v>0</v>
      </c>
      <c r="EP44" s="659">
        <v>0</v>
      </c>
      <c r="EQ44" s="659">
        <v>62324</v>
      </c>
    </row>
    <row r="45" spans="1:147" ht="13.95" customHeight="1" x14ac:dyDescent="0.3">
      <c r="A45" s="657" t="s">
        <v>1701</v>
      </c>
      <c r="B45" s="658" t="s">
        <v>269</v>
      </c>
      <c r="C45" s="659">
        <v>0</v>
      </c>
      <c r="D45" s="659">
        <v>0</v>
      </c>
      <c r="E45" s="659">
        <v>0</v>
      </c>
      <c r="F45" s="659">
        <v>0</v>
      </c>
      <c r="G45" s="659">
        <v>0</v>
      </c>
      <c r="H45" s="659">
        <v>0</v>
      </c>
      <c r="I45" s="659">
        <v>0</v>
      </c>
      <c r="J45" s="801">
        <v>0</v>
      </c>
      <c r="K45" s="659">
        <v>0</v>
      </c>
      <c r="L45" s="659">
        <v>0</v>
      </c>
      <c r="M45" s="659">
        <v>0</v>
      </c>
      <c r="N45" s="659">
        <v>0</v>
      </c>
      <c r="O45" s="659">
        <v>0</v>
      </c>
      <c r="P45" s="659">
        <v>0</v>
      </c>
      <c r="Q45" s="801">
        <v>0</v>
      </c>
      <c r="R45" s="659">
        <v>0</v>
      </c>
      <c r="S45" s="659">
        <v>0</v>
      </c>
      <c r="T45" s="659">
        <v>0</v>
      </c>
      <c r="U45" s="659">
        <v>0</v>
      </c>
      <c r="V45" s="659">
        <v>0</v>
      </c>
      <c r="W45" s="801">
        <v>0</v>
      </c>
      <c r="X45" s="659">
        <v>0</v>
      </c>
      <c r="Y45" s="659">
        <v>0</v>
      </c>
      <c r="Z45" s="659">
        <v>0</v>
      </c>
      <c r="AA45" s="659">
        <v>0</v>
      </c>
      <c r="AB45" s="659">
        <v>0</v>
      </c>
      <c r="AC45" s="659">
        <v>0</v>
      </c>
      <c r="AD45" s="801">
        <v>0</v>
      </c>
      <c r="AE45" s="659">
        <v>0</v>
      </c>
      <c r="AF45" s="659">
        <v>0</v>
      </c>
      <c r="AG45" s="659">
        <v>0</v>
      </c>
      <c r="AH45" s="659">
        <v>0</v>
      </c>
      <c r="AI45" s="659">
        <v>0</v>
      </c>
      <c r="AJ45" s="659">
        <v>0</v>
      </c>
      <c r="AK45" s="801">
        <v>0</v>
      </c>
      <c r="AL45" s="659">
        <v>0</v>
      </c>
      <c r="AM45" s="659">
        <v>0</v>
      </c>
      <c r="AN45" s="659">
        <v>0</v>
      </c>
      <c r="AO45" s="659">
        <v>0</v>
      </c>
      <c r="AP45" s="659">
        <v>0</v>
      </c>
      <c r="AQ45" s="801">
        <v>0</v>
      </c>
      <c r="AR45" s="659">
        <v>0</v>
      </c>
      <c r="AS45" s="659">
        <v>0</v>
      </c>
      <c r="AT45" s="659">
        <v>0</v>
      </c>
      <c r="AU45" s="659">
        <v>0</v>
      </c>
      <c r="AV45" s="659">
        <v>0</v>
      </c>
      <c r="AW45" s="659">
        <v>0</v>
      </c>
      <c r="AX45" s="659">
        <v>0</v>
      </c>
      <c r="AY45" s="659">
        <v>0</v>
      </c>
      <c r="AZ45" s="659">
        <v>0</v>
      </c>
      <c r="BA45" s="659">
        <v>0</v>
      </c>
      <c r="BB45" s="659">
        <v>0</v>
      </c>
      <c r="BC45" s="659">
        <v>0</v>
      </c>
      <c r="BD45" s="659">
        <v>0</v>
      </c>
      <c r="BE45" s="801">
        <v>0</v>
      </c>
      <c r="BF45" s="659">
        <v>0</v>
      </c>
      <c r="BG45" s="659">
        <v>0</v>
      </c>
      <c r="BH45" s="659">
        <v>0</v>
      </c>
      <c r="BI45" s="659">
        <v>0</v>
      </c>
      <c r="BJ45" s="659">
        <v>0</v>
      </c>
      <c r="BK45" s="659">
        <v>0</v>
      </c>
      <c r="BL45" s="659">
        <v>0</v>
      </c>
      <c r="BM45" s="659">
        <v>0</v>
      </c>
      <c r="BN45" s="659">
        <v>0</v>
      </c>
      <c r="BO45" s="659">
        <v>0</v>
      </c>
      <c r="BP45" s="659">
        <v>0</v>
      </c>
      <c r="BQ45" s="659">
        <v>0</v>
      </c>
      <c r="BR45" s="659">
        <v>0</v>
      </c>
      <c r="BS45" s="659">
        <v>0</v>
      </c>
      <c r="BT45" s="659">
        <v>0</v>
      </c>
      <c r="BU45" s="659">
        <v>0</v>
      </c>
      <c r="BV45" s="659">
        <v>0</v>
      </c>
      <c r="BW45" s="659">
        <v>0</v>
      </c>
      <c r="BX45" s="659">
        <v>0</v>
      </c>
      <c r="BY45" s="659">
        <v>0</v>
      </c>
      <c r="BZ45" s="659">
        <v>0</v>
      </c>
      <c r="CA45" s="659">
        <v>0</v>
      </c>
      <c r="CB45" s="659">
        <v>0</v>
      </c>
      <c r="CC45" s="659">
        <v>0</v>
      </c>
      <c r="CD45" s="659">
        <v>0</v>
      </c>
      <c r="CE45" s="659">
        <v>0</v>
      </c>
      <c r="CF45" s="659">
        <v>0</v>
      </c>
      <c r="CG45" s="659">
        <v>0</v>
      </c>
      <c r="CH45" s="659">
        <v>0</v>
      </c>
      <c r="CI45" s="659">
        <v>0</v>
      </c>
      <c r="CJ45" s="659">
        <v>0</v>
      </c>
      <c r="CK45" s="659">
        <v>0</v>
      </c>
      <c r="CL45" s="659">
        <v>0</v>
      </c>
      <c r="CM45" s="659">
        <v>0</v>
      </c>
      <c r="CN45" s="659">
        <v>0</v>
      </c>
      <c r="CO45" s="659">
        <v>0</v>
      </c>
      <c r="CP45" s="659">
        <v>0</v>
      </c>
      <c r="CQ45" s="659">
        <v>0</v>
      </c>
      <c r="CR45" s="659">
        <v>0</v>
      </c>
      <c r="CS45" s="659">
        <v>0</v>
      </c>
      <c r="CT45" s="659">
        <v>0</v>
      </c>
      <c r="CU45" s="659">
        <v>0</v>
      </c>
      <c r="CV45" s="659">
        <v>0</v>
      </c>
      <c r="CW45" s="659">
        <v>0</v>
      </c>
      <c r="CX45" s="659">
        <v>0</v>
      </c>
      <c r="CY45" s="659">
        <v>0</v>
      </c>
      <c r="CZ45" s="659">
        <v>0</v>
      </c>
      <c r="DA45" s="659">
        <v>0</v>
      </c>
      <c r="DB45" s="659">
        <v>0</v>
      </c>
      <c r="DC45" s="659">
        <v>0</v>
      </c>
      <c r="DD45" s="659">
        <v>0</v>
      </c>
      <c r="DE45" s="659">
        <v>0</v>
      </c>
      <c r="DF45" s="659">
        <v>0</v>
      </c>
      <c r="DG45" s="659">
        <v>0</v>
      </c>
      <c r="DH45" s="659">
        <v>0</v>
      </c>
      <c r="DI45" s="659">
        <v>0</v>
      </c>
      <c r="DJ45" s="659">
        <v>0</v>
      </c>
      <c r="DK45" s="659">
        <v>0</v>
      </c>
      <c r="DL45" s="659">
        <v>0</v>
      </c>
      <c r="DM45" s="659">
        <v>0</v>
      </c>
      <c r="DN45" s="659">
        <v>0</v>
      </c>
      <c r="DO45" s="659">
        <v>0</v>
      </c>
      <c r="DP45" s="659">
        <v>0</v>
      </c>
      <c r="DQ45" s="659">
        <v>0</v>
      </c>
      <c r="DR45" s="659">
        <v>0</v>
      </c>
      <c r="DS45" s="659">
        <v>0</v>
      </c>
      <c r="DT45" s="659">
        <v>0</v>
      </c>
      <c r="DU45" s="659">
        <v>0</v>
      </c>
      <c r="DV45" s="659">
        <v>0</v>
      </c>
      <c r="DW45" s="659">
        <v>0</v>
      </c>
      <c r="DX45" s="659">
        <v>0</v>
      </c>
      <c r="DY45" s="659">
        <v>0</v>
      </c>
      <c r="DZ45" s="659">
        <v>0</v>
      </c>
      <c r="EA45" s="659">
        <v>0</v>
      </c>
      <c r="EB45" s="659">
        <v>0</v>
      </c>
      <c r="EC45" s="659">
        <v>0</v>
      </c>
      <c r="ED45" s="659">
        <v>0</v>
      </c>
      <c r="EE45" s="659">
        <v>0</v>
      </c>
      <c r="EF45" s="659">
        <v>0</v>
      </c>
      <c r="EG45" s="659">
        <v>0</v>
      </c>
      <c r="EH45" s="659">
        <v>0</v>
      </c>
      <c r="EI45" s="659">
        <v>0</v>
      </c>
      <c r="EJ45" s="659">
        <v>0</v>
      </c>
      <c r="EK45" s="659">
        <v>0</v>
      </c>
      <c r="EL45" s="659">
        <v>0</v>
      </c>
      <c r="EM45" s="659">
        <v>0</v>
      </c>
      <c r="EN45" s="659">
        <v>0</v>
      </c>
      <c r="EO45" s="659">
        <v>0</v>
      </c>
      <c r="EP45" s="659">
        <v>0</v>
      </c>
      <c r="EQ45" s="659">
        <v>0</v>
      </c>
    </row>
    <row r="46" spans="1:147" ht="13.95" customHeight="1" x14ac:dyDescent="0.3">
      <c r="A46" s="657" t="s">
        <v>1702</v>
      </c>
      <c r="B46" s="658" t="s">
        <v>269</v>
      </c>
      <c r="C46" s="659">
        <v>5861</v>
      </c>
      <c r="D46" s="659">
        <v>0</v>
      </c>
      <c r="E46" s="659">
        <v>0</v>
      </c>
      <c r="F46" s="659">
        <v>53864</v>
      </c>
      <c r="G46" s="659">
        <v>0</v>
      </c>
      <c r="H46" s="659">
        <v>0</v>
      </c>
      <c r="I46" s="659">
        <v>52852</v>
      </c>
      <c r="J46" s="801">
        <v>6</v>
      </c>
      <c r="K46" s="659">
        <v>0</v>
      </c>
      <c r="L46" s="659">
        <v>0</v>
      </c>
      <c r="M46" s="659">
        <v>86</v>
      </c>
      <c r="N46" s="659">
        <v>0</v>
      </c>
      <c r="O46" s="659">
        <v>0</v>
      </c>
      <c r="P46" s="659">
        <v>86</v>
      </c>
      <c r="Q46" s="801">
        <v>0</v>
      </c>
      <c r="R46" s="659">
        <v>0</v>
      </c>
      <c r="S46" s="659">
        <v>0</v>
      </c>
      <c r="T46" s="659">
        <v>0</v>
      </c>
      <c r="U46" s="659">
        <v>0</v>
      </c>
      <c r="V46" s="659">
        <v>0</v>
      </c>
      <c r="W46" s="801">
        <v>0</v>
      </c>
      <c r="X46" s="659">
        <v>0</v>
      </c>
      <c r="Y46" s="659">
        <v>0</v>
      </c>
      <c r="Z46" s="659">
        <v>0</v>
      </c>
      <c r="AA46" s="659">
        <v>0</v>
      </c>
      <c r="AB46" s="659">
        <v>0</v>
      </c>
      <c r="AC46" s="659">
        <v>0</v>
      </c>
      <c r="AD46" s="801">
        <v>28</v>
      </c>
      <c r="AE46" s="659">
        <v>0</v>
      </c>
      <c r="AF46" s="659">
        <v>0</v>
      </c>
      <c r="AG46" s="659">
        <v>472</v>
      </c>
      <c r="AH46" s="659">
        <v>0</v>
      </c>
      <c r="AI46" s="659">
        <v>0</v>
      </c>
      <c r="AJ46" s="659">
        <v>472</v>
      </c>
      <c r="AK46" s="801">
        <v>0</v>
      </c>
      <c r="AL46" s="659">
        <v>0</v>
      </c>
      <c r="AM46" s="659">
        <v>0</v>
      </c>
      <c r="AN46" s="659">
        <v>0</v>
      </c>
      <c r="AO46" s="659">
        <v>0</v>
      </c>
      <c r="AP46" s="659">
        <v>0</v>
      </c>
      <c r="AQ46" s="801">
        <v>1</v>
      </c>
      <c r="AR46" s="659">
        <v>0</v>
      </c>
      <c r="AS46" s="659">
        <v>0</v>
      </c>
      <c r="AT46" s="659">
        <v>35</v>
      </c>
      <c r="AU46" s="659">
        <v>0</v>
      </c>
      <c r="AV46" s="659">
        <v>0</v>
      </c>
      <c r="AW46" s="659">
        <v>34</v>
      </c>
      <c r="AX46" s="659">
        <v>0</v>
      </c>
      <c r="AY46" s="659">
        <v>0</v>
      </c>
      <c r="AZ46" s="659">
        <v>0</v>
      </c>
      <c r="BA46" s="659">
        <v>0</v>
      </c>
      <c r="BB46" s="659">
        <v>0</v>
      </c>
      <c r="BC46" s="659">
        <v>0</v>
      </c>
      <c r="BD46" s="659">
        <v>0</v>
      </c>
      <c r="BE46" s="801">
        <v>32</v>
      </c>
      <c r="BF46" s="659">
        <v>0</v>
      </c>
      <c r="BG46" s="659">
        <v>0</v>
      </c>
      <c r="BH46" s="659">
        <v>206</v>
      </c>
      <c r="BI46" s="659">
        <v>0</v>
      </c>
      <c r="BJ46" s="659">
        <v>0</v>
      </c>
      <c r="BK46" s="659">
        <v>206</v>
      </c>
      <c r="BL46" s="659">
        <v>930</v>
      </c>
      <c r="BM46" s="659">
        <v>0</v>
      </c>
      <c r="BN46" s="659">
        <v>0</v>
      </c>
      <c r="BO46" s="659">
        <v>10644</v>
      </c>
      <c r="BP46" s="659">
        <v>0</v>
      </c>
      <c r="BQ46" s="659">
        <v>0</v>
      </c>
      <c r="BR46" s="659">
        <v>10455</v>
      </c>
      <c r="BS46" s="659">
        <v>2400</v>
      </c>
      <c r="BT46" s="659">
        <v>0</v>
      </c>
      <c r="BU46" s="659">
        <v>0</v>
      </c>
      <c r="BV46" s="659">
        <v>16000</v>
      </c>
      <c r="BW46" s="659">
        <v>0</v>
      </c>
      <c r="BX46" s="659">
        <v>0</v>
      </c>
      <c r="BY46" s="659">
        <v>16000</v>
      </c>
      <c r="BZ46" s="659">
        <v>1122</v>
      </c>
      <c r="CA46" s="659">
        <v>0</v>
      </c>
      <c r="CB46" s="659">
        <v>0</v>
      </c>
      <c r="CC46" s="659">
        <v>12541</v>
      </c>
      <c r="CD46" s="659">
        <v>0</v>
      </c>
      <c r="CE46" s="659">
        <v>0</v>
      </c>
      <c r="CF46" s="659">
        <v>12322</v>
      </c>
      <c r="CG46" s="659">
        <v>156</v>
      </c>
      <c r="CH46" s="659">
        <v>0</v>
      </c>
      <c r="CI46" s="659">
        <v>0</v>
      </c>
      <c r="CJ46" s="659">
        <v>1704</v>
      </c>
      <c r="CK46" s="659">
        <v>0</v>
      </c>
      <c r="CL46" s="659">
        <v>0</v>
      </c>
      <c r="CM46" s="659">
        <v>1625</v>
      </c>
      <c r="CN46" s="659">
        <v>21</v>
      </c>
      <c r="CO46" s="659">
        <v>0</v>
      </c>
      <c r="CP46" s="659">
        <v>0</v>
      </c>
      <c r="CQ46" s="659">
        <v>170</v>
      </c>
      <c r="CR46" s="659">
        <v>0</v>
      </c>
      <c r="CS46" s="659">
        <v>0</v>
      </c>
      <c r="CT46" s="659">
        <v>170</v>
      </c>
      <c r="CU46" s="659">
        <v>25</v>
      </c>
      <c r="CV46" s="659">
        <v>0</v>
      </c>
      <c r="CW46" s="659">
        <v>0</v>
      </c>
      <c r="CX46" s="659">
        <v>420</v>
      </c>
      <c r="CY46" s="659">
        <v>0</v>
      </c>
      <c r="CZ46" s="659">
        <v>0</v>
      </c>
      <c r="DA46" s="659">
        <v>420</v>
      </c>
      <c r="DB46" s="659">
        <v>28</v>
      </c>
      <c r="DC46" s="659">
        <v>0</v>
      </c>
      <c r="DD46" s="659">
        <v>0</v>
      </c>
      <c r="DE46" s="659">
        <v>482</v>
      </c>
      <c r="DF46" s="659">
        <v>0</v>
      </c>
      <c r="DG46" s="659">
        <v>0</v>
      </c>
      <c r="DH46" s="659">
        <v>482</v>
      </c>
      <c r="DI46" s="659">
        <v>477</v>
      </c>
      <c r="DJ46" s="659">
        <v>0</v>
      </c>
      <c r="DK46" s="659">
        <v>0</v>
      </c>
      <c r="DL46" s="659">
        <v>6030</v>
      </c>
      <c r="DM46" s="659">
        <v>0</v>
      </c>
      <c r="DN46" s="659">
        <v>0</v>
      </c>
      <c r="DO46" s="659">
        <v>5836</v>
      </c>
      <c r="DP46" s="659">
        <v>14</v>
      </c>
      <c r="DQ46" s="659">
        <v>0</v>
      </c>
      <c r="DR46" s="659">
        <v>0</v>
      </c>
      <c r="DS46" s="659">
        <v>132</v>
      </c>
      <c r="DT46" s="659">
        <v>0</v>
      </c>
      <c r="DU46" s="659">
        <v>0</v>
      </c>
      <c r="DV46" s="659">
        <v>128</v>
      </c>
      <c r="DW46" s="659">
        <v>103</v>
      </c>
      <c r="DX46" s="659">
        <v>0</v>
      </c>
      <c r="DY46" s="659">
        <v>0</v>
      </c>
      <c r="DZ46" s="659">
        <v>1024</v>
      </c>
      <c r="EA46" s="659">
        <v>0</v>
      </c>
      <c r="EB46" s="659">
        <v>0</v>
      </c>
      <c r="EC46" s="659">
        <v>908</v>
      </c>
      <c r="ED46" s="659">
        <v>253</v>
      </c>
      <c r="EE46" s="659">
        <v>0</v>
      </c>
      <c r="EF46" s="659">
        <v>0</v>
      </c>
      <c r="EG46" s="659">
        <v>3043</v>
      </c>
      <c r="EH46" s="659">
        <v>0</v>
      </c>
      <c r="EI46" s="659">
        <v>0</v>
      </c>
      <c r="EJ46" s="659">
        <v>2833</v>
      </c>
      <c r="EK46" s="659">
        <v>265</v>
      </c>
      <c r="EL46" s="659">
        <v>0</v>
      </c>
      <c r="EM46" s="659">
        <v>0</v>
      </c>
      <c r="EN46" s="659">
        <v>875</v>
      </c>
      <c r="EO46" s="659">
        <v>0</v>
      </c>
      <c r="EP46" s="659">
        <v>0</v>
      </c>
      <c r="EQ46" s="659">
        <v>875</v>
      </c>
    </row>
    <row r="47" spans="1:147" ht="13.95" customHeight="1" x14ac:dyDescent="0.3">
      <c r="A47" s="657" t="s">
        <v>1703</v>
      </c>
      <c r="B47" s="658" t="s">
        <v>269</v>
      </c>
      <c r="C47" s="659">
        <v>20999</v>
      </c>
      <c r="D47" s="659">
        <v>0</v>
      </c>
      <c r="E47" s="659">
        <v>0</v>
      </c>
      <c r="F47" s="659">
        <v>360670</v>
      </c>
      <c r="G47" s="659">
        <v>0</v>
      </c>
      <c r="H47" s="659">
        <v>0</v>
      </c>
      <c r="I47" s="659">
        <v>355251</v>
      </c>
      <c r="J47" s="801">
        <v>137</v>
      </c>
      <c r="K47" s="659">
        <v>0</v>
      </c>
      <c r="L47" s="659">
        <v>0</v>
      </c>
      <c r="M47" s="659">
        <v>2781</v>
      </c>
      <c r="N47" s="659">
        <v>0</v>
      </c>
      <c r="O47" s="659">
        <v>0</v>
      </c>
      <c r="P47" s="659">
        <v>2781</v>
      </c>
      <c r="Q47" s="801">
        <v>0</v>
      </c>
      <c r="R47" s="659">
        <v>0</v>
      </c>
      <c r="S47" s="659">
        <v>0</v>
      </c>
      <c r="T47" s="659">
        <v>0</v>
      </c>
      <c r="U47" s="659">
        <v>0</v>
      </c>
      <c r="V47" s="659">
        <v>0</v>
      </c>
      <c r="W47" s="801">
        <v>0</v>
      </c>
      <c r="X47" s="659">
        <v>0</v>
      </c>
      <c r="Y47" s="659">
        <v>0</v>
      </c>
      <c r="Z47" s="659">
        <v>0</v>
      </c>
      <c r="AA47" s="659">
        <v>0</v>
      </c>
      <c r="AB47" s="659">
        <v>0</v>
      </c>
      <c r="AC47" s="659">
        <v>0</v>
      </c>
      <c r="AD47" s="801">
        <v>618</v>
      </c>
      <c r="AE47" s="659">
        <v>0</v>
      </c>
      <c r="AF47" s="659">
        <v>0</v>
      </c>
      <c r="AG47" s="659">
        <v>12102</v>
      </c>
      <c r="AH47" s="659">
        <v>0</v>
      </c>
      <c r="AI47" s="659">
        <v>0</v>
      </c>
      <c r="AJ47" s="659">
        <v>12102</v>
      </c>
      <c r="AK47" s="801">
        <v>0</v>
      </c>
      <c r="AL47" s="659">
        <v>0</v>
      </c>
      <c r="AM47" s="659">
        <v>0</v>
      </c>
      <c r="AN47" s="659">
        <v>0</v>
      </c>
      <c r="AO47" s="659">
        <v>0</v>
      </c>
      <c r="AP47" s="659">
        <v>0</v>
      </c>
      <c r="AQ47" s="801">
        <v>17</v>
      </c>
      <c r="AR47" s="659">
        <v>0</v>
      </c>
      <c r="AS47" s="659">
        <v>0</v>
      </c>
      <c r="AT47" s="659">
        <v>605</v>
      </c>
      <c r="AU47" s="659">
        <v>0</v>
      </c>
      <c r="AV47" s="659">
        <v>0</v>
      </c>
      <c r="AW47" s="659">
        <v>593</v>
      </c>
      <c r="AX47" s="659">
        <v>0</v>
      </c>
      <c r="AY47" s="659">
        <v>0</v>
      </c>
      <c r="AZ47" s="659">
        <v>0</v>
      </c>
      <c r="BA47" s="659">
        <v>0</v>
      </c>
      <c r="BB47" s="659">
        <v>0</v>
      </c>
      <c r="BC47" s="659">
        <v>0</v>
      </c>
      <c r="BD47" s="659">
        <v>0</v>
      </c>
      <c r="BE47" s="801">
        <v>1791</v>
      </c>
      <c r="BF47" s="659">
        <v>0</v>
      </c>
      <c r="BG47" s="659">
        <v>0</v>
      </c>
      <c r="BH47" s="659">
        <v>37959</v>
      </c>
      <c r="BI47" s="659">
        <v>0</v>
      </c>
      <c r="BJ47" s="659">
        <v>0</v>
      </c>
      <c r="BK47" s="659">
        <v>37959</v>
      </c>
      <c r="BL47" s="659">
        <v>4090</v>
      </c>
      <c r="BM47" s="659">
        <v>0</v>
      </c>
      <c r="BN47" s="659">
        <v>0</v>
      </c>
      <c r="BO47" s="659">
        <v>73749</v>
      </c>
      <c r="BP47" s="659">
        <v>0</v>
      </c>
      <c r="BQ47" s="659">
        <v>0</v>
      </c>
      <c r="BR47" s="659">
        <v>71644</v>
      </c>
      <c r="BS47" s="659">
        <v>1680</v>
      </c>
      <c r="BT47" s="659">
        <v>0</v>
      </c>
      <c r="BU47" s="659">
        <v>0</v>
      </c>
      <c r="BV47" s="659">
        <v>18340</v>
      </c>
      <c r="BW47" s="659">
        <v>0</v>
      </c>
      <c r="BX47" s="659">
        <v>0</v>
      </c>
      <c r="BY47" s="659">
        <v>18340</v>
      </c>
      <c r="BZ47" s="659">
        <v>3607</v>
      </c>
      <c r="CA47" s="659">
        <v>0</v>
      </c>
      <c r="CB47" s="659">
        <v>0</v>
      </c>
      <c r="CC47" s="659">
        <v>51944</v>
      </c>
      <c r="CD47" s="659">
        <v>0</v>
      </c>
      <c r="CE47" s="659">
        <v>0</v>
      </c>
      <c r="CF47" s="659">
        <v>51097</v>
      </c>
      <c r="CG47" s="659">
        <v>804</v>
      </c>
      <c r="CH47" s="659">
        <v>0</v>
      </c>
      <c r="CI47" s="659">
        <v>0</v>
      </c>
      <c r="CJ47" s="659">
        <v>11100</v>
      </c>
      <c r="CK47" s="659">
        <v>0</v>
      </c>
      <c r="CL47" s="659">
        <v>0</v>
      </c>
      <c r="CM47" s="659">
        <v>10497</v>
      </c>
      <c r="CN47" s="659">
        <v>937</v>
      </c>
      <c r="CO47" s="659">
        <v>0</v>
      </c>
      <c r="CP47" s="659">
        <v>0</v>
      </c>
      <c r="CQ47" s="659">
        <v>18635</v>
      </c>
      <c r="CR47" s="659">
        <v>0</v>
      </c>
      <c r="CS47" s="659">
        <v>0</v>
      </c>
      <c r="CT47" s="659">
        <v>18635</v>
      </c>
      <c r="CU47" s="659">
        <v>2060</v>
      </c>
      <c r="CV47" s="659">
        <v>0</v>
      </c>
      <c r="CW47" s="659">
        <v>0</v>
      </c>
      <c r="CX47" s="659">
        <v>45080</v>
      </c>
      <c r="CY47" s="659">
        <v>0</v>
      </c>
      <c r="CZ47" s="659">
        <v>0</v>
      </c>
      <c r="DA47" s="659">
        <v>45080</v>
      </c>
      <c r="DB47" s="659">
        <v>296</v>
      </c>
      <c r="DC47" s="659">
        <v>0</v>
      </c>
      <c r="DD47" s="659">
        <v>0</v>
      </c>
      <c r="DE47" s="659">
        <v>4799</v>
      </c>
      <c r="DF47" s="659">
        <v>0</v>
      </c>
      <c r="DG47" s="659">
        <v>0</v>
      </c>
      <c r="DH47" s="659">
        <v>4799</v>
      </c>
      <c r="DI47" s="659">
        <v>1820</v>
      </c>
      <c r="DJ47" s="659">
        <v>0</v>
      </c>
      <c r="DK47" s="659">
        <v>0</v>
      </c>
      <c r="DL47" s="659">
        <v>33550</v>
      </c>
      <c r="DM47" s="659">
        <v>0</v>
      </c>
      <c r="DN47" s="659">
        <v>0</v>
      </c>
      <c r="DO47" s="659">
        <v>32236</v>
      </c>
      <c r="DP47" s="659">
        <v>1008</v>
      </c>
      <c r="DQ47" s="659">
        <v>0</v>
      </c>
      <c r="DR47" s="659">
        <v>0</v>
      </c>
      <c r="DS47" s="659">
        <v>14968</v>
      </c>
      <c r="DT47" s="659">
        <v>0</v>
      </c>
      <c r="DU47" s="659">
        <v>0</v>
      </c>
      <c r="DV47" s="659">
        <v>14879</v>
      </c>
      <c r="DW47" s="659">
        <v>238</v>
      </c>
      <c r="DX47" s="659">
        <v>0</v>
      </c>
      <c r="DY47" s="659">
        <v>0</v>
      </c>
      <c r="DZ47" s="659">
        <v>5883</v>
      </c>
      <c r="EA47" s="659">
        <v>0</v>
      </c>
      <c r="EB47" s="659">
        <v>0</v>
      </c>
      <c r="EC47" s="659">
        <v>5549</v>
      </c>
      <c r="ED47" s="659">
        <v>1560</v>
      </c>
      <c r="EE47" s="659">
        <v>0</v>
      </c>
      <c r="EF47" s="659">
        <v>0</v>
      </c>
      <c r="EG47" s="659">
        <v>26965</v>
      </c>
      <c r="EH47" s="659">
        <v>0</v>
      </c>
      <c r="EI47" s="659">
        <v>0</v>
      </c>
      <c r="EJ47" s="659">
        <v>26850</v>
      </c>
      <c r="EK47" s="659">
        <v>336</v>
      </c>
      <c r="EL47" s="659">
        <v>0</v>
      </c>
      <c r="EM47" s="659">
        <v>0</v>
      </c>
      <c r="EN47" s="659">
        <v>2210</v>
      </c>
      <c r="EO47" s="659">
        <v>0</v>
      </c>
      <c r="EP47" s="659">
        <v>0</v>
      </c>
      <c r="EQ47" s="659">
        <v>2210</v>
      </c>
    </row>
    <row r="48" spans="1:147" ht="13.95" customHeight="1" x14ac:dyDescent="0.3">
      <c r="A48" s="657" t="s">
        <v>1704</v>
      </c>
      <c r="B48" s="658" t="s">
        <v>269</v>
      </c>
      <c r="C48" s="659">
        <f t="shared" ref="C48:BN48" si="31">C50+C51+C52+C54</f>
        <v>77158</v>
      </c>
      <c r="D48" s="659">
        <f t="shared" si="31"/>
        <v>0</v>
      </c>
      <c r="E48" s="659">
        <f t="shared" si="31"/>
        <v>0</v>
      </c>
      <c r="F48" s="659">
        <f t="shared" si="31"/>
        <v>33764326</v>
      </c>
      <c r="G48" s="659">
        <f t="shared" si="31"/>
        <v>0</v>
      </c>
      <c r="H48" s="659">
        <f t="shared" si="31"/>
        <v>0</v>
      </c>
      <c r="I48" s="659">
        <f t="shared" si="31"/>
        <v>31230930</v>
      </c>
      <c r="J48" s="801">
        <f t="shared" si="31"/>
        <v>1373</v>
      </c>
      <c r="K48" s="659">
        <f t="shared" si="31"/>
        <v>0</v>
      </c>
      <c r="L48" s="659">
        <f t="shared" si="31"/>
        <v>0</v>
      </c>
      <c r="M48" s="659">
        <f t="shared" si="31"/>
        <v>488365</v>
      </c>
      <c r="N48" s="659">
        <f t="shared" si="31"/>
        <v>0</v>
      </c>
      <c r="O48" s="659">
        <f t="shared" si="31"/>
        <v>0</v>
      </c>
      <c r="P48" s="659">
        <f t="shared" si="31"/>
        <v>460266</v>
      </c>
      <c r="Q48" s="801">
        <f t="shared" si="31"/>
        <v>160</v>
      </c>
      <c r="R48" s="659">
        <f t="shared" si="31"/>
        <v>0</v>
      </c>
      <c r="S48" s="659">
        <f t="shared" si="31"/>
        <v>35100</v>
      </c>
      <c r="T48" s="659">
        <f t="shared" si="31"/>
        <v>0</v>
      </c>
      <c r="U48" s="659">
        <f t="shared" si="31"/>
        <v>0</v>
      </c>
      <c r="V48" s="659">
        <f t="shared" si="31"/>
        <v>33000</v>
      </c>
      <c r="W48" s="801">
        <f t="shared" si="31"/>
        <v>1055</v>
      </c>
      <c r="X48" s="659">
        <f t="shared" si="31"/>
        <v>0</v>
      </c>
      <c r="Y48" s="659">
        <f t="shared" si="31"/>
        <v>0</v>
      </c>
      <c r="Z48" s="659">
        <f t="shared" si="31"/>
        <v>107500</v>
      </c>
      <c r="AA48" s="659">
        <f t="shared" si="31"/>
        <v>0</v>
      </c>
      <c r="AB48" s="659">
        <f t="shared" si="31"/>
        <v>0</v>
      </c>
      <c r="AC48" s="659">
        <f t="shared" si="31"/>
        <v>107300</v>
      </c>
      <c r="AD48" s="801">
        <f t="shared" si="31"/>
        <v>2238</v>
      </c>
      <c r="AE48" s="659">
        <f t="shared" si="31"/>
        <v>0</v>
      </c>
      <c r="AF48" s="659">
        <f t="shared" si="31"/>
        <v>0</v>
      </c>
      <c r="AG48" s="659">
        <f t="shared" si="31"/>
        <v>1205388</v>
      </c>
      <c r="AH48" s="659">
        <f t="shared" si="31"/>
        <v>0</v>
      </c>
      <c r="AI48" s="659">
        <f t="shared" si="31"/>
        <v>0</v>
      </c>
      <c r="AJ48" s="659">
        <f t="shared" si="31"/>
        <v>1097871</v>
      </c>
      <c r="AK48" s="801">
        <f t="shared" si="31"/>
        <v>638</v>
      </c>
      <c r="AL48" s="659">
        <f t="shared" si="31"/>
        <v>0</v>
      </c>
      <c r="AM48" s="659">
        <f t="shared" si="31"/>
        <v>142584</v>
      </c>
      <c r="AN48" s="659">
        <f t="shared" si="31"/>
        <v>0</v>
      </c>
      <c r="AO48" s="659">
        <f t="shared" si="31"/>
        <v>0</v>
      </c>
      <c r="AP48" s="659">
        <f t="shared" si="31"/>
        <v>142584</v>
      </c>
      <c r="AQ48" s="801">
        <f t="shared" si="31"/>
        <v>13682</v>
      </c>
      <c r="AR48" s="659">
        <f t="shared" si="31"/>
        <v>0</v>
      </c>
      <c r="AS48" s="659">
        <f t="shared" si="31"/>
        <v>0</v>
      </c>
      <c r="AT48" s="659">
        <f t="shared" si="31"/>
        <v>8147226</v>
      </c>
      <c r="AU48" s="659">
        <f t="shared" si="31"/>
        <v>0</v>
      </c>
      <c r="AV48" s="659">
        <f t="shared" si="31"/>
        <v>0</v>
      </c>
      <c r="AW48" s="659">
        <f t="shared" si="31"/>
        <v>7413327</v>
      </c>
      <c r="AX48" s="659">
        <f t="shared" si="31"/>
        <v>531</v>
      </c>
      <c r="AY48" s="659">
        <f t="shared" si="31"/>
        <v>0</v>
      </c>
      <c r="AZ48" s="659">
        <f t="shared" si="31"/>
        <v>0</v>
      </c>
      <c r="BA48" s="659">
        <f t="shared" si="31"/>
        <v>246247</v>
      </c>
      <c r="BB48" s="659">
        <f t="shared" si="31"/>
        <v>0</v>
      </c>
      <c r="BC48" s="659">
        <f t="shared" si="31"/>
        <v>0</v>
      </c>
      <c r="BD48" s="659">
        <f t="shared" si="31"/>
        <v>231182</v>
      </c>
      <c r="BE48" s="801">
        <f t="shared" si="31"/>
        <v>22785</v>
      </c>
      <c r="BF48" s="659">
        <f t="shared" si="31"/>
        <v>0</v>
      </c>
      <c r="BG48" s="659">
        <f t="shared" si="31"/>
        <v>0</v>
      </c>
      <c r="BH48" s="659">
        <f t="shared" si="31"/>
        <v>14083737</v>
      </c>
      <c r="BI48" s="659">
        <f t="shared" si="31"/>
        <v>0</v>
      </c>
      <c r="BJ48" s="659">
        <f t="shared" si="31"/>
        <v>0</v>
      </c>
      <c r="BK48" s="659">
        <f t="shared" si="31"/>
        <v>12652719</v>
      </c>
      <c r="BL48" s="659">
        <f t="shared" si="31"/>
        <v>992</v>
      </c>
      <c r="BM48" s="659">
        <f t="shared" si="31"/>
        <v>0</v>
      </c>
      <c r="BN48" s="659">
        <f t="shared" si="31"/>
        <v>0</v>
      </c>
      <c r="BO48" s="659">
        <f t="shared" ref="BO48:DZ48" si="32">BO50+BO51+BO52+BO54</f>
        <v>183250</v>
      </c>
      <c r="BP48" s="659">
        <f t="shared" si="32"/>
        <v>0</v>
      </c>
      <c r="BQ48" s="659">
        <f t="shared" si="32"/>
        <v>0</v>
      </c>
      <c r="BR48" s="659">
        <f t="shared" si="32"/>
        <v>181805</v>
      </c>
      <c r="BS48" s="659">
        <f t="shared" si="32"/>
        <v>464</v>
      </c>
      <c r="BT48" s="659">
        <f t="shared" si="32"/>
        <v>0</v>
      </c>
      <c r="BU48" s="659">
        <f t="shared" si="32"/>
        <v>0</v>
      </c>
      <c r="BV48" s="659">
        <f t="shared" si="32"/>
        <v>63453</v>
      </c>
      <c r="BW48" s="659">
        <f t="shared" si="32"/>
        <v>0</v>
      </c>
      <c r="BX48" s="659">
        <f t="shared" si="32"/>
        <v>0</v>
      </c>
      <c r="BY48" s="659">
        <f t="shared" si="32"/>
        <v>62471</v>
      </c>
      <c r="BZ48" s="659">
        <f t="shared" si="32"/>
        <v>407</v>
      </c>
      <c r="CA48" s="659">
        <f t="shared" si="32"/>
        <v>0</v>
      </c>
      <c r="CB48" s="659">
        <f t="shared" si="32"/>
        <v>0</v>
      </c>
      <c r="CC48" s="659">
        <f t="shared" si="32"/>
        <v>92485</v>
      </c>
      <c r="CD48" s="659">
        <f t="shared" si="32"/>
        <v>0</v>
      </c>
      <c r="CE48" s="659">
        <f t="shared" si="32"/>
        <v>0</v>
      </c>
      <c r="CF48" s="659">
        <f t="shared" si="32"/>
        <v>81626</v>
      </c>
      <c r="CG48" s="659">
        <f t="shared" si="32"/>
        <v>2052</v>
      </c>
      <c r="CH48" s="659">
        <f t="shared" si="32"/>
        <v>0</v>
      </c>
      <c r="CI48" s="659">
        <f t="shared" si="32"/>
        <v>0</v>
      </c>
      <c r="CJ48" s="659">
        <f t="shared" si="32"/>
        <v>465680</v>
      </c>
      <c r="CK48" s="659">
        <f t="shared" si="32"/>
        <v>0</v>
      </c>
      <c r="CL48" s="659">
        <f t="shared" si="32"/>
        <v>0</v>
      </c>
      <c r="CM48" s="659">
        <f t="shared" si="32"/>
        <v>443215</v>
      </c>
      <c r="CN48" s="659">
        <f t="shared" si="32"/>
        <v>4602</v>
      </c>
      <c r="CO48" s="659">
        <f t="shared" si="32"/>
        <v>0</v>
      </c>
      <c r="CP48" s="659">
        <f t="shared" si="32"/>
        <v>0</v>
      </c>
      <c r="CQ48" s="659">
        <f t="shared" si="32"/>
        <v>1736755</v>
      </c>
      <c r="CR48" s="659">
        <f t="shared" si="32"/>
        <v>0</v>
      </c>
      <c r="CS48" s="659">
        <f t="shared" si="32"/>
        <v>0</v>
      </c>
      <c r="CT48" s="659">
        <f t="shared" si="32"/>
        <v>1721755</v>
      </c>
      <c r="CU48" s="659">
        <f t="shared" si="32"/>
        <v>280</v>
      </c>
      <c r="CV48" s="659">
        <f t="shared" si="32"/>
        <v>0</v>
      </c>
      <c r="CW48" s="659">
        <f t="shared" si="32"/>
        <v>0</v>
      </c>
      <c r="CX48" s="659">
        <f t="shared" si="32"/>
        <v>44200</v>
      </c>
      <c r="CY48" s="659">
        <f t="shared" si="32"/>
        <v>0</v>
      </c>
      <c r="CZ48" s="659">
        <f t="shared" si="32"/>
        <v>0</v>
      </c>
      <c r="DA48" s="659">
        <f t="shared" si="32"/>
        <v>44200</v>
      </c>
      <c r="DB48" s="659">
        <f t="shared" si="32"/>
        <v>7782</v>
      </c>
      <c r="DC48" s="659">
        <f t="shared" si="32"/>
        <v>0</v>
      </c>
      <c r="DD48" s="659">
        <f t="shared" si="32"/>
        <v>0</v>
      </c>
      <c r="DE48" s="659">
        <f t="shared" si="32"/>
        <v>2388333</v>
      </c>
      <c r="DF48" s="659">
        <f t="shared" si="32"/>
        <v>0</v>
      </c>
      <c r="DG48" s="659">
        <f t="shared" si="32"/>
        <v>0</v>
      </c>
      <c r="DH48" s="659">
        <f t="shared" si="32"/>
        <v>2300233</v>
      </c>
      <c r="DI48" s="659">
        <f t="shared" si="32"/>
        <v>2755</v>
      </c>
      <c r="DJ48" s="659">
        <f t="shared" si="32"/>
        <v>0</v>
      </c>
      <c r="DK48" s="659">
        <f t="shared" si="32"/>
        <v>0</v>
      </c>
      <c r="DL48" s="659">
        <f t="shared" si="32"/>
        <v>719175</v>
      </c>
      <c r="DM48" s="659">
        <f t="shared" si="32"/>
        <v>0</v>
      </c>
      <c r="DN48" s="659">
        <f t="shared" si="32"/>
        <v>0</v>
      </c>
      <c r="DO48" s="659">
        <f t="shared" si="32"/>
        <v>693665</v>
      </c>
      <c r="DP48" s="659">
        <f t="shared" si="32"/>
        <v>105</v>
      </c>
      <c r="DQ48" s="659">
        <f t="shared" si="32"/>
        <v>0</v>
      </c>
      <c r="DR48" s="659">
        <f t="shared" si="32"/>
        <v>0</v>
      </c>
      <c r="DS48" s="659">
        <f t="shared" si="32"/>
        <v>19853</v>
      </c>
      <c r="DT48" s="659">
        <f t="shared" si="32"/>
        <v>0</v>
      </c>
      <c r="DU48" s="659">
        <f t="shared" si="32"/>
        <v>0</v>
      </c>
      <c r="DV48" s="659">
        <f t="shared" si="32"/>
        <v>19754</v>
      </c>
      <c r="DW48" s="659">
        <f t="shared" si="32"/>
        <v>5063</v>
      </c>
      <c r="DX48" s="659">
        <f t="shared" si="32"/>
        <v>0</v>
      </c>
      <c r="DY48" s="659">
        <f t="shared" si="32"/>
        <v>0</v>
      </c>
      <c r="DZ48" s="659">
        <f t="shared" si="32"/>
        <v>1322180</v>
      </c>
      <c r="EA48" s="659">
        <f t="shared" ref="EA48:EQ48" si="33">EA50+EA51+EA52+EA54</f>
        <v>0</v>
      </c>
      <c r="EB48" s="659">
        <f t="shared" si="33"/>
        <v>0</v>
      </c>
      <c r="EC48" s="659">
        <f t="shared" si="33"/>
        <v>1299478</v>
      </c>
      <c r="ED48" s="659">
        <f t="shared" si="33"/>
        <v>8991</v>
      </c>
      <c r="EE48" s="659">
        <f t="shared" si="33"/>
        <v>0</v>
      </c>
      <c r="EF48" s="659">
        <f t="shared" si="33"/>
        <v>0</v>
      </c>
      <c r="EG48" s="659">
        <f t="shared" si="33"/>
        <v>1892275</v>
      </c>
      <c r="EH48" s="659">
        <f t="shared" si="33"/>
        <v>0</v>
      </c>
      <c r="EI48" s="659">
        <f t="shared" si="33"/>
        <v>0</v>
      </c>
      <c r="EJ48" s="659">
        <f t="shared" si="33"/>
        <v>1863940</v>
      </c>
      <c r="EK48" s="659">
        <f t="shared" si="33"/>
        <v>1203</v>
      </c>
      <c r="EL48" s="659">
        <f t="shared" si="33"/>
        <v>0</v>
      </c>
      <c r="EM48" s="659">
        <f t="shared" si="33"/>
        <v>0</v>
      </c>
      <c r="EN48" s="659">
        <f t="shared" si="33"/>
        <v>380540</v>
      </c>
      <c r="EO48" s="659">
        <f t="shared" si="33"/>
        <v>0</v>
      </c>
      <c r="EP48" s="659">
        <f t="shared" si="33"/>
        <v>0</v>
      </c>
      <c r="EQ48" s="659">
        <f t="shared" si="33"/>
        <v>380540</v>
      </c>
    </row>
    <row r="49" spans="1:147" ht="13.95" customHeight="1" x14ac:dyDescent="0.3">
      <c r="A49" s="657" t="s">
        <v>1705</v>
      </c>
      <c r="B49" s="658" t="s">
        <v>269</v>
      </c>
      <c r="C49" s="659"/>
      <c r="D49" s="659">
        <v>0</v>
      </c>
      <c r="E49" s="659">
        <v>0</v>
      </c>
      <c r="F49" s="659">
        <v>0</v>
      </c>
      <c r="G49" s="659">
        <v>0</v>
      </c>
      <c r="H49" s="659">
        <v>0</v>
      </c>
      <c r="I49" s="659">
        <v>0</v>
      </c>
      <c r="J49" s="801">
        <v>0</v>
      </c>
      <c r="K49" s="659">
        <v>0</v>
      </c>
      <c r="L49" s="659">
        <v>0</v>
      </c>
      <c r="M49" s="659">
        <v>0</v>
      </c>
      <c r="N49" s="659">
        <v>0</v>
      </c>
      <c r="O49" s="659">
        <v>0</v>
      </c>
      <c r="P49" s="659">
        <v>0</v>
      </c>
      <c r="Q49" s="801">
        <v>0</v>
      </c>
      <c r="R49" s="659">
        <v>0</v>
      </c>
      <c r="S49" s="659">
        <v>0</v>
      </c>
      <c r="T49" s="659">
        <v>0</v>
      </c>
      <c r="U49" s="659">
        <v>0</v>
      </c>
      <c r="V49" s="659">
        <v>0</v>
      </c>
      <c r="W49" s="801">
        <v>0</v>
      </c>
      <c r="X49" s="659">
        <v>0</v>
      </c>
      <c r="Y49" s="659">
        <v>0</v>
      </c>
      <c r="Z49" s="659">
        <v>0</v>
      </c>
      <c r="AA49" s="659">
        <v>0</v>
      </c>
      <c r="AB49" s="659">
        <v>0</v>
      </c>
      <c r="AC49" s="659">
        <v>0</v>
      </c>
      <c r="AD49" s="801">
        <v>0</v>
      </c>
      <c r="AE49" s="659">
        <v>0</v>
      </c>
      <c r="AF49" s="659">
        <v>0</v>
      </c>
      <c r="AG49" s="659">
        <v>0</v>
      </c>
      <c r="AH49" s="659">
        <v>0</v>
      </c>
      <c r="AI49" s="659">
        <v>0</v>
      </c>
      <c r="AJ49" s="659">
        <v>0</v>
      </c>
      <c r="AK49" s="801">
        <v>0</v>
      </c>
      <c r="AL49" s="659">
        <v>0</v>
      </c>
      <c r="AM49" s="659">
        <v>0</v>
      </c>
      <c r="AN49" s="659">
        <v>0</v>
      </c>
      <c r="AO49" s="659">
        <v>0</v>
      </c>
      <c r="AP49" s="659">
        <v>0</v>
      </c>
      <c r="AQ49" s="801">
        <v>0</v>
      </c>
      <c r="AR49" s="659">
        <v>0</v>
      </c>
      <c r="AS49" s="659">
        <v>0</v>
      </c>
      <c r="AT49" s="659">
        <v>0</v>
      </c>
      <c r="AU49" s="659">
        <v>0</v>
      </c>
      <c r="AV49" s="659">
        <v>0</v>
      </c>
      <c r="AW49" s="659">
        <v>0</v>
      </c>
      <c r="AX49" s="659">
        <v>0</v>
      </c>
      <c r="AY49" s="659">
        <v>0</v>
      </c>
      <c r="AZ49" s="659">
        <v>0</v>
      </c>
      <c r="BA49" s="659">
        <v>0</v>
      </c>
      <c r="BB49" s="659">
        <v>0</v>
      </c>
      <c r="BC49" s="659">
        <v>0</v>
      </c>
      <c r="BD49" s="659">
        <v>0</v>
      </c>
      <c r="BE49" s="801">
        <v>0</v>
      </c>
      <c r="BF49" s="659">
        <v>0</v>
      </c>
      <c r="BG49" s="659">
        <v>0</v>
      </c>
      <c r="BH49" s="659">
        <v>0</v>
      </c>
      <c r="BI49" s="659">
        <v>0</v>
      </c>
      <c r="BJ49" s="659">
        <v>0</v>
      </c>
      <c r="BK49" s="659">
        <v>0</v>
      </c>
      <c r="BL49" s="659">
        <v>0</v>
      </c>
      <c r="BM49" s="659">
        <v>0</v>
      </c>
      <c r="BN49" s="659">
        <v>0</v>
      </c>
      <c r="BO49" s="659">
        <v>0</v>
      </c>
      <c r="BP49" s="659">
        <v>0</v>
      </c>
      <c r="BQ49" s="659">
        <v>0</v>
      </c>
      <c r="BR49" s="659">
        <v>0</v>
      </c>
      <c r="BS49" s="659">
        <v>0</v>
      </c>
      <c r="BT49" s="659">
        <v>0</v>
      </c>
      <c r="BU49" s="659">
        <v>0</v>
      </c>
      <c r="BV49" s="659">
        <v>0</v>
      </c>
      <c r="BW49" s="659">
        <v>0</v>
      </c>
      <c r="BX49" s="659">
        <v>0</v>
      </c>
      <c r="BY49" s="659">
        <v>0</v>
      </c>
      <c r="BZ49" s="659">
        <v>0</v>
      </c>
      <c r="CA49" s="659">
        <v>0</v>
      </c>
      <c r="CB49" s="659">
        <v>0</v>
      </c>
      <c r="CC49" s="659">
        <v>0</v>
      </c>
      <c r="CD49" s="659">
        <v>0</v>
      </c>
      <c r="CE49" s="659">
        <v>0</v>
      </c>
      <c r="CF49" s="659">
        <v>0</v>
      </c>
      <c r="CG49" s="659">
        <v>0</v>
      </c>
      <c r="CH49" s="659">
        <v>0</v>
      </c>
      <c r="CI49" s="659">
        <v>0</v>
      </c>
      <c r="CJ49" s="659">
        <v>0</v>
      </c>
      <c r="CK49" s="659">
        <v>0</v>
      </c>
      <c r="CL49" s="659">
        <v>0</v>
      </c>
      <c r="CM49" s="659">
        <v>0</v>
      </c>
      <c r="CN49" s="659">
        <v>0</v>
      </c>
      <c r="CO49" s="659">
        <v>0</v>
      </c>
      <c r="CP49" s="659">
        <v>0</v>
      </c>
      <c r="CQ49" s="659">
        <v>0</v>
      </c>
      <c r="CR49" s="659">
        <v>0</v>
      </c>
      <c r="CS49" s="659">
        <v>0</v>
      </c>
      <c r="CT49" s="659">
        <v>0</v>
      </c>
      <c r="CU49" s="659">
        <v>0</v>
      </c>
      <c r="CV49" s="659">
        <v>0</v>
      </c>
      <c r="CW49" s="659">
        <v>0</v>
      </c>
      <c r="CX49" s="659">
        <v>0</v>
      </c>
      <c r="CY49" s="659">
        <v>0</v>
      </c>
      <c r="CZ49" s="659">
        <v>0</v>
      </c>
      <c r="DA49" s="659">
        <v>0</v>
      </c>
      <c r="DB49" s="659">
        <v>0</v>
      </c>
      <c r="DC49" s="659">
        <v>0</v>
      </c>
      <c r="DD49" s="659">
        <v>0</v>
      </c>
      <c r="DE49" s="659">
        <v>0</v>
      </c>
      <c r="DF49" s="659">
        <v>0</v>
      </c>
      <c r="DG49" s="659">
        <v>0</v>
      </c>
      <c r="DH49" s="659">
        <v>0</v>
      </c>
      <c r="DI49" s="659">
        <v>0</v>
      </c>
      <c r="DJ49" s="659">
        <v>0</v>
      </c>
      <c r="DK49" s="659">
        <v>0</v>
      </c>
      <c r="DL49" s="659">
        <v>0</v>
      </c>
      <c r="DM49" s="659">
        <v>0</v>
      </c>
      <c r="DN49" s="659">
        <v>0</v>
      </c>
      <c r="DO49" s="659">
        <v>0</v>
      </c>
      <c r="DP49" s="659">
        <v>0</v>
      </c>
      <c r="DQ49" s="659">
        <v>0</v>
      </c>
      <c r="DR49" s="659">
        <v>0</v>
      </c>
      <c r="DS49" s="659">
        <v>0</v>
      </c>
      <c r="DT49" s="659">
        <v>0</v>
      </c>
      <c r="DU49" s="659">
        <v>0</v>
      </c>
      <c r="DV49" s="659">
        <v>0</v>
      </c>
      <c r="DW49" s="659">
        <v>0</v>
      </c>
      <c r="DX49" s="659">
        <v>0</v>
      </c>
      <c r="DY49" s="659">
        <v>0</v>
      </c>
      <c r="DZ49" s="659">
        <v>0</v>
      </c>
      <c r="EA49" s="659">
        <v>0</v>
      </c>
      <c r="EB49" s="659">
        <v>0</v>
      </c>
      <c r="EC49" s="659">
        <v>0</v>
      </c>
      <c r="ED49" s="659">
        <v>0</v>
      </c>
      <c r="EE49" s="659">
        <v>0</v>
      </c>
      <c r="EF49" s="659">
        <v>0</v>
      </c>
      <c r="EG49" s="659">
        <v>0</v>
      </c>
      <c r="EH49" s="659">
        <v>0</v>
      </c>
      <c r="EI49" s="659">
        <v>0</v>
      </c>
      <c r="EJ49" s="659">
        <v>0</v>
      </c>
      <c r="EK49" s="659">
        <v>0</v>
      </c>
      <c r="EL49" s="659">
        <v>0</v>
      </c>
      <c r="EM49" s="659">
        <v>0</v>
      </c>
      <c r="EN49" s="659">
        <v>0</v>
      </c>
      <c r="EO49" s="659">
        <v>0</v>
      </c>
      <c r="EP49" s="659">
        <v>0</v>
      </c>
      <c r="EQ49" s="659">
        <v>0</v>
      </c>
    </row>
    <row r="50" spans="1:147" ht="13.95" customHeight="1" x14ac:dyDescent="0.3">
      <c r="A50" s="657" t="s">
        <v>1706</v>
      </c>
      <c r="B50" s="658" t="s">
        <v>269</v>
      </c>
      <c r="C50" s="659">
        <v>33342</v>
      </c>
      <c r="D50" s="659">
        <v>0</v>
      </c>
      <c r="E50" s="659">
        <v>0</v>
      </c>
      <c r="F50" s="659">
        <v>10412330</v>
      </c>
      <c r="G50" s="659">
        <v>0</v>
      </c>
      <c r="H50" s="659">
        <v>0</v>
      </c>
      <c r="I50" s="659">
        <v>10209839</v>
      </c>
      <c r="J50" s="801">
        <v>1070</v>
      </c>
      <c r="K50" s="659">
        <v>0</v>
      </c>
      <c r="L50" s="659">
        <v>0</v>
      </c>
      <c r="M50" s="659">
        <v>323050</v>
      </c>
      <c r="N50" s="659">
        <v>0</v>
      </c>
      <c r="O50" s="659">
        <v>0</v>
      </c>
      <c r="P50" s="659">
        <v>319330</v>
      </c>
      <c r="Q50" s="801">
        <v>150</v>
      </c>
      <c r="R50" s="659">
        <v>0</v>
      </c>
      <c r="S50" s="659">
        <v>33000</v>
      </c>
      <c r="T50" s="659">
        <v>0</v>
      </c>
      <c r="U50" s="659">
        <v>0</v>
      </c>
      <c r="V50" s="659">
        <v>31000</v>
      </c>
      <c r="W50" s="801">
        <v>714</v>
      </c>
      <c r="X50" s="659">
        <v>0</v>
      </c>
      <c r="Y50" s="659">
        <v>0</v>
      </c>
      <c r="Z50" s="659">
        <v>67500</v>
      </c>
      <c r="AA50" s="659">
        <v>0</v>
      </c>
      <c r="AB50" s="659">
        <v>0</v>
      </c>
      <c r="AC50" s="659">
        <v>67350</v>
      </c>
      <c r="AD50" s="801">
        <v>635</v>
      </c>
      <c r="AE50" s="659">
        <v>0</v>
      </c>
      <c r="AF50" s="659">
        <v>0</v>
      </c>
      <c r="AG50" s="659">
        <v>151932</v>
      </c>
      <c r="AH50" s="659">
        <v>0</v>
      </c>
      <c r="AI50" s="659">
        <v>0</v>
      </c>
      <c r="AJ50" s="659">
        <v>151932</v>
      </c>
      <c r="AK50" s="801">
        <v>638</v>
      </c>
      <c r="AL50" s="659">
        <v>0</v>
      </c>
      <c r="AM50" s="659">
        <v>142584</v>
      </c>
      <c r="AN50" s="659">
        <v>0</v>
      </c>
      <c r="AO50" s="659">
        <v>0</v>
      </c>
      <c r="AP50" s="659">
        <v>142584</v>
      </c>
      <c r="AQ50" s="801">
        <v>3536</v>
      </c>
      <c r="AR50" s="659">
        <v>0</v>
      </c>
      <c r="AS50" s="659">
        <v>0</v>
      </c>
      <c r="AT50" s="659">
        <v>1477000</v>
      </c>
      <c r="AU50" s="659">
        <v>0</v>
      </c>
      <c r="AV50" s="659">
        <v>0</v>
      </c>
      <c r="AW50" s="659">
        <v>1387370</v>
      </c>
      <c r="AX50" s="659">
        <v>234</v>
      </c>
      <c r="AY50" s="659">
        <v>0</v>
      </c>
      <c r="AZ50" s="659">
        <v>0</v>
      </c>
      <c r="BA50" s="659">
        <v>90626</v>
      </c>
      <c r="BB50" s="659">
        <v>0</v>
      </c>
      <c r="BC50" s="659">
        <v>0</v>
      </c>
      <c r="BD50" s="659">
        <v>90159</v>
      </c>
      <c r="BE50" s="801">
        <v>5172</v>
      </c>
      <c r="BF50" s="659">
        <v>0</v>
      </c>
      <c r="BG50" s="659">
        <v>0</v>
      </c>
      <c r="BH50" s="659">
        <v>2149820</v>
      </c>
      <c r="BI50" s="659">
        <v>0</v>
      </c>
      <c r="BJ50" s="659">
        <v>0</v>
      </c>
      <c r="BK50" s="659">
        <v>2149820</v>
      </c>
      <c r="BL50" s="659">
        <v>935</v>
      </c>
      <c r="BM50" s="659">
        <v>0</v>
      </c>
      <c r="BN50" s="659">
        <v>0</v>
      </c>
      <c r="BO50" s="659">
        <v>174743</v>
      </c>
      <c r="BP50" s="659">
        <v>0</v>
      </c>
      <c r="BQ50" s="659">
        <v>0</v>
      </c>
      <c r="BR50" s="659">
        <v>173310</v>
      </c>
      <c r="BS50" s="659">
        <v>450</v>
      </c>
      <c r="BT50" s="659">
        <v>0</v>
      </c>
      <c r="BU50" s="659">
        <v>0</v>
      </c>
      <c r="BV50" s="659">
        <v>60000</v>
      </c>
      <c r="BW50" s="659">
        <v>0</v>
      </c>
      <c r="BX50" s="659">
        <v>0</v>
      </c>
      <c r="BY50" s="659">
        <v>60000</v>
      </c>
      <c r="BZ50" s="659">
        <v>137</v>
      </c>
      <c r="CA50" s="659">
        <v>0</v>
      </c>
      <c r="CB50" s="659">
        <v>0</v>
      </c>
      <c r="CC50" s="659">
        <v>25565</v>
      </c>
      <c r="CD50" s="659">
        <v>0</v>
      </c>
      <c r="CE50" s="659">
        <v>0</v>
      </c>
      <c r="CF50" s="659">
        <v>25460</v>
      </c>
      <c r="CG50" s="659">
        <v>1944</v>
      </c>
      <c r="CH50" s="659">
        <v>0</v>
      </c>
      <c r="CI50" s="659">
        <v>0</v>
      </c>
      <c r="CJ50" s="659">
        <v>431200</v>
      </c>
      <c r="CK50" s="659">
        <v>0</v>
      </c>
      <c r="CL50" s="659">
        <v>0</v>
      </c>
      <c r="CM50" s="659">
        <v>411500</v>
      </c>
      <c r="CN50" s="659">
        <v>4543</v>
      </c>
      <c r="CO50" s="659">
        <v>0</v>
      </c>
      <c r="CP50" s="659">
        <v>0</v>
      </c>
      <c r="CQ50" s="659">
        <v>1723328</v>
      </c>
      <c r="CR50" s="659">
        <v>0</v>
      </c>
      <c r="CS50" s="659">
        <v>0</v>
      </c>
      <c r="CT50" s="659">
        <v>1708328</v>
      </c>
      <c r="CU50" s="659">
        <v>210</v>
      </c>
      <c r="CV50" s="659">
        <v>0</v>
      </c>
      <c r="CW50" s="659">
        <v>0</v>
      </c>
      <c r="CX50" s="659">
        <v>26700</v>
      </c>
      <c r="CY50" s="659">
        <v>0</v>
      </c>
      <c r="CZ50" s="659">
        <v>0</v>
      </c>
      <c r="DA50" s="659">
        <v>26700</v>
      </c>
      <c r="DB50" s="659">
        <v>4756</v>
      </c>
      <c r="DC50" s="659">
        <v>0</v>
      </c>
      <c r="DD50" s="659">
        <v>0</v>
      </c>
      <c r="DE50" s="659">
        <v>1499504</v>
      </c>
      <c r="DF50" s="659">
        <v>0</v>
      </c>
      <c r="DG50" s="659">
        <v>0</v>
      </c>
      <c r="DH50" s="659">
        <v>1465014</v>
      </c>
      <c r="DI50" s="659">
        <v>1080</v>
      </c>
      <c r="DJ50" s="659">
        <v>0</v>
      </c>
      <c r="DK50" s="659">
        <v>0</v>
      </c>
      <c r="DL50" s="659">
        <v>260500</v>
      </c>
      <c r="DM50" s="659">
        <v>0</v>
      </c>
      <c r="DN50" s="659">
        <v>0</v>
      </c>
      <c r="DO50" s="659">
        <v>254150</v>
      </c>
      <c r="DP50" s="659">
        <v>105</v>
      </c>
      <c r="DQ50" s="659">
        <v>0</v>
      </c>
      <c r="DR50" s="659">
        <v>0</v>
      </c>
      <c r="DS50" s="659">
        <v>19853</v>
      </c>
      <c r="DT50" s="659">
        <v>0</v>
      </c>
      <c r="DU50" s="659">
        <v>0</v>
      </c>
      <c r="DV50" s="659">
        <v>19754</v>
      </c>
      <c r="DW50" s="659">
        <v>4689</v>
      </c>
      <c r="DX50" s="659">
        <v>0</v>
      </c>
      <c r="DY50" s="659">
        <v>0</v>
      </c>
      <c r="DZ50" s="659">
        <v>1246340</v>
      </c>
      <c r="EA50" s="659">
        <v>0</v>
      </c>
      <c r="EB50" s="659">
        <v>0</v>
      </c>
      <c r="EC50" s="659">
        <v>1225228</v>
      </c>
      <c r="ED50" s="659">
        <v>2071</v>
      </c>
      <c r="EE50" s="659">
        <v>0</v>
      </c>
      <c r="EF50" s="659">
        <v>0</v>
      </c>
      <c r="EG50" s="659">
        <v>405675</v>
      </c>
      <c r="EH50" s="659">
        <v>0</v>
      </c>
      <c r="EI50" s="659">
        <v>0</v>
      </c>
      <c r="EJ50" s="659">
        <v>397440</v>
      </c>
      <c r="EK50" s="659">
        <v>273</v>
      </c>
      <c r="EL50" s="659">
        <v>0</v>
      </c>
      <c r="EM50" s="659">
        <v>0</v>
      </c>
      <c r="EN50" s="659">
        <v>103410</v>
      </c>
      <c r="EO50" s="659">
        <v>0</v>
      </c>
      <c r="EP50" s="659">
        <v>0</v>
      </c>
      <c r="EQ50" s="659">
        <v>103410</v>
      </c>
    </row>
    <row r="51" spans="1:147" ht="13.95" customHeight="1" x14ac:dyDescent="0.3">
      <c r="A51" s="657" t="s">
        <v>1707</v>
      </c>
      <c r="B51" s="658" t="s">
        <v>269</v>
      </c>
      <c r="C51" s="659">
        <v>13464</v>
      </c>
      <c r="D51" s="659">
        <v>0</v>
      </c>
      <c r="E51" s="659">
        <v>0</v>
      </c>
      <c r="F51" s="659">
        <v>3269849</v>
      </c>
      <c r="G51" s="659">
        <v>0</v>
      </c>
      <c r="H51" s="659">
        <v>0</v>
      </c>
      <c r="I51" s="659">
        <v>3174479</v>
      </c>
      <c r="J51" s="801">
        <v>0</v>
      </c>
      <c r="K51" s="659">
        <v>0</v>
      </c>
      <c r="L51" s="659">
        <v>0</v>
      </c>
      <c r="M51" s="659">
        <v>0</v>
      </c>
      <c r="N51" s="659">
        <v>0</v>
      </c>
      <c r="O51" s="659">
        <v>0</v>
      </c>
      <c r="P51" s="659">
        <v>0</v>
      </c>
      <c r="Q51" s="801">
        <v>10</v>
      </c>
      <c r="R51" s="659">
        <v>0</v>
      </c>
      <c r="S51" s="659">
        <v>2100</v>
      </c>
      <c r="T51" s="659">
        <v>0</v>
      </c>
      <c r="U51" s="659">
        <v>0</v>
      </c>
      <c r="V51" s="659">
        <v>2000</v>
      </c>
      <c r="W51" s="801">
        <v>341</v>
      </c>
      <c r="X51" s="659">
        <v>0</v>
      </c>
      <c r="Y51" s="659">
        <v>0</v>
      </c>
      <c r="Z51" s="659">
        <v>40000</v>
      </c>
      <c r="AA51" s="659">
        <v>0</v>
      </c>
      <c r="AB51" s="659">
        <v>0</v>
      </c>
      <c r="AC51" s="659">
        <v>39950</v>
      </c>
      <c r="AD51" s="801">
        <v>0</v>
      </c>
      <c r="AE51" s="659">
        <v>0</v>
      </c>
      <c r="AF51" s="659">
        <v>0</v>
      </c>
      <c r="AG51" s="659">
        <v>0</v>
      </c>
      <c r="AH51" s="659">
        <v>0</v>
      </c>
      <c r="AI51" s="659">
        <v>0</v>
      </c>
      <c r="AJ51" s="659">
        <v>0</v>
      </c>
      <c r="AK51" s="801">
        <v>0</v>
      </c>
      <c r="AL51" s="659">
        <v>0</v>
      </c>
      <c r="AM51" s="659">
        <v>0</v>
      </c>
      <c r="AN51" s="659">
        <v>0</v>
      </c>
      <c r="AO51" s="659">
        <v>0</v>
      </c>
      <c r="AP51" s="659">
        <v>0</v>
      </c>
      <c r="AQ51" s="801">
        <v>0</v>
      </c>
      <c r="AR51" s="659">
        <v>0</v>
      </c>
      <c r="AS51" s="659">
        <v>0</v>
      </c>
      <c r="AT51" s="659">
        <v>0</v>
      </c>
      <c r="AU51" s="659">
        <v>0</v>
      </c>
      <c r="AV51" s="659">
        <v>0</v>
      </c>
      <c r="AW51" s="659">
        <v>0</v>
      </c>
      <c r="AX51" s="659">
        <v>0</v>
      </c>
      <c r="AY51" s="659">
        <v>0</v>
      </c>
      <c r="AZ51" s="659">
        <v>0</v>
      </c>
      <c r="BA51" s="659">
        <v>0</v>
      </c>
      <c r="BB51" s="659">
        <v>0</v>
      </c>
      <c r="BC51" s="659">
        <v>0</v>
      </c>
      <c r="BD51" s="659">
        <v>0</v>
      </c>
      <c r="BE51" s="801">
        <v>0</v>
      </c>
      <c r="BF51" s="659">
        <v>0</v>
      </c>
      <c r="BG51" s="659">
        <v>0</v>
      </c>
      <c r="BH51" s="659">
        <v>0</v>
      </c>
      <c r="BI51" s="659">
        <v>0</v>
      </c>
      <c r="BJ51" s="659">
        <v>0</v>
      </c>
      <c r="BK51" s="659">
        <v>0</v>
      </c>
      <c r="BL51" s="659">
        <v>54</v>
      </c>
      <c r="BM51" s="659">
        <v>0</v>
      </c>
      <c r="BN51" s="659">
        <v>0</v>
      </c>
      <c r="BO51" s="659">
        <v>7757</v>
      </c>
      <c r="BP51" s="659">
        <v>0</v>
      </c>
      <c r="BQ51" s="659">
        <v>0</v>
      </c>
      <c r="BR51" s="659">
        <v>7745</v>
      </c>
      <c r="BS51" s="659">
        <v>0</v>
      </c>
      <c r="BT51" s="659">
        <v>0</v>
      </c>
      <c r="BU51" s="659">
        <v>0</v>
      </c>
      <c r="BV51" s="659">
        <v>0</v>
      </c>
      <c r="BW51" s="659">
        <v>0</v>
      </c>
      <c r="BX51" s="659">
        <v>0</v>
      </c>
      <c r="BY51" s="659">
        <v>0</v>
      </c>
      <c r="BZ51" s="659">
        <v>3</v>
      </c>
      <c r="CA51" s="659">
        <v>0</v>
      </c>
      <c r="CB51" s="659">
        <v>0</v>
      </c>
      <c r="CC51" s="659">
        <v>536</v>
      </c>
      <c r="CD51" s="659">
        <v>0</v>
      </c>
      <c r="CE51" s="659">
        <v>0</v>
      </c>
      <c r="CF51" s="659">
        <v>493</v>
      </c>
      <c r="CG51" s="659">
        <v>60</v>
      </c>
      <c r="CH51" s="659">
        <v>0</v>
      </c>
      <c r="CI51" s="659">
        <v>0</v>
      </c>
      <c r="CJ51" s="659">
        <v>14980</v>
      </c>
      <c r="CK51" s="659">
        <v>0</v>
      </c>
      <c r="CL51" s="659">
        <v>0</v>
      </c>
      <c r="CM51" s="659">
        <v>14015</v>
      </c>
      <c r="CN51" s="659">
        <v>59</v>
      </c>
      <c r="CO51" s="659">
        <v>0</v>
      </c>
      <c r="CP51" s="659">
        <v>0</v>
      </c>
      <c r="CQ51" s="659">
        <v>13427</v>
      </c>
      <c r="CR51" s="659">
        <v>0</v>
      </c>
      <c r="CS51" s="659">
        <v>0</v>
      </c>
      <c r="CT51" s="659">
        <v>13427</v>
      </c>
      <c r="CU51" s="659">
        <v>70</v>
      </c>
      <c r="CV51" s="659">
        <v>0</v>
      </c>
      <c r="CW51" s="659">
        <v>0</v>
      </c>
      <c r="CX51" s="659">
        <v>17500</v>
      </c>
      <c r="CY51" s="659">
        <v>0</v>
      </c>
      <c r="CZ51" s="659">
        <v>0</v>
      </c>
      <c r="DA51" s="659">
        <v>17500</v>
      </c>
      <c r="DB51" s="659">
        <v>3026</v>
      </c>
      <c r="DC51" s="659">
        <v>0</v>
      </c>
      <c r="DD51" s="659">
        <v>0</v>
      </c>
      <c r="DE51" s="659">
        <v>888829</v>
      </c>
      <c r="DF51" s="659">
        <v>0</v>
      </c>
      <c r="DG51" s="659">
        <v>0</v>
      </c>
      <c r="DH51" s="659">
        <v>835219</v>
      </c>
      <c r="DI51" s="659">
        <v>1620</v>
      </c>
      <c r="DJ51" s="659">
        <v>0</v>
      </c>
      <c r="DK51" s="659">
        <v>0</v>
      </c>
      <c r="DL51" s="659">
        <v>445750</v>
      </c>
      <c r="DM51" s="659">
        <v>0</v>
      </c>
      <c r="DN51" s="659">
        <v>0</v>
      </c>
      <c r="DO51" s="659">
        <v>426850</v>
      </c>
      <c r="DP51" s="659">
        <v>0</v>
      </c>
      <c r="DQ51" s="659">
        <v>0</v>
      </c>
      <c r="DR51" s="659">
        <v>0</v>
      </c>
      <c r="DS51" s="659">
        <v>0</v>
      </c>
      <c r="DT51" s="659">
        <v>0</v>
      </c>
      <c r="DU51" s="659">
        <v>0</v>
      </c>
      <c r="DV51" s="659">
        <v>0</v>
      </c>
      <c r="DW51" s="659">
        <v>371</v>
      </c>
      <c r="DX51" s="659">
        <v>0</v>
      </c>
      <c r="DY51" s="659">
        <v>0</v>
      </c>
      <c r="DZ51" s="659">
        <v>75240</v>
      </c>
      <c r="EA51" s="659">
        <v>0</v>
      </c>
      <c r="EB51" s="659">
        <v>0</v>
      </c>
      <c r="EC51" s="659">
        <v>73650</v>
      </c>
      <c r="ED51" s="659">
        <v>6920</v>
      </c>
      <c r="EE51" s="659">
        <v>0</v>
      </c>
      <c r="EF51" s="659">
        <v>0</v>
      </c>
      <c r="EG51" s="659">
        <v>1486600</v>
      </c>
      <c r="EH51" s="659">
        <v>0</v>
      </c>
      <c r="EI51" s="659">
        <v>0</v>
      </c>
      <c r="EJ51" s="659">
        <v>1466500</v>
      </c>
      <c r="EK51" s="659">
        <v>930</v>
      </c>
      <c r="EL51" s="659">
        <v>0</v>
      </c>
      <c r="EM51" s="659">
        <v>0</v>
      </c>
      <c r="EN51" s="659">
        <v>277130</v>
      </c>
      <c r="EO51" s="659">
        <v>0</v>
      </c>
      <c r="EP51" s="659">
        <v>0</v>
      </c>
      <c r="EQ51" s="659">
        <v>277130</v>
      </c>
    </row>
    <row r="52" spans="1:147" ht="13.95" customHeight="1" x14ac:dyDescent="0.3">
      <c r="A52" s="657" t="s">
        <v>1708</v>
      </c>
      <c r="B52" s="658" t="s">
        <v>269</v>
      </c>
      <c r="C52" s="659">
        <v>29967</v>
      </c>
      <c r="D52" s="659">
        <v>0</v>
      </c>
      <c r="E52" s="659">
        <v>0</v>
      </c>
      <c r="F52" s="659">
        <v>20021875</v>
      </c>
      <c r="G52" s="659">
        <v>0</v>
      </c>
      <c r="H52" s="659">
        <v>0</v>
      </c>
      <c r="I52" s="659">
        <v>17791270</v>
      </c>
      <c r="J52" s="801">
        <v>303</v>
      </c>
      <c r="K52" s="659">
        <v>0</v>
      </c>
      <c r="L52" s="659">
        <v>0</v>
      </c>
      <c r="M52" s="659">
        <v>165315</v>
      </c>
      <c r="N52" s="659">
        <v>0</v>
      </c>
      <c r="O52" s="659">
        <v>0</v>
      </c>
      <c r="P52" s="659">
        <v>140936</v>
      </c>
      <c r="Q52" s="801">
        <v>0</v>
      </c>
      <c r="R52" s="659">
        <v>0</v>
      </c>
      <c r="S52" s="659">
        <v>0</v>
      </c>
      <c r="T52" s="659">
        <v>0</v>
      </c>
      <c r="U52" s="659">
        <v>0</v>
      </c>
      <c r="V52" s="659">
        <v>0</v>
      </c>
      <c r="W52" s="801">
        <v>0</v>
      </c>
      <c r="X52" s="659">
        <v>0</v>
      </c>
      <c r="Y52" s="659">
        <v>0</v>
      </c>
      <c r="Z52" s="659">
        <v>0</v>
      </c>
      <c r="AA52" s="659">
        <v>0</v>
      </c>
      <c r="AB52" s="659">
        <v>0</v>
      </c>
      <c r="AC52" s="659">
        <v>0</v>
      </c>
      <c r="AD52" s="801">
        <v>1603</v>
      </c>
      <c r="AE52" s="659">
        <v>0</v>
      </c>
      <c r="AF52" s="659">
        <v>0</v>
      </c>
      <c r="AG52" s="659">
        <v>1053456</v>
      </c>
      <c r="AH52" s="659">
        <v>0</v>
      </c>
      <c r="AI52" s="659">
        <v>0</v>
      </c>
      <c r="AJ52" s="659">
        <v>945939</v>
      </c>
      <c r="AK52" s="801">
        <v>0</v>
      </c>
      <c r="AL52" s="659">
        <v>0</v>
      </c>
      <c r="AM52" s="659">
        <v>0</v>
      </c>
      <c r="AN52" s="659">
        <v>0</v>
      </c>
      <c r="AO52" s="659">
        <v>0</v>
      </c>
      <c r="AP52" s="659">
        <v>0</v>
      </c>
      <c r="AQ52" s="801">
        <v>9883</v>
      </c>
      <c r="AR52" s="659">
        <v>0</v>
      </c>
      <c r="AS52" s="659">
        <v>0</v>
      </c>
      <c r="AT52" s="659">
        <v>6648166</v>
      </c>
      <c r="AU52" s="659">
        <v>0</v>
      </c>
      <c r="AV52" s="659">
        <v>0</v>
      </c>
      <c r="AW52" s="659">
        <v>6006647</v>
      </c>
      <c r="AX52" s="659">
        <v>297</v>
      </c>
      <c r="AY52" s="659">
        <v>0</v>
      </c>
      <c r="AZ52" s="659">
        <v>0</v>
      </c>
      <c r="BA52" s="659">
        <v>155621</v>
      </c>
      <c r="BB52" s="659">
        <v>0</v>
      </c>
      <c r="BC52" s="659">
        <v>0</v>
      </c>
      <c r="BD52" s="659">
        <v>141023</v>
      </c>
      <c r="BE52" s="801">
        <v>17613</v>
      </c>
      <c r="BF52" s="659">
        <v>0</v>
      </c>
      <c r="BG52" s="659">
        <v>0</v>
      </c>
      <c r="BH52" s="659">
        <v>11933917</v>
      </c>
      <c r="BI52" s="659">
        <v>0</v>
      </c>
      <c r="BJ52" s="659">
        <v>0</v>
      </c>
      <c r="BK52" s="659">
        <v>10502899</v>
      </c>
      <c r="BL52" s="659">
        <v>0</v>
      </c>
      <c r="BM52" s="659">
        <v>0</v>
      </c>
      <c r="BN52" s="659">
        <v>0</v>
      </c>
      <c r="BO52" s="659">
        <v>0</v>
      </c>
      <c r="BP52" s="659">
        <v>0</v>
      </c>
      <c r="BQ52" s="659">
        <v>0</v>
      </c>
      <c r="BR52" s="659">
        <v>0</v>
      </c>
      <c r="BS52" s="659">
        <v>14</v>
      </c>
      <c r="BT52" s="659">
        <v>0</v>
      </c>
      <c r="BU52" s="659">
        <v>0</v>
      </c>
      <c r="BV52" s="659">
        <v>3453</v>
      </c>
      <c r="BW52" s="659">
        <v>0</v>
      </c>
      <c r="BX52" s="659">
        <v>0</v>
      </c>
      <c r="BY52" s="659">
        <v>2471</v>
      </c>
      <c r="BZ52" s="659">
        <v>254</v>
      </c>
      <c r="CA52" s="659">
        <v>0</v>
      </c>
      <c r="CB52" s="659">
        <v>0</v>
      </c>
      <c r="CC52" s="659">
        <v>61947</v>
      </c>
      <c r="CD52" s="659">
        <v>0</v>
      </c>
      <c r="CE52" s="659">
        <v>0</v>
      </c>
      <c r="CF52" s="659">
        <v>51356</v>
      </c>
      <c r="CG52" s="659">
        <v>0</v>
      </c>
      <c r="CH52" s="659">
        <v>0</v>
      </c>
      <c r="CI52" s="659">
        <v>0</v>
      </c>
      <c r="CJ52" s="659">
        <v>0</v>
      </c>
      <c r="CK52" s="659">
        <v>0</v>
      </c>
      <c r="CL52" s="659">
        <v>0</v>
      </c>
      <c r="CM52" s="659">
        <v>0</v>
      </c>
      <c r="CN52" s="659">
        <v>0</v>
      </c>
      <c r="CO52" s="659">
        <v>0</v>
      </c>
      <c r="CP52" s="659">
        <v>0</v>
      </c>
      <c r="CQ52" s="659">
        <v>0</v>
      </c>
      <c r="CR52" s="659">
        <v>0</v>
      </c>
      <c r="CS52" s="659">
        <v>0</v>
      </c>
      <c r="CT52" s="659">
        <v>0</v>
      </c>
      <c r="CU52" s="659">
        <v>0</v>
      </c>
      <c r="CV52" s="659">
        <v>0</v>
      </c>
      <c r="CW52" s="659">
        <v>0</v>
      </c>
      <c r="CX52" s="659">
        <v>0</v>
      </c>
      <c r="CY52" s="659">
        <v>0</v>
      </c>
      <c r="CZ52" s="659">
        <v>0</v>
      </c>
      <c r="DA52" s="659">
        <v>0</v>
      </c>
      <c r="DB52" s="659">
        <v>0</v>
      </c>
      <c r="DC52" s="659">
        <v>0</v>
      </c>
      <c r="DD52" s="659">
        <v>0</v>
      </c>
      <c r="DE52" s="659">
        <v>0</v>
      </c>
      <c r="DF52" s="659">
        <v>0</v>
      </c>
      <c r="DG52" s="659">
        <v>0</v>
      </c>
      <c r="DH52" s="659">
        <v>0</v>
      </c>
      <c r="DI52" s="659">
        <v>0</v>
      </c>
      <c r="DJ52" s="659">
        <v>0</v>
      </c>
      <c r="DK52" s="659">
        <v>0</v>
      </c>
      <c r="DL52" s="659">
        <v>0</v>
      </c>
      <c r="DM52" s="659">
        <v>0</v>
      </c>
      <c r="DN52" s="659">
        <v>0</v>
      </c>
      <c r="DO52" s="659">
        <v>0</v>
      </c>
      <c r="DP52" s="659">
        <v>0</v>
      </c>
      <c r="DQ52" s="659">
        <v>0</v>
      </c>
      <c r="DR52" s="659">
        <v>0</v>
      </c>
      <c r="DS52" s="659">
        <v>0</v>
      </c>
      <c r="DT52" s="659">
        <v>0</v>
      </c>
      <c r="DU52" s="659">
        <v>0</v>
      </c>
      <c r="DV52" s="659">
        <v>0</v>
      </c>
      <c r="DW52" s="659">
        <v>0</v>
      </c>
      <c r="DX52" s="659">
        <v>0</v>
      </c>
      <c r="DY52" s="659">
        <v>0</v>
      </c>
      <c r="DZ52" s="659">
        <v>0</v>
      </c>
      <c r="EA52" s="659">
        <v>0</v>
      </c>
      <c r="EB52" s="659">
        <v>0</v>
      </c>
      <c r="EC52" s="659">
        <v>0</v>
      </c>
      <c r="ED52" s="659">
        <v>0</v>
      </c>
      <c r="EE52" s="659">
        <v>0</v>
      </c>
      <c r="EF52" s="659">
        <v>0</v>
      </c>
      <c r="EG52" s="659">
        <v>0</v>
      </c>
      <c r="EH52" s="659">
        <v>0</v>
      </c>
      <c r="EI52" s="659">
        <v>0</v>
      </c>
      <c r="EJ52" s="659">
        <v>0</v>
      </c>
      <c r="EK52" s="659">
        <v>0</v>
      </c>
      <c r="EL52" s="659">
        <v>0</v>
      </c>
      <c r="EM52" s="659">
        <v>0</v>
      </c>
      <c r="EN52" s="659">
        <v>0</v>
      </c>
      <c r="EO52" s="659">
        <v>0</v>
      </c>
      <c r="EP52" s="659">
        <v>0</v>
      </c>
      <c r="EQ52" s="659">
        <v>0</v>
      </c>
    </row>
    <row r="53" spans="1:147" ht="13.95" customHeight="1" x14ac:dyDescent="0.3">
      <c r="A53" s="657" t="s">
        <v>1709</v>
      </c>
      <c r="B53" s="658" t="s">
        <v>269</v>
      </c>
      <c r="C53" s="659">
        <v>0</v>
      </c>
      <c r="D53" s="659">
        <v>0</v>
      </c>
      <c r="E53" s="659">
        <v>0</v>
      </c>
      <c r="F53" s="659">
        <v>0</v>
      </c>
      <c r="G53" s="659">
        <v>0</v>
      </c>
      <c r="H53" s="659">
        <v>0</v>
      </c>
      <c r="I53" s="659">
        <v>0</v>
      </c>
      <c r="J53" s="801">
        <v>0</v>
      </c>
      <c r="K53" s="659">
        <v>0</v>
      </c>
      <c r="L53" s="659">
        <v>0</v>
      </c>
      <c r="M53" s="659">
        <v>0</v>
      </c>
      <c r="N53" s="659">
        <v>0</v>
      </c>
      <c r="O53" s="659">
        <v>0</v>
      </c>
      <c r="P53" s="659">
        <v>0</v>
      </c>
      <c r="Q53" s="801">
        <v>0</v>
      </c>
      <c r="R53" s="659">
        <v>0</v>
      </c>
      <c r="S53" s="659">
        <v>0</v>
      </c>
      <c r="T53" s="659">
        <v>0</v>
      </c>
      <c r="U53" s="659">
        <v>0</v>
      </c>
      <c r="V53" s="659">
        <v>0</v>
      </c>
      <c r="W53" s="801">
        <v>0</v>
      </c>
      <c r="X53" s="659">
        <v>0</v>
      </c>
      <c r="Y53" s="659">
        <v>0</v>
      </c>
      <c r="Z53" s="659">
        <v>0</v>
      </c>
      <c r="AA53" s="659">
        <v>0</v>
      </c>
      <c r="AB53" s="659">
        <v>0</v>
      </c>
      <c r="AC53" s="659">
        <v>0</v>
      </c>
      <c r="AD53" s="801">
        <v>0</v>
      </c>
      <c r="AE53" s="659">
        <v>0</v>
      </c>
      <c r="AF53" s="659">
        <v>0</v>
      </c>
      <c r="AG53" s="659">
        <v>0</v>
      </c>
      <c r="AH53" s="659">
        <v>0</v>
      </c>
      <c r="AI53" s="659">
        <v>0</v>
      </c>
      <c r="AJ53" s="659">
        <v>0</v>
      </c>
      <c r="AK53" s="801">
        <v>0</v>
      </c>
      <c r="AL53" s="659">
        <v>0</v>
      </c>
      <c r="AM53" s="659">
        <v>0</v>
      </c>
      <c r="AN53" s="659">
        <v>0</v>
      </c>
      <c r="AO53" s="659">
        <v>0</v>
      </c>
      <c r="AP53" s="659">
        <v>0</v>
      </c>
      <c r="AQ53" s="801">
        <v>0</v>
      </c>
      <c r="AR53" s="659">
        <v>0</v>
      </c>
      <c r="AS53" s="659">
        <v>0</v>
      </c>
      <c r="AT53" s="659">
        <v>0</v>
      </c>
      <c r="AU53" s="659">
        <v>0</v>
      </c>
      <c r="AV53" s="659">
        <v>0</v>
      </c>
      <c r="AW53" s="659">
        <v>0</v>
      </c>
      <c r="AX53" s="659">
        <v>0</v>
      </c>
      <c r="AY53" s="659">
        <v>0</v>
      </c>
      <c r="AZ53" s="659">
        <v>0</v>
      </c>
      <c r="BA53" s="659">
        <v>0</v>
      </c>
      <c r="BB53" s="659">
        <v>0</v>
      </c>
      <c r="BC53" s="659">
        <v>0</v>
      </c>
      <c r="BD53" s="659">
        <v>0</v>
      </c>
      <c r="BE53" s="801">
        <v>0</v>
      </c>
      <c r="BF53" s="659">
        <v>0</v>
      </c>
      <c r="BG53" s="659">
        <v>0</v>
      </c>
      <c r="BH53" s="659">
        <v>0</v>
      </c>
      <c r="BI53" s="659">
        <v>0</v>
      </c>
      <c r="BJ53" s="659">
        <v>0</v>
      </c>
      <c r="BK53" s="659">
        <v>0</v>
      </c>
      <c r="BL53" s="659">
        <v>0</v>
      </c>
      <c r="BM53" s="659">
        <v>0</v>
      </c>
      <c r="BN53" s="659">
        <v>0</v>
      </c>
      <c r="BO53" s="659">
        <v>0</v>
      </c>
      <c r="BP53" s="659">
        <v>0</v>
      </c>
      <c r="BQ53" s="659">
        <v>0</v>
      </c>
      <c r="BR53" s="659">
        <v>0</v>
      </c>
      <c r="BS53" s="659">
        <v>0</v>
      </c>
      <c r="BT53" s="659">
        <v>0</v>
      </c>
      <c r="BU53" s="659">
        <v>0</v>
      </c>
      <c r="BV53" s="659">
        <v>0</v>
      </c>
      <c r="BW53" s="659">
        <v>0</v>
      </c>
      <c r="BX53" s="659">
        <v>0</v>
      </c>
      <c r="BY53" s="659">
        <v>0</v>
      </c>
      <c r="BZ53" s="659">
        <v>0</v>
      </c>
      <c r="CA53" s="659">
        <v>0</v>
      </c>
      <c r="CB53" s="659">
        <v>0</v>
      </c>
      <c r="CC53" s="659">
        <v>0</v>
      </c>
      <c r="CD53" s="659">
        <v>0</v>
      </c>
      <c r="CE53" s="659">
        <v>0</v>
      </c>
      <c r="CF53" s="659">
        <v>0</v>
      </c>
      <c r="CG53" s="659">
        <v>0</v>
      </c>
      <c r="CH53" s="659">
        <v>0</v>
      </c>
      <c r="CI53" s="659">
        <v>0</v>
      </c>
      <c r="CJ53" s="659">
        <v>0</v>
      </c>
      <c r="CK53" s="659">
        <v>0</v>
      </c>
      <c r="CL53" s="659">
        <v>0</v>
      </c>
      <c r="CM53" s="659">
        <v>0</v>
      </c>
      <c r="CN53" s="659">
        <v>0</v>
      </c>
      <c r="CO53" s="659">
        <v>0</v>
      </c>
      <c r="CP53" s="659">
        <v>0</v>
      </c>
      <c r="CQ53" s="659">
        <v>0</v>
      </c>
      <c r="CR53" s="659">
        <v>0</v>
      </c>
      <c r="CS53" s="659">
        <v>0</v>
      </c>
      <c r="CT53" s="659">
        <v>0</v>
      </c>
      <c r="CU53" s="659">
        <v>0</v>
      </c>
      <c r="CV53" s="659">
        <v>0</v>
      </c>
      <c r="CW53" s="659">
        <v>0</v>
      </c>
      <c r="CX53" s="659">
        <v>0</v>
      </c>
      <c r="CY53" s="659">
        <v>0</v>
      </c>
      <c r="CZ53" s="659">
        <v>0</v>
      </c>
      <c r="DA53" s="659">
        <v>0</v>
      </c>
      <c r="DB53" s="659">
        <v>0</v>
      </c>
      <c r="DC53" s="659">
        <v>0</v>
      </c>
      <c r="DD53" s="659">
        <v>0</v>
      </c>
      <c r="DE53" s="659">
        <v>0</v>
      </c>
      <c r="DF53" s="659">
        <v>0</v>
      </c>
      <c r="DG53" s="659">
        <v>0</v>
      </c>
      <c r="DH53" s="659">
        <v>0</v>
      </c>
      <c r="DI53" s="659">
        <v>0</v>
      </c>
      <c r="DJ53" s="659">
        <v>0</v>
      </c>
      <c r="DK53" s="659">
        <v>0</v>
      </c>
      <c r="DL53" s="659">
        <v>0</v>
      </c>
      <c r="DM53" s="659">
        <v>0</v>
      </c>
      <c r="DN53" s="659">
        <v>0</v>
      </c>
      <c r="DO53" s="659">
        <v>0</v>
      </c>
      <c r="DP53" s="659">
        <v>0</v>
      </c>
      <c r="DQ53" s="659">
        <v>0</v>
      </c>
      <c r="DR53" s="659">
        <v>0</v>
      </c>
      <c r="DS53" s="659">
        <v>0</v>
      </c>
      <c r="DT53" s="659">
        <v>0</v>
      </c>
      <c r="DU53" s="659">
        <v>0</v>
      </c>
      <c r="DV53" s="659">
        <v>0</v>
      </c>
      <c r="DW53" s="659">
        <v>0</v>
      </c>
      <c r="DX53" s="659">
        <v>0</v>
      </c>
      <c r="DY53" s="659">
        <v>0</v>
      </c>
      <c r="DZ53" s="659">
        <v>0</v>
      </c>
      <c r="EA53" s="659">
        <v>0</v>
      </c>
      <c r="EB53" s="659">
        <v>0</v>
      </c>
      <c r="EC53" s="659">
        <v>0</v>
      </c>
      <c r="ED53" s="659">
        <v>0</v>
      </c>
      <c r="EE53" s="659">
        <v>0</v>
      </c>
      <c r="EF53" s="659">
        <v>0</v>
      </c>
      <c r="EG53" s="659">
        <v>0</v>
      </c>
      <c r="EH53" s="659">
        <v>0</v>
      </c>
      <c r="EI53" s="659">
        <v>0</v>
      </c>
      <c r="EJ53" s="659">
        <v>0</v>
      </c>
      <c r="EK53" s="659">
        <v>0</v>
      </c>
      <c r="EL53" s="659">
        <v>0</v>
      </c>
      <c r="EM53" s="659">
        <v>0</v>
      </c>
      <c r="EN53" s="659">
        <v>0</v>
      </c>
      <c r="EO53" s="659">
        <v>0</v>
      </c>
      <c r="EP53" s="659">
        <v>0</v>
      </c>
      <c r="EQ53" s="659">
        <v>0</v>
      </c>
    </row>
    <row r="54" spans="1:147" ht="13.95" customHeight="1" x14ac:dyDescent="0.3">
      <c r="A54" s="657" t="s">
        <v>1710</v>
      </c>
      <c r="B54" s="658" t="s">
        <v>269</v>
      </c>
      <c r="C54" s="659">
        <v>385</v>
      </c>
      <c r="D54" s="659">
        <v>0</v>
      </c>
      <c r="E54" s="659">
        <v>0</v>
      </c>
      <c r="F54" s="659">
        <v>60272</v>
      </c>
      <c r="G54" s="659">
        <v>0</v>
      </c>
      <c r="H54" s="659">
        <v>0</v>
      </c>
      <c r="I54" s="659">
        <v>55342</v>
      </c>
      <c r="J54" s="801">
        <v>0</v>
      </c>
      <c r="K54" s="659">
        <v>0</v>
      </c>
      <c r="L54" s="659">
        <v>0</v>
      </c>
      <c r="M54" s="659">
        <v>0</v>
      </c>
      <c r="N54" s="659">
        <v>0</v>
      </c>
      <c r="O54" s="659">
        <v>0</v>
      </c>
      <c r="P54" s="659">
        <v>0</v>
      </c>
      <c r="Q54" s="801">
        <v>0</v>
      </c>
      <c r="R54" s="659">
        <v>0</v>
      </c>
      <c r="S54" s="659">
        <v>0</v>
      </c>
      <c r="T54" s="659">
        <v>0</v>
      </c>
      <c r="U54" s="659">
        <v>0</v>
      </c>
      <c r="V54" s="659">
        <v>0</v>
      </c>
      <c r="W54" s="801">
        <v>0</v>
      </c>
      <c r="X54" s="659">
        <v>0</v>
      </c>
      <c r="Y54" s="659">
        <v>0</v>
      </c>
      <c r="Z54" s="659">
        <v>0</v>
      </c>
      <c r="AA54" s="659">
        <v>0</v>
      </c>
      <c r="AB54" s="659">
        <v>0</v>
      </c>
      <c r="AC54" s="659">
        <v>0</v>
      </c>
      <c r="AD54" s="801">
        <v>0</v>
      </c>
      <c r="AE54" s="659">
        <v>0</v>
      </c>
      <c r="AF54" s="659">
        <v>0</v>
      </c>
      <c r="AG54" s="659">
        <v>0</v>
      </c>
      <c r="AH54" s="659">
        <v>0</v>
      </c>
      <c r="AI54" s="659">
        <v>0</v>
      </c>
      <c r="AJ54" s="659">
        <v>0</v>
      </c>
      <c r="AK54" s="801">
        <v>0</v>
      </c>
      <c r="AL54" s="659">
        <v>0</v>
      </c>
      <c r="AM54" s="659">
        <v>0</v>
      </c>
      <c r="AN54" s="659">
        <v>0</v>
      </c>
      <c r="AO54" s="659">
        <v>0</v>
      </c>
      <c r="AP54" s="659">
        <v>0</v>
      </c>
      <c r="AQ54" s="801">
        <v>263</v>
      </c>
      <c r="AR54" s="659">
        <v>0</v>
      </c>
      <c r="AS54" s="659">
        <v>0</v>
      </c>
      <c r="AT54" s="659">
        <v>22060</v>
      </c>
      <c r="AU54" s="659">
        <v>0</v>
      </c>
      <c r="AV54" s="659">
        <v>0</v>
      </c>
      <c r="AW54" s="659">
        <v>19310</v>
      </c>
      <c r="AX54" s="659">
        <v>0</v>
      </c>
      <c r="AY54" s="659">
        <v>0</v>
      </c>
      <c r="AZ54" s="659">
        <v>0</v>
      </c>
      <c r="BA54" s="659">
        <v>0</v>
      </c>
      <c r="BB54" s="659">
        <v>0</v>
      </c>
      <c r="BC54" s="659">
        <v>0</v>
      </c>
      <c r="BD54" s="659">
        <v>0</v>
      </c>
      <c r="BE54" s="801">
        <v>0</v>
      </c>
      <c r="BF54" s="659">
        <v>0</v>
      </c>
      <c r="BG54" s="659">
        <v>0</v>
      </c>
      <c r="BH54" s="659">
        <v>0</v>
      </c>
      <c r="BI54" s="659">
        <v>0</v>
      </c>
      <c r="BJ54" s="659">
        <v>0</v>
      </c>
      <c r="BK54" s="659">
        <v>0</v>
      </c>
      <c r="BL54" s="659">
        <v>3</v>
      </c>
      <c r="BM54" s="659">
        <v>0</v>
      </c>
      <c r="BN54" s="659">
        <v>0</v>
      </c>
      <c r="BO54" s="659">
        <v>750</v>
      </c>
      <c r="BP54" s="659">
        <v>0</v>
      </c>
      <c r="BQ54" s="659">
        <v>0</v>
      </c>
      <c r="BR54" s="659">
        <v>750</v>
      </c>
      <c r="BS54" s="659">
        <v>0</v>
      </c>
      <c r="BT54" s="659">
        <v>0</v>
      </c>
      <c r="BU54" s="659">
        <v>0</v>
      </c>
      <c r="BV54" s="659">
        <v>0</v>
      </c>
      <c r="BW54" s="659">
        <v>0</v>
      </c>
      <c r="BX54" s="659">
        <v>0</v>
      </c>
      <c r="BY54" s="659">
        <v>0</v>
      </c>
      <c r="BZ54" s="659">
        <v>13</v>
      </c>
      <c r="CA54" s="659">
        <v>0</v>
      </c>
      <c r="CB54" s="659">
        <v>0</v>
      </c>
      <c r="CC54" s="659">
        <v>4437</v>
      </c>
      <c r="CD54" s="659">
        <v>0</v>
      </c>
      <c r="CE54" s="659">
        <v>0</v>
      </c>
      <c r="CF54" s="659">
        <v>4317</v>
      </c>
      <c r="CG54" s="659">
        <v>48</v>
      </c>
      <c r="CH54" s="659">
        <v>0</v>
      </c>
      <c r="CI54" s="659">
        <v>0</v>
      </c>
      <c r="CJ54" s="659">
        <v>19500</v>
      </c>
      <c r="CK54" s="659">
        <v>0</v>
      </c>
      <c r="CL54" s="659">
        <v>0</v>
      </c>
      <c r="CM54" s="659">
        <v>17700</v>
      </c>
      <c r="CN54" s="659">
        <v>0</v>
      </c>
      <c r="CO54" s="659">
        <v>0</v>
      </c>
      <c r="CP54" s="659">
        <v>0</v>
      </c>
      <c r="CQ54" s="659">
        <v>0</v>
      </c>
      <c r="CR54" s="659">
        <v>0</v>
      </c>
      <c r="CS54" s="659">
        <v>0</v>
      </c>
      <c r="CT54" s="659">
        <v>0</v>
      </c>
      <c r="CU54" s="659">
        <v>0</v>
      </c>
      <c r="CV54" s="659">
        <v>0</v>
      </c>
      <c r="CW54" s="659">
        <v>0</v>
      </c>
      <c r="CX54" s="659">
        <v>0</v>
      </c>
      <c r="CY54" s="659">
        <v>0</v>
      </c>
      <c r="CZ54" s="659">
        <v>0</v>
      </c>
      <c r="DA54" s="659">
        <v>0</v>
      </c>
      <c r="DB54" s="659">
        <v>0</v>
      </c>
      <c r="DC54" s="659">
        <v>0</v>
      </c>
      <c r="DD54" s="659">
        <v>0</v>
      </c>
      <c r="DE54" s="659">
        <v>0</v>
      </c>
      <c r="DF54" s="659">
        <v>0</v>
      </c>
      <c r="DG54" s="659">
        <v>0</v>
      </c>
      <c r="DH54" s="659">
        <v>0</v>
      </c>
      <c r="DI54" s="659">
        <v>55</v>
      </c>
      <c r="DJ54" s="659">
        <v>0</v>
      </c>
      <c r="DK54" s="659">
        <v>0</v>
      </c>
      <c r="DL54" s="659">
        <v>12925</v>
      </c>
      <c r="DM54" s="659">
        <v>0</v>
      </c>
      <c r="DN54" s="659">
        <v>0</v>
      </c>
      <c r="DO54" s="659">
        <v>12665</v>
      </c>
      <c r="DP54" s="659">
        <v>0</v>
      </c>
      <c r="DQ54" s="659">
        <v>0</v>
      </c>
      <c r="DR54" s="659">
        <v>0</v>
      </c>
      <c r="DS54" s="659">
        <v>0</v>
      </c>
      <c r="DT54" s="659">
        <v>0</v>
      </c>
      <c r="DU54" s="659">
        <v>0</v>
      </c>
      <c r="DV54" s="659">
        <v>0</v>
      </c>
      <c r="DW54" s="659">
        <v>3</v>
      </c>
      <c r="DX54" s="659">
        <v>0</v>
      </c>
      <c r="DY54" s="659">
        <v>0</v>
      </c>
      <c r="DZ54" s="659">
        <v>600</v>
      </c>
      <c r="EA54" s="659">
        <v>0</v>
      </c>
      <c r="EB54" s="659">
        <v>0</v>
      </c>
      <c r="EC54" s="659">
        <v>600</v>
      </c>
      <c r="ED54" s="659">
        <v>0</v>
      </c>
      <c r="EE54" s="659">
        <v>0</v>
      </c>
      <c r="EF54" s="659">
        <v>0</v>
      </c>
      <c r="EG54" s="659">
        <v>0</v>
      </c>
      <c r="EH54" s="659">
        <v>0</v>
      </c>
      <c r="EI54" s="659">
        <v>0</v>
      </c>
      <c r="EJ54" s="659">
        <v>0</v>
      </c>
      <c r="EK54" s="659">
        <v>0</v>
      </c>
      <c r="EL54" s="659">
        <v>0</v>
      </c>
      <c r="EM54" s="659">
        <v>0</v>
      </c>
      <c r="EN54" s="659">
        <v>0</v>
      </c>
      <c r="EO54" s="659">
        <v>0</v>
      </c>
      <c r="EP54" s="659">
        <v>0</v>
      </c>
      <c r="EQ54" s="659">
        <v>0</v>
      </c>
    </row>
    <row r="55" spans="1:147" ht="13.95" customHeight="1" x14ac:dyDescent="0.3">
      <c r="A55" s="657" t="s">
        <v>1711</v>
      </c>
      <c r="B55" s="658" t="s">
        <v>269</v>
      </c>
      <c r="C55" s="659">
        <f>C56+C58+C62</f>
        <v>422066</v>
      </c>
      <c r="D55" s="659">
        <f t="shared" ref="D55:BO55" si="34">D56+D58+D62</f>
        <v>0</v>
      </c>
      <c r="E55" s="659">
        <f t="shared" si="34"/>
        <v>0</v>
      </c>
      <c r="F55" s="659">
        <f t="shared" si="34"/>
        <v>14224692</v>
      </c>
      <c r="G55" s="659">
        <f t="shared" si="34"/>
        <v>0</v>
      </c>
      <c r="H55" s="659">
        <f t="shared" si="34"/>
        <v>0</v>
      </c>
      <c r="I55" s="659">
        <f t="shared" si="34"/>
        <v>13831079</v>
      </c>
      <c r="J55" s="801">
        <f t="shared" si="34"/>
        <v>21651</v>
      </c>
      <c r="K55" s="659">
        <f t="shared" si="34"/>
        <v>0</v>
      </c>
      <c r="L55" s="659">
        <f t="shared" si="34"/>
        <v>0</v>
      </c>
      <c r="M55" s="659">
        <f t="shared" si="34"/>
        <v>658589</v>
      </c>
      <c r="N55" s="659">
        <f t="shared" si="34"/>
        <v>0</v>
      </c>
      <c r="O55" s="659">
        <f t="shared" si="34"/>
        <v>0</v>
      </c>
      <c r="P55" s="659">
        <f t="shared" si="34"/>
        <v>597603</v>
      </c>
      <c r="Q55" s="801">
        <f t="shared" si="34"/>
        <v>1</v>
      </c>
      <c r="R55" s="659">
        <f t="shared" si="34"/>
        <v>0</v>
      </c>
      <c r="S55" s="659">
        <f t="shared" si="34"/>
        <v>15</v>
      </c>
      <c r="T55" s="659">
        <f t="shared" si="34"/>
        <v>0</v>
      </c>
      <c r="U55" s="659">
        <f t="shared" si="34"/>
        <v>0</v>
      </c>
      <c r="V55" s="659">
        <f t="shared" si="34"/>
        <v>5</v>
      </c>
      <c r="W55" s="801">
        <f t="shared" si="34"/>
        <v>11</v>
      </c>
      <c r="X55" s="659">
        <f t="shared" si="34"/>
        <v>0</v>
      </c>
      <c r="Y55" s="659">
        <f t="shared" si="34"/>
        <v>0</v>
      </c>
      <c r="Z55" s="659">
        <f t="shared" si="34"/>
        <v>447</v>
      </c>
      <c r="AA55" s="659">
        <f t="shared" si="34"/>
        <v>0</v>
      </c>
      <c r="AB55" s="659">
        <f t="shared" si="34"/>
        <v>0</v>
      </c>
      <c r="AC55" s="659">
        <f t="shared" si="34"/>
        <v>447</v>
      </c>
      <c r="AD55" s="801">
        <f t="shared" si="34"/>
        <v>47878</v>
      </c>
      <c r="AE55" s="659">
        <f t="shared" si="34"/>
        <v>0</v>
      </c>
      <c r="AF55" s="659">
        <f t="shared" si="34"/>
        <v>0</v>
      </c>
      <c r="AG55" s="659">
        <f t="shared" si="34"/>
        <v>1433897</v>
      </c>
      <c r="AH55" s="659">
        <f t="shared" si="34"/>
        <v>0</v>
      </c>
      <c r="AI55" s="659">
        <f t="shared" si="34"/>
        <v>0</v>
      </c>
      <c r="AJ55" s="659">
        <f t="shared" si="34"/>
        <v>1433897</v>
      </c>
      <c r="AK55" s="801">
        <f t="shared" si="34"/>
        <v>5</v>
      </c>
      <c r="AL55" s="659">
        <f t="shared" si="34"/>
        <v>0</v>
      </c>
      <c r="AM55" s="659">
        <f t="shared" si="34"/>
        <v>50</v>
      </c>
      <c r="AN55" s="659">
        <f t="shared" si="34"/>
        <v>0</v>
      </c>
      <c r="AO55" s="659">
        <f t="shared" si="34"/>
        <v>0</v>
      </c>
      <c r="AP55" s="659">
        <f t="shared" si="34"/>
        <v>50</v>
      </c>
      <c r="AQ55" s="801">
        <f t="shared" si="34"/>
        <v>141495</v>
      </c>
      <c r="AR55" s="659">
        <f t="shared" si="34"/>
        <v>0</v>
      </c>
      <c r="AS55" s="659">
        <f t="shared" si="34"/>
        <v>0</v>
      </c>
      <c r="AT55" s="659">
        <f t="shared" si="34"/>
        <v>5063211</v>
      </c>
      <c r="AU55" s="659">
        <f t="shared" si="34"/>
        <v>0</v>
      </c>
      <c r="AV55" s="659">
        <f t="shared" si="34"/>
        <v>0</v>
      </c>
      <c r="AW55" s="659">
        <f t="shared" si="34"/>
        <v>4750090</v>
      </c>
      <c r="AX55" s="659">
        <f t="shared" si="34"/>
        <v>61013</v>
      </c>
      <c r="AY55" s="659">
        <f t="shared" si="34"/>
        <v>0</v>
      </c>
      <c r="AZ55" s="659">
        <f t="shared" si="34"/>
        <v>0</v>
      </c>
      <c r="BA55" s="659">
        <f t="shared" si="34"/>
        <v>3036715</v>
      </c>
      <c r="BB55" s="659">
        <f t="shared" si="34"/>
        <v>0</v>
      </c>
      <c r="BC55" s="659">
        <f t="shared" si="34"/>
        <v>0</v>
      </c>
      <c r="BD55" s="659">
        <f t="shared" si="34"/>
        <v>3029445</v>
      </c>
      <c r="BE55" s="801">
        <f t="shared" si="34"/>
        <v>44706</v>
      </c>
      <c r="BF55" s="659">
        <f t="shared" si="34"/>
        <v>0</v>
      </c>
      <c r="BG55" s="659">
        <f t="shared" si="34"/>
        <v>0</v>
      </c>
      <c r="BH55" s="659">
        <f t="shared" si="34"/>
        <v>1601019</v>
      </c>
      <c r="BI55" s="659">
        <f t="shared" si="34"/>
        <v>0</v>
      </c>
      <c r="BJ55" s="659">
        <f t="shared" si="34"/>
        <v>0</v>
      </c>
      <c r="BK55" s="659">
        <f t="shared" si="34"/>
        <v>1601019</v>
      </c>
      <c r="BL55" s="659">
        <f t="shared" si="34"/>
        <v>23943</v>
      </c>
      <c r="BM55" s="659">
        <f t="shared" si="34"/>
        <v>0</v>
      </c>
      <c r="BN55" s="659">
        <f t="shared" si="34"/>
        <v>0</v>
      </c>
      <c r="BO55" s="659">
        <f t="shared" si="34"/>
        <v>566618</v>
      </c>
      <c r="BP55" s="659">
        <f t="shared" ref="BP55:EA55" si="35">BP56+BP58+BP62</f>
        <v>0</v>
      </c>
      <c r="BQ55" s="659">
        <f t="shared" si="35"/>
        <v>0</v>
      </c>
      <c r="BR55" s="659">
        <f t="shared" si="35"/>
        <v>562201</v>
      </c>
      <c r="BS55" s="659">
        <f t="shared" si="35"/>
        <v>20416</v>
      </c>
      <c r="BT55" s="659">
        <f t="shared" si="35"/>
        <v>0</v>
      </c>
      <c r="BU55" s="659">
        <f t="shared" si="35"/>
        <v>0</v>
      </c>
      <c r="BV55" s="659">
        <f t="shared" si="35"/>
        <v>473671</v>
      </c>
      <c r="BW55" s="659">
        <f t="shared" si="35"/>
        <v>0</v>
      </c>
      <c r="BX55" s="659">
        <f t="shared" si="35"/>
        <v>0</v>
      </c>
      <c r="BY55" s="659">
        <f t="shared" si="35"/>
        <v>473671</v>
      </c>
      <c r="BZ55" s="659">
        <f t="shared" si="35"/>
        <v>44113</v>
      </c>
      <c r="CA55" s="659">
        <f t="shared" si="35"/>
        <v>0</v>
      </c>
      <c r="CB55" s="659">
        <f t="shared" si="35"/>
        <v>0</v>
      </c>
      <c r="CC55" s="659">
        <f t="shared" si="35"/>
        <v>978217</v>
      </c>
      <c r="CD55" s="659">
        <f t="shared" si="35"/>
        <v>0</v>
      </c>
      <c r="CE55" s="659">
        <f t="shared" si="35"/>
        <v>0</v>
      </c>
      <c r="CF55" s="659">
        <f t="shared" si="35"/>
        <v>976862</v>
      </c>
      <c r="CG55" s="659">
        <f t="shared" si="35"/>
        <v>4586</v>
      </c>
      <c r="CH55" s="659">
        <f t="shared" si="35"/>
        <v>0</v>
      </c>
      <c r="CI55" s="659">
        <f t="shared" si="35"/>
        <v>0</v>
      </c>
      <c r="CJ55" s="659">
        <f t="shared" si="35"/>
        <v>96029</v>
      </c>
      <c r="CK55" s="659">
        <f t="shared" si="35"/>
        <v>0</v>
      </c>
      <c r="CL55" s="659">
        <f t="shared" si="35"/>
        <v>0</v>
      </c>
      <c r="CM55" s="659">
        <f t="shared" si="35"/>
        <v>91303</v>
      </c>
      <c r="CN55" s="659">
        <f t="shared" si="35"/>
        <v>4177</v>
      </c>
      <c r="CO55" s="659">
        <f t="shared" si="35"/>
        <v>0</v>
      </c>
      <c r="CP55" s="659">
        <f t="shared" si="35"/>
        <v>0</v>
      </c>
      <c r="CQ55" s="659">
        <f t="shared" si="35"/>
        <v>87201</v>
      </c>
      <c r="CR55" s="659">
        <f t="shared" si="35"/>
        <v>0</v>
      </c>
      <c r="CS55" s="659">
        <f t="shared" si="35"/>
        <v>0</v>
      </c>
      <c r="CT55" s="659">
        <f t="shared" si="35"/>
        <v>87191</v>
      </c>
      <c r="CU55" s="659">
        <f t="shared" si="35"/>
        <v>1595</v>
      </c>
      <c r="CV55" s="659">
        <f t="shared" si="35"/>
        <v>0</v>
      </c>
      <c r="CW55" s="659">
        <f t="shared" si="35"/>
        <v>0</v>
      </c>
      <c r="CX55" s="659">
        <f t="shared" si="35"/>
        <v>30080</v>
      </c>
      <c r="CY55" s="659">
        <f t="shared" si="35"/>
        <v>0</v>
      </c>
      <c r="CZ55" s="659">
        <f t="shared" si="35"/>
        <v>0</v>
      </c>
      <c r="DA55" s="659">
        <f t="shared" si="35"/>
        <v>30080</v>
      </c>
      <c r="DB55" s="659">
        <f t="shared" si="35"/>
        <v>3692</v>
      </c>
      <c r="DC55" s="659">
        <f t="shared" si="35"/>
        <v>0</v>
      </c>
      <c r="DD55" s="659">
        <f t="shared" si="35"/>
        <v>0</v>
      </c>
      <c r="DE55" s="659">
        <f t="shared" si="35"/>
        <v>148255</v>
      </c>
      <c r="DF55" s="659">
        <f t="shared" si="35"/>
        <v>0</v>
      </c>
      <c r="DG55" s="659">
        <f t="shared" si="35"/>
        <v>0</v>
      </c>
      <c r="DH55" s="659">
        <f t="shared" si="35"/>
        <v>148250</v>
      </c>
      <c r="DI55" s="659">
        <f t="shared" si="35"/>
        <v>2105</v>
      </c>
      <c r="DJ55" s="659">
        <f t="shared" si="35"/>
        <v>0</v>
      </c>
      <c r="DK55" s="659">
        <f t="shared" si="35"/>
        <v>0</v>
      </c>
      <c r="DL55" s="659">
        <f t="shared" si="35"/>
        <v>41704</v>
      </c>
      <c r="DM55" s="659">
        <f t="shared" si="35"/>
        <v>0</v>
      </c>
      <c r="DN55" s="659">
        <f t="shared" si="35"/>
        <v>0</v>
      </c>
      <c r="DO55" s="659">
        <f t="shared" si="35"/>
        <v>40123</v>
      </c>
      <c r="DP55" s="659">
        <f t="shared" si="35"/>
        <v>590</v>
      </c>
      <c r="DQ55" s="659">
        <f t="shared" si="35"/>
        <v>0</v>
      </c>
      <c r="DR55" s="659">
        <f t="shared" si="35"/>
        <v>0</v>
      </c>
      <c r="DS55" s="659">
        <f t="shared" si="35"/>
        <v>6352</v>
      </c>
      <c r="DT55" s="659">
        <f t="shared" si="35"/>
        <v>0</v>
      </c>
      <c r="DU55" s="659">
        <f t="shared" si="35"/>
        <v>0</v>
      </c>
      <c r="DV55" s="659">
        <f t="shared" si="35"/>
        <v>6291</v>
      </c>
      <c r="DW55" s="659">
        <f t="shared" si="35"/>
        <v>89</v>
      </c>
      <c r="DX55" s="659">
        <f t="shared" si="35"/>
        <v>0</v>
      </c>
      <c r="DY55" s="659">
        <f t="shared" si="35"/>
        <v>0</v>
      </c>
      <c r="DZ55" s="659">
        <f t="shared" si="35"/>
        <v>2622</v>
      </c>
      <c r="EA55" s="659">
        <f t="shared" si="35"/>
        <v>0</v>
      </c>
      <c r="EB55" s="659">
        <f t="shared" ref="EB55:EQ55" si="36">EB56+EB58+EB62</f>
        <v>0</v>
      </c>
      <c r="EC55" s="659">
        <f t="shared" si="36"/>
        <v>2551</v>
      </c>
      <c r="ED55" s="659">
        <f t="shared" si="36"/>
        <v>0</v>
      </c>
      <c r="EE55" s="659">
        <f t="shared" si="36"/>
        <v>0</v>
      </c>
      <c r="EF55" s="659">
        <f t="shared" si="36"/>
        <v>0</v>
      </c>
      <c r="EG55" s="659">
        <f t="shared" si="36"/>
        <v>0</v>
      </c>
      <c r="EH55" s="659">
        <f t="shared" si="36"/>
        <v>0</v>
      </c>
      <c r="EI55" s="659">
        <f t="shared" si="36"/>
        <v>0</v>
      </c>
      <c r="EJ55" s="659">
        <f t="shared" si="36"/>
        <v>0</v>
      </c>
      <c r="EK55" s="659">
        <f t="shared" si="36"/>
        <v>0</v>
      </c>
      <c r="EL55" s="659">
        <f t="shared" si="36"/>
        <v>0</v>
      </c>
      <c r="EM55" s="659">
        <f t="shared" si="36"/>
        <v>0</v>
      </c>
      <c r="EN55" s="659">
        <f t="shared" si="36"/>
        <v>0</v>
      </c>
      <c r="EO55" s="659">
        <f t="shared" si="36"/>
        <v>0</v>
      </c>
      <c r="EP55" s="659">
        <f t="shared" si="36"/>
        <v>0</v>
      </c>
      <c r="EQ55" s="659">
        <f t="shared" si="36"/>
        <v>0</v>
      </c>
    </row>
    <row r="56" spans="1:147" ht="13.95" customHeight="1" x14ac:dyDescent="0.3">
      <c r="A56" s="657" t="s">
        <v>1712</v>
      </c>
      <c r="B56" s="658" t="s">
        <v>269</v>
      </c>
      <c r="C56" s="659">
        <v>14426</v>
      </c>
      <c r="D56" s="659">
        <v>0</v>
      </c>
      <c r="E56" s="659">
        <v>0</v>
      </c>
      <c r="F56" s="659">
        <v>418614</v>
      </c>
      <c r="G56" s="659">
        <v>0</v>
      </c>
      <c r="H56" s="659">
        <v>0</v>
      </c>
      <c r="I56" s="659">
        <v>418614</v>
      </c>
      <c r="J56" s="801">
        <v>0</v>
      </c>
      <c r="K56" s="659">
        <v>0</v>
      </c>
      <c r="L56" s="659">
        <v>0</v>
      </c>
      <c r="M56" s="659">
        <v>0</v>
      </c>
      <c r="N56" s="659">
        <v>0</v>
      </c>
      <c r="O56" s="659">
        <v>0</v>
      </c>
      <c r="P56" s="659">
        <v>0</v>
      </c>
      <c r="Q56" s="801">
        <v>0</v>
      </c>
      <c r="R56" s="659">
        <v>0</v>
      </c>
      <c r="S56" s="659">
        <v>0</v>
      </c>
      <c r="T56" s="659">
        <v>0</v>
      </c>
      <c r="U56" s="659">
        <v>0</v>
      </c>
      <c r="V56" s="659">
        <v>0</v>
      </c>
      <c r="W56" s="801">
        <v>11</v>
      </c>
      <c r="X56" s="659">
        <v>0</v>
      </c>
      <c r="Y56" s="659">
        <v>0</v>
      </c>
      <c r="Z56" s="659">
        <v>447</v>
      </c>
      <c r="AA56" s="659">
        <v>0</v>
      </c>
      <c r="AB56" s="659">
        <v>0</v>
      </c>
      <c r="AC56" s="659">
        <v>447</v>
      </c>
      <c r="AD56" s="801">
        <v>0</v>
      </c>
      <c r="AE56" s="659">
        <v>0</v>
      </c>
      <c r="AF56" s="659">
        <v>0</v>
      </c>
      <c r="AG56" s="659">
        <v>0</v>
      </c>
      <c r="AH56" s="659">
        <v>0</v>
      </c>
      <c r="AI56" s="659">
        <v>0</v>
      </c>
      <c r="AJ56" s="659">
        <v>0</v>
      </c>
      <c r="AK56" s="801">
        <v>0</v>
      </c>
      <c r="AL56" s="659">
        <v>0</v>
      </c>
      <c r="AM56" s="659">
        <v>0</v>
      </c>
      <c r="AN56" s="659">
        <v>0</v>
      </c>
      <c r="AO56" s="659">
        <v>0</v>
      </c>
      <c r="AP56" s="659">
        <v>0</v>
      </c>
      <c r="AQ56" s="801">
        <v>0</v>
      </c>
      <c r="AR56" s="659">
        <v>0</v>
      </c>
      <c r="AS56" s="659">
        <v>0</v>
      </c>
      <c r="AT56" s="659">
        <v>0</v>
      </c>
      <c r="AU56" s="659">
        <v>0</v>
      </c>
      <c r="AV56" s="659">
        <v>0</v>
      </c>
      <c r="AW56" s="659">
        <v>0</v>
      </c>
      <c r="AX56" s="659">
        <v>3788</v>
      </c>
      <c r="AY56" s="659">
        <v>0</v>
      </c>
      <c r="AZ56" s="659">
        <v>0</v>
      </c>
      <c r="BA56" s="659">
        <v>106351</v>
      </c>
      <c r="BB56" s="659">
        <v>0</v>
      </c>
      <c r="BC56" s="659">
        <v>0</v>
      </c>
      <c r="BD56" s="659">
        <v>106351</v>
      </c>
      <c r="BE56" s="801">
        <v>71</v>
      </c>
      <c r="BF56" s="659">
        <v>0</v>
      </c>
      <c r="BG56" s="659">
        <v>0</v>
      </c>
      <c r="BH56" s="659">
        <v>3777</v>
      </c>
      <c r="BI56" s="659">
        <v>0</v>
      </c>
      <c r="BJ56" s="659">
        <v>0</v>
      </c>
      <c r="BK56" s="659">
        <v>3777</v>
      </c>
      <c r="BL56" s="659">
        <v>1571</v>
      </c>
      <c r="BM56" s="659">
        <v>0</v>
      </c>
      <c r="BN56" s="659">
        <v>0</v>
      </c>
      <c r="BO56" s="659">
        <v>23694</v>
      </c>
      <c r="BP56" s="659">
        <v>0</v>
      </c>
      <c r="BQ56" s="659">
        <v>0</v>
      </c>
      <c r="BR56" s="659">
        <v>23694</v>
      </c>
      <c r="BS56" s="659">
        <v>5046</v>
      </c>
      <c r="BT56" s="659">
        <v>0</v>
      </c>
      <c r="BU56" s="659">
        <v>0</v>
      </c>
      <c r="BV56" s="659">
        <v>129426</v>
      </c>
      <c r="BW56" s="659">
        <v>0</v>
      </c>
      <c r="BX56" s="659">
        <v>0</v>
      </c>
      <c r="BY56" s="659">
        <v>129426</v>
      </c>
      <c r="BZ56" s="659">
        <v>0</v>
      </c>
      <c r="CA56" s="659">
        <v>0</v>
      </c>
      <c r="CB56" s="659">
        <v>0</v>
      </c>
      <c r="CC56" s="659">
        <v>0</v>
      </c>
      <c r="CD56" s="659">
        <v>0</v>
      </c>
      <c r="CE56" s="659">
        <v>0</v>
      </c>
      <c r="CF56" s="659">
        <v>0</v>
      </c>
      <c r="CG56" s="659">
        <v>389</v>
      </c>
      <c r="CH56" s="659">
        <v>0</v>
      </c>
      <c r="CI56" s="659">
        <v>0</v>
      </c>
      <c r="CJ56" s="659">
        <v>10205</v>
      </c>
      <c r="CK56" s="659">
        <v>0</v>
      </c>
      <c r="CL56" s="659">
        <v>0</v>
      </c>
      <c r="CM56" s="659">
        <v>10205</v>
      </c>
      <c r="CN56" s="659">
        <v>34</v>
      </c>
      <c r="CO56" s="659">
        <v>0</v>
      </c>
      <c r="CP56" s="659">
        <v>0</v>
      </c>
      <c r="CQ56" s="659">
        <v>850</v>
      </c>
      <c r="CR56" s="659">
        <v>0</v>
      </c>
      <c r="CS56" s="659">
        <v>0</v>
      </c>
      <c r="CT56" s="659">
        <v>850</v>
      </c>
      <c r="CU56" s="659">
        <v>0</v>
      </c>
      <c r="CV56" s="659">
        <v>0</v>
      </c>
      <c r="CW56" s="659">
        <v>0</v>
      </c>
      <c r="CX56" s="659">
        <v>0</v>
      </c>
      <c r="CY56" s="659">
        <v>0</v>
      </c>
      <c r="CZ56" s="659">
        <v>0</v>
      </c>
      <c r="DA56" s="659">
        <v>0</v>
      </c>
      <c r="DB56" s="659">
        <v>3515</v>
      </c>
      <c r="DC56" s="659">
        <v>0</v>
      </c>
      <c r="DD56" s="659">
        <v>0</v>
      </c>
      <c r="DE56" s="659">
        <v>143835</v>
      </c>
      <c r="DF56" s="659">
        <v>0</v>
      </c>
      <c r="DG56" s="659">
        <v>0</v>
      </c>
      <c r="DH56" s="659">
        <v>143835</v>
      </c>
      <c r="DI56" s="659">
        <v>1</v>
      </c>
      <c r="DJ56" s="659">
        <v>0</v>
      </c>
      <c r="DK56" s="659">
        <v>0</v>
      </c>
      <c r="DL56" s="659">
        <v>29</v>
      </c>
      <c r="DM56" s="659">
        <v>0</v>
      </c>
      <c r="DN56" s="659">
        <v>0</v>
      </c>
      <c r="DO56" s="659">
        <v>29</v>
      </c>
      <c r="DP56" s="659">
        <v>0</v>
      </c>
      <c r="DQ56" s="659">
        <v>0</v>
      </c>
      <c r="DR56" s="659">
        <v>0</v>
      </c>
      <c r="DS56" s="659">
        <v>0</v>
      </c>
      <c r="DT56" s="659">
        <v>0</v>
      </c>
      <c r="DU56" s="659">
        <v>0</v>
      </c>
      <c r="DV56" s="659">
        <v>0</v>
      </c>
      <c r="DW56" s="659">
        <v>0</v>
      </c>
      <c r="DX56" s="659">
        <v>0</v>
      </c>
      <c r="DY56" s="659">
        <v>0</v>
      </c>
      <c r="DZ56" s="659">
        <v>0</v>
      </c>
      <c r="EA56" s="659">
        <v>0</v>
      </c>
      <c r="EB56" s="659">
        <v>0</v>
      </c>
      <c r="EC56" s="659">
        <v>0</v>
      </c>
      <c r="ED56" s="659">
        <v>0</v>
      </c>
      <c r="EE56" s="659">
        <v>0</v>
      </c>
      <c r="EF56" s="659">
        <v>0</v>
      </c>
      <c r="EG56" s="659">
        <v>0</v>
      </c>
      <c r="EH56" s="659">
        <v>0</v>
      </c>
      <c r="EI56" s="659">
        <v>0</v>
      </c>
      <c r="EJ56" s="659">
        <v>0</v>
      </c>
      <c r="EK56" s="659">
        <v>0</v>
      </c>
      <c r="EL56" s="659">
        <v>0</v>
      </c>
      <c r="EM56" s="659">
        <v>0</v>
      </c>
      <c r="EN56" s="659">
        <v>0</v>
      </c>
      <c r="EO56" s="659">
        <v>0</v>
      </c>
      <c r="EP56" s="659">
        <v>0</v>
      </c>
      <c r="EQ56" s="659">
        <v>0</v>
      </c>
    </row>
    <row r="57" spans="1:147" ht="13.95" customHeight="1" x14ac:dyDescent="0.3">
      <c r="A57" s="657" t="s">
        <v>1713</v>
      </c>
      <c r="B57" s="658" t="s">
        <v>269</v>
      </c>
      <c r="C57" s="659">
        <v>0</v>
      </c>
      <c r="D57" s="659">
        <v>0</v>
      </c>
      <c r="E57" s="659">
        <v>0</v>
      </c>
      <c r="F57" s="659">
        <v>0</v>
      </c>
      <c r="G57" s="659">
        <v>0</v>
      </c>
      <c r="H57" s="659">
        <v>0</v>
      </c>
      <c r="I57" s="659">
        <v>0</v>
      </c>
      <c r="J57" s="801">
        <v>0</v>
      </c>
      <c r="K57" s="659">
        <v>0</v>
      </c>
      <c r="L57" s="659">
        <v>0</v>
      </c>
      <c r="M57" s="659">
        <v>0</v>
      </c>
      <c r="N57" s="659">
        <v>0</v>
      </c>
      <c r="O57" s="659">
        <v>0</v>
      </c>
      <c r="P57" s="659">
        <v>0</v>
      </c>
      <c r="Q57" s="801">
        <v>0</v>
      </c>
      <c r="R57" s="659">
        <v>0</v>
      </c>
      <c r="S57" s="659">
        <v>0</v>
      </c>
      <c r="T57" s="659">
        <v>0</v>
      </c>
      <c r="U57" s="659">
        <v>0</v>
      </c>
      <c r="V57" s="659">
        <v>0</v>
      </c>
      <c r="W57" s="801">
        <v>0</v>
      </c>
      <c r="X57" s="659">
        <v>0</v>
      </c>
      <c r="Y57" s="659">
        <v>0</v>
      </c>
      <c r="Z57" s="659">
        <v>0</v>
      </c>
      <c r="AA57" s="659">
        <v>0</v>
      </c>
      <c r="AB57" s="659">
        <v>0</v>
      </c>
      <c r="AC57" s="659">
        <v>0</v>
      </c>
      <c r="AD57" s="801">
        <v>0</v>
      </c>
      <c r="AE57" s="659">
        <v>0</v>
      </c>
      <c r="AF57" s="659">
        <v>0</v>
      </c>
      <c r="AG57" s="659">
        <v>0</v>
      </c>
      <c r="AH57" s="659">
        <v>0</v>
      </c>
      <c r="AI57" s="659">
        <v>0</v>
      </c>
      <c r="AJ57" s="659">
        <v>0</v>
      </c>
      <c r="AK57" s="801">
        <v>0</v>
      </c>
      <c r="AL57" s="659">
        <v>0</v>
      </c>
      <c r="AM57" s="659">
        <v>0</v>
      </c>
      <c r="AN57" s="659">
        <v>0</v>
      </c>
      <c r="AO57" s="659">
        <v>0</v>
      </c>
      <c r="AP57" s="659">
        <v>0</v>
      </c>
      <c r="AQ57" s="801">
        <v>0</v>
      </c>
      <c r="AR57" s="659">
        <v>0</v>
      </c>
      <c r="AS57" s="659">
        <v>0</v>
      </c>
      <c r="AT57" s="659">
        <v>0</v>
      </c>
      <c r="AU57" s="659">
        <v>0</v>
      </c>
      <c r="AV57" s="659">
        <v>0</v>
      </c>
      <c r="AW57" s="659">
        <v>0</v>
      </c>
      <c r="AX57" s="659">
        <v>0</v>
      </c>
      <c r="AY57" s="659">
        <v>0</v>
      </c>
      <c r="AZ57" s="659">
        <v>0</v>
      </c>
      <c r="BA57" s="659">
        <v>0</v>
      </c>
      <c r="BB57" s="659">
        <v>0</v>
      </c>
      <c r="BC57" s="659">
        <v>0</v>
      </c>
      <c r="BD57" s="659">
        <v>0</v>
      </c>
      <c r="BE57" s="801">
        <v>0</v>
      </c>
      <c r="BF57" s="659">
        <v>0</v>
      </c>
      <c r="BG57" s="659">
        <v>0</v>
      </c>
      <c r="BH57" s="659">
        <v>0</v>
      </c>
      <c r="BI57" s="659">
        <v>0</v>
      </c>
      <c r="BJ57" s="659">
        <v>0</v>
      </c>
      <c r="BK57" s="659">
        <v>0</v>
      </c>
      <c r="BL57" s="659">
        <v>0</v>
      </c>
      <c r="BM57" s="659">
        <v>0</v>
      </c>
      <c r="BN57" s="659">
        <v>0</v>
      </c>
      <c r="BO57" s="659">
        <v>0</v>
      </c>
      <c r="BP57" s="659">
        <v>0</v>
      </c>
      <c r="BQ57" s="659">
        <v>0</v>
      </c>
      <c r="BR57" s="659">
        <v>0</v>
      </c>
      <c r="BS57" s="659">
        <v>0</v>
      </c>
      <c r="BT57" s="659">
        <v>0</v>
      </c>
      <c r="BU57" s="659">
        <v>0</v>
      </c>
      <c r="BV57" s="659">
        <v>0</v>
      </c>
      <c r="BW57" s="659">
        <v>0</v>
      </c>
      <c r="BX57" s="659">
        <v>0</v>
      </c>
      <c r="BY57" s="659">
        <v>0</v>
      </c>
      <c r="BZ57" s="659">
        <v>0</v>
      </c>
      <c r="CA57" s="659">
        <v>0</v>
      </c>
      <c r="CB57" s="659">
        <v>0</v>
      </c>
      <c r="CC57" s="659">
        <v>0</v>
      </c>
      <c r="CD57" s="659">
        <v>0</v>
      </c>
      <c r="CE57" s="659">
        <v>0</v>
      </c>
      <c r="CF57" s="659">
        <v>0</v>
      </c>
      <c r="CG57" s="659">
        <v>0</v>
      </c>
      <c r="CH57" s="659">
        <v>0</v>
      </c>
      <c r="CI57" s="659">
        <v>0</v>
      </c>
      <c r="CJ57" s="659">
        <v>0</v>
      </c>
      <c r="CK57" s="659">
        <v>0</v>
      </c>
      <c r="CL57" s="659">
        <v>0</v>
      </c>
      <c r="CM57" s="659">
        <v>0</v>
      </c>
      <c r="CN57" s="659">
        <v>0</v>
      </c>
      <c r="CO57" s="659">
        <v>0</v>
      </c>
      <c r="CP57" s="659">
        <v>0</v>
      </c>
      <c r="CQ57" s="659">
        <v>0</v>
      </c>
      <c r="CR57" s="659">
        <v>0</v>
      </c>
      <c r="CS57" s="659">
        <v>0</v>
      </c>
      <c r="CT57" s="659">
        <v>0</v>
      </c>
      <c r="CU57" s="659">
        <v>0</v>
      </c>
      <c r="CV57" s="659">
        <v>0</v>
      </c>
      <c r="CW57" s="659">
        <v>0</v>
      </c>
      <c r="CX57" s="659">
        <v>0</v>
      </c>
      <c r="CY57" s="659">
        <v>0</v>
      </c>
      <c r="CZ57" s="659">
        <v>0</v>
      </c>
      <c r="DA57" s="659">
        <v>0</v>
      </c>
      <c r="DB57" s="659">
        <v>0</v>
      </c>
      <c r="DC57" s="659">
        <v>0</v>
      </c>
      <c r="DD57" s="659">
        <v>0</v>
      </c>
      <c r="DE57" s="659">
        <v>0</v>
      </c>
      <c r="DF57" s="659">
        <v>0</v>
      </c>
      <c r="DG57" s="659">
        <v>0</v>
      </c>
      <c r="DH57" s="659">
        <v>0</v>
      </c>
      <c r="DI57" s="659">
        <v>0</v>
      </c>
      <c r="DJ57" s="659">
        <v>0</v>
      </c>
      <c r="DK57" s="659">
        <v>0</v>
      </c>
      <c r="DL57" s="659">
        <v>0</v>
      </c>
      <c r="DM57" s="659">
        <v>0</v>
      </c>
      <c r="DN57" s="659">
        <v>0</v>
      </c>
      <c r="DO57" s="659">
        <v>0</v>
      </c>
      <c r="DP57" s="659">
        <v>0</v>
      </c>
      <c r="DQ57" s="659">
        <v>0</v>
      </c>
      <c r="DR57" s="659">
        <v>0</v>
      </c>
      <c r="DS57" s="659">
        <v>0</v>
      </c>
      <c r="DT57" s="659">
        <v>0</v>
      </c>
      <c r="DU57" s="659">
        <v>0</v>
      </c>
      <c r="DV57" s="659">
        <v>0</v>
      </c>
      <c r="DW57" s="659">
        <v>0</v>
      </c>
      <c r="DX57" s="659">
        <v>0</v>
      </c>
      <c r="DY57" s="659">
        <v>0</v>
      </c>
      <c r="DZ57" s="659">
        <v>0</v>
      </c>
      <c r="EA57" s="659">
        <v>0</v>
      </c>
      <c r="EB57" s="659">
        <v>0</v>
      </c>
      <c r="EC57" s="659">
        <v>0</v>
      </c>
      <c r="ED57" s="659">
        <v>0</v>
      </c>
      <c r="EE57" s="659">
        <v>0</v>
      </c>
      <c r="EF57" s="659">
        <v>0</v>
      </c>
      <c r="EG57" s="659">
        <v>0</v>
      </c>
      <c r="EH57" s="659">
        <v>0</v>
      </c>
      <c r="EI57" s="659">
        <v>0</v>
      </c>
      <c r="EJ57" s="659">
        <v>0</v>
      </c>
      <c r="EK57" s="659">
        <v>0</v>
      </c>
      <c r="EL57" s="659">
        <v>0</v>
      </c>
      <c r="EM57" s="659">
        <v>0</v>
      </c>
      <c r="EN57" s="659">
        <v>0</v>
      </c>
      <c r="EO57" s="659">
        <v>0</v>
      </c>
      <c r="EP57" s="659">
        <v>0</v>
      </c>
      <c r="EQ57" s="659">
        <v>0</v>
      </c>
    </row>
    <row r="58" spans="1:147" ht="13.95" customHeight="1" x14ac:dyDescent="0.3">
      <c r="A58" s="657" t="s">
        <v>1714</v>
      </c>
      <c r="B58" s="658" t="s">
        <v>269</v>
      </c>
      <c r="C58" s="659">
        <f t="shared" ref="C58:BN58" si="37">C60+C61</f>
        <v>1622</v>
      </c>
      <c r="D58" s="659">
        <f t="shared" si="37"/>
        <v>0</v>
      </c>
      <c r="E58" s="659">
        <f t="shared" si="37"/>
        <v>0</v>
      </c>
      <c r="F58" s="659">
        <f t="shared" si="37"/>
        <v>98479</v>
      </c>
      <c r="G58" s="659">
        <f t="shared" si="37"/>
        <v>0</v>
      </c>
      <c r="H58" s="659">
        <f t="shared" si="37"/>
        <v>0</v>
      </c>
      <c r="I58" s="659">
        <f t="shared" si="37"/>
        <v>96748</v>
      </c>
      <c r="J58" s="801">
        <f t="shared" si="37"/>
        <v>138</v>
      </c>
      <c r="K58" s="659">
        <f t="shared" si="37"/>
        <v>0</v>
      </c>
      <c r="L58" s="659">
        <f t="shared" si="37"/>
        <v>0</v>
      </c>
      <c r="M58" s="659">
        <f t="shared" si="37"/>
        <v>0</v>
      </c>
      <c r="N58" s="659">
        <f t="shared" si="37"/>
        <v>0</v>
      </c>
      <c r="O58" s="659">
        <f t="shared" si="37"/>
        <v>0</v>
      </c>
      <c r="P58" s="659">
        <f t="shared" si="37"/>
        <v>0</v>
      </c>
      <c r="Q58" s="801">
        <f t="shared" si="37"/>
        <v>1</v>
      </c>
      <c r="R58" s="659">
        <f t="shared" si="37"/>
        <v>0</v>
      </c>
      <c r="S58" s="659">
        <f t="shared" si="37"/>
        <v>15</v>
      </c>
      <c r="T58" s="659">
        <f t="shared" si="37"/>
        <v>0</v>
      </c>
      <c r="U58" s="659">
        <f t="shared" si="37"/>
        <v>0</v>
      </c>
      <c r="V58" s="659">
        <f t="shared" si="37"/>
        <v>5</v>
      </c>
      <c r="W58" s="801">
        <f t="shared" si="37"/>
        <v>0</v>
      </c>
      <c r="X58" s="659">
        <f t="shared" si="37"/>
        <v>0</v>
      </c>
      <c r="Y58" s="659">
        <f t="shared" si="37"/>
        <v>0</v>
      </c>
      <c r="Z58" s="659">
        <f t="shared" si="37"/>
        <v>0</v>
      </c>
      <c r="AA58" s="659">
        <f t="shared" si="37"/>
        <v>0</v>
      </c>
      <c r="AB58" s="659">
        <f t="shared" si="37"/>
        <v>0</v>
      </c>
      <c r="AC58" s="659">
        <f t="shared" si="37"/>
        <v>0</v>
      </c>
      <c r="AD58" s="801">
        <f t="shared" si="37"/>
        <v>126</v>
      </c>
      <c r="AE58" s="659">
        <f t="shared" si="37"/>
        <v>0</v>
      </c>
      <c r="AF58" s="659">
        <f t="shared" si="37"/>
        <v>0</v>
      </c>
      <c r="AG58" s="659">
        <f t="shared" si="37"/>
        <v>8784</v>
      </c>
      <c r="AH58" s="659">
        <f t="shared" si="37"/>
        <v>0</v>
      </c>
      <c r="AI58" s="659">
        <f t="shared" si="37"/>
        <v>0</v>
      </c>
      <c r="AJ58" s="659">
        <f t="shared" si="37"/>
        <v>8784</v>
      </c>
      <c r="AK58" s="801">
        <f t="shared" si="37"/>
        <v>5</v>
      </c>
      <c r="AL58" s="659">
        <f t="shared" si="37"/>
        <v>0</v>
      </c>
      <c r="AM58" s="659">
        <f t="shared" si="37"/>
        <v>50</v>
      </c>
      <c r="AN58" s="659">
        <f t="shared" si="37"/>
        <v>0</v>
      </c>
      <c r="AO58" s="659">
        <f t="shared" si="37"/>
        <v>0</v>
      </c>
      <c r="AP58" s="659">
        <f t="shared" si="37"/>
        <v>50</v>
      </c>
      <c r="AQ58" s="801">
        <f t="shared" si="37"/>
        <v>335</v>
      </c>
      <c r="AR58" s="659">
        <f t="shared" si="37"/>
        <v>0</v>
      </c>
      <c r="AS58" s="659">
        <f t="shared" si="37"/>
        <v>0</v>
      </c>
      <c r="AT58" s="659">
        <f t="shared" si="37"/>
        <v>45563</v>
      </c>
      <c r="AU58" s="659">
        <f t="shared" si="37"/>
        <v>0</v>
      </c>
      <c r="AV58" s="659">
        <f t="shared" si="37"/>
        <v>0</v>
      </c>
      <c r="AW58" s="659">
        <f t="shared" si="37"/>
        <v>44604</v>
      </c>
      <c r="AX58" s="659">
        <f t="shared" si="37"/>
        <v>10</v>
      </c>
      <c r="AY58" s="659">
        <f t="shared" si="37"/>
        <v>0</v>
      </c>
      <c r="AZ58" s="659">
        <f t="shared" si="37"/>
        <v>0</v>
      </c>
      <c r="BA58" s="659">
        <f t="shared" si="37"/>
        <v>710</v>
      </c>
      <c r="BB58" s="659">
        <f t="shared" si="37"/>
        <v>0</v>
      </c>
      <c r="BC58" s="659">
        <f t="shared" si="37"/>
        <v>0</v>
      </c>
      <c r="BD58" s="659">
        <f t="shared" si="37"/>
        <v>685</v>
      </c>
      <c r="BE58" s="801">
        <f t="shared" si="37"/>
        <v>85</v>
      </c>
      <c r="BF58" s="659">
        <f t="shared" si="37"/>
        <v>0</v>
      </c>
      <c r="BG58" s="659">
        <f t="shared" si="37"/>
        <v>0</v>
      </c>
      <c r="BH58" s="659">
        <f t="shared" si="37"/>
        <v>3025</v>
      </c>
      <c r="BI58" s="659">
        <f t="shared" si="37"/>
        <v>0</v>
      </c>
      <c r="BJ58" s="659">
        <f t="shared" si="37"/>
        <v>0</v>
      </c>
      <c r="BK58" s="659">
        <f t="shared" si="37"/>
        <v>3025</v>
      </c>
      <c r="BL58" s="659">
        <f t="shared" si="37"/>
        <v>737</v>
      </c>
      <c r="BM58" s="659">
        <f t="shared" si="37"/>
        <v>0</v>
      </c>
      <c r="BN58" s="659">
        <f t="shared" si="37"/>
        <v>0</v>
      </c>
      <c r="BO58" s="659">
        <f t="shared" ref="BO58:DZ58" si="38">BO60+BO61</f>
        <v>33144</v>
      </c>
      <c r="BP58" s="659">
        <f t="shared" si="38"/>
        <v>0</v>
      </c>
      <c r="BQ58" s="659">
        <f t="shared" si="38"/>
        <v>0</v>
      </c>
      <c r="BR58" s="659">
        <f t="shared" si="38"/>
        <v>32819</v>
      </c>
      <c r="BS58" s="659">
        <f t="shared" si="38"/>
        <v>0</v>
      </c>
      <c r="BT58" s="659">
        <f t="shared" si="38"/>
        <v>0</v>
      </c>
      <c r="BU58" s="659">
        <f t="shared" si="38"/>
        <v>0</v>
      </c>
      <c r="BV58" s="659">
        <f t="shared" si="38"/>
        <v>0</v>
      </c>
      <c r="BW58" s="659">
        <f t="shared" si="38"/>
        <v>0</v>
      </c>
      <c r="BX58" s="659">
        <f t="shared" si="38"/>
        <v>0</v>
      </c>
      <c r="BY58" s="659">
        <f t="shared" si="38"/>
        <v>0</v>
      </c>
      <c r="BZ58" s="659">
        <f t="shared" si="38"/>
        <v>53</v>
      </c>
      <c r="CA58" s="659">
        <f t="shared" si="38"/>
        <v>0</v>
      </c>
      <c r="CB58" s="659">
        <f t="shared" si="38"/>
        <v>0</v>
      </c>
      <c r="CC58" s="659">
        <f t="shared" si="38"/>
        <v>2703</v>
      </c>
      <c r="CD58" s="659">
        <f t="shared" si="38"/>
        <v>0</v>
      </c>
      <c r="CE58" s="659">
        <f t="shared" si="38"/>
        <v>0</v>
      </c>
      <c r="CF58" s="659">
        <f t="shared" si="38"/>
        <v>2566</v>
      </c>
      <c r="CG58" s="659">
        <f t="shared" si="38"/>
        <v>93</v>
      </c>
      <c r="CH58" s="659">
        <f t="shared" si="38"/>
        <v>0</v>
      </c>
      <c r="CI58" s="659">
        <f t="shared" si="38"/>
        <v>0</v>
      </c>
      <c r="CJ58" s="659">
        <f t="shared" si="38"/>
        <v>1785</v>
      </c>
      <c r="CK58" s="659">
        <f t="shared" si="38"/>
        <v>0</v>
      </c>
      <c r="CL58" s="659">
        <f t="shared" si="38"/>
        <v>0</v>
      </c>
      <c r="CM58" s="659">
        <f t="shared" si="38"/>
        <v>1510</v>
      </c>
      <c r="CN58" s="659">
        <f t="shared" si="38"/>
        <v>0</v>
      </c>
      <c r="CO58" s="659">
        <f t="shared" si="38"/>
        <v>0</v>
      </c>
      <c r="CP58" s="659">
        <f t="shared" si="38"/>
        <v>0</v>
      </c>
      <c r="CQ58" s="659">
        <f t="shared" si="38"/>
        <v>0</v>
      </c>
      <c r="CR58" s="659">
        <f t="shared" si="38"/>
        <v>0</v>
      </c>
      <c r="CS58" s="659">
        <f t="shared" si="38"/>
        <v>0</v>
      </c>
      <c r="CT58" s="659">
        <f t="shared" si="38"/>
        <v>0</v>
      </c>
      <c r="CU58" s="659">
        <f t="shared" si="38"/>
        <v>15</v>
      </c>
      <c r="CV58" s="659">
        <f t="shared" si="38"/>
        <v>0</v>
      </c>
      <c r="CW58" s="659">
        <f t="shared" si="38"/>
        <v>0</v>
      </c>
      <c r="CX58" s="659">
        <f t="shared" si="38"/>
        <v>1800</v>
      </c>
      <c r="CY58" s="659">
        <f t="shared" si="38"/>
        <v>0</v>
      </c>
      <c r="CZ58" s="659">
        <f t="shared" si="38"/>
        <v>0</v>
      </c>
      <c r="DA58" s="659">
        <f t="shared" si="38"/>
        <v>1800</v>
      </c>
      <c r="DB58" s="659">
        <f t="shared" si="38"/>
        <v>0</v>
      </c>
      <c r="DC58" s="659">
        <f t="shared" si="38"/>
        <v>0</v>
      </c>
      <c r="DD58" s="659">
        <f t="shared" si="38"/>
        <v>0</v>
      </c>
      <c r="DE58" s="659">
        <f t="shared" si="38"/>
        <v>0</v>
      </c>
      <c r="DF58" s="659">
        <f t="shared" si="38"/>
        <v>0</v>
      </c>
      <c r="DG58" s="659">
        <f t="shared" si="38"/>
        <v>0</v>
      </c>
      <c r="DH58" s="659">
        <f t="shared" si="38"/>
        <v>0</v>
      </c>
      <c r="DI58" s="659">
        <f t="shared" si="38"/>
        <v>24</v>
      </c>
      <c r="DJ58" s="659">
        <f t="shared" si="38"/>
        <v>0</v>
      </c>
      <c r="DK58" s="659">
        <f t="shared" si="38"/>
        <v>0</v>
      </c>
      <c r="DL58" s="659">
        <f t="shared" si="38"/>
        <v>900</v>
      </c>
      <c r="DM58" s="659">
        <f t="shared" si="38"/>
        <v>0</v>
      </c>
      <c r="DN58" s="659">
        <f t="shared" si="38"/>
        <v>0</v>
      </c>
      <c r="DO58" s="659">
        <f t="shared" si="38"/>
        <v>900</v>
      </c>
      <c r="DP58" s="659">
        <f t="shared" si="38"/>
        <v>0</v>
      </c>
      <c r="DQ58" s="659">
        <f t="shared" si="38"/>
        <v>0</v>
      </c>
      <c r="DR58" s="659">
        <f t="shared" si="38"/>
        <v>0</v>
      </c>
      <c r="DS58" s="659">
        <f t="shared" si="38"/>
        <v>0</v>
      </c>
      <c r="DT58" s="659">
        <f t="shared" si="38"/>
        <v>0</v>
      </c>
      <c r="DU58" s="659">
        <f t="shared" si="38"/>
        <v>0</v>
      </c>
      <c r="DV58" s="659">
        <f t="shared" si="38"/>
        <v>0</v>
      </c>
      <c r="DW58" s="659">
        <f t="shared" si="38"/>
        <v>0</v>
      </c>
      <c r="DX58" s="659">
        <f t="shared" si="38"/>
        <v>0</v>
      </c>
      <c r="DY58" s="659">
        <f t="shared" si="38"/>
        <v>0</v>
      </c>
      <c r="DZ58" s="659">
        <f t="shared" si="38"/>
        <v>0</v>
      </c>
      <c r="EA58" s="659">
        <f t="shared" ref="EA58:EQ58" si="39">EA60+EA61</f>
        <v>0</v>
      </c>
      <c r="EB58" s="659">
        <f t="shared" si="39"/>
        <v>0</v>
      </c>
      <c r="EC58" s="659">
        <f t="shared" si="39"/>
        <v>0</v>
      </c>
      <c r="ED58" s="659">
        <f t="shared" si="39"/>
        <v>0</v>
      </c>
      <c r="EE58" s="659">
        <f t="shared" si="39"/>
        <v>0</v>
      </c>
      <c r="EF58" s="659">
        <f t="shared" si="39"/>
        <v>0</v>
      </c>
      <c r="EG58" s="659">
        <f t="shared" si="39"/>
        <v>0</v>
      </c>
      <c r="EH58" s="659">
        <f t="shared" si="39"/>
        <v>0</v>
      </c>
      <c r="EI58" s="659">
        <f t="shared" si="39"/>
        <v>0</v>
      </c>
      <c r="EJ58" s="659">
        <f t="shared" si="39"/>
        <v>0</v>
      </c>
      <c r="EK58" s="659">
        <f t="shared" si="39"/>
        <v>0</v>
      </c>
      <c r="EL58" s="659">
        <f t="shared" si="39"/>
        <v>0</v>
      </c>
      <c r="EM58" s="659">
        <f t="shared" si="39"/>
        <v>0</v>
      </c>
      <c r="EN58" s="659">
        <f t="shared" si="39"/>
        <v>0</v>
      </c>
      <c r="EO58" s="659">
        <f t="shared" si="39"/>
        <v>0</v>
      </c>
      <c r="EP58" s="659">
        <f t="shared" si="39"/>
        <v>0</v>
      </c>
      <c r="EQ58" s="659">
        <f t="shared" si="39"/>
        <v>0</v>
      </c>
    </row>
    <row r="59" spans="1:147" ht="13.95" customHeight="1" x14ac:dyDescent="0.3">
      <c r="A59" s="657" t="s">
        <v>1715</v>
      </c>
      <c r="B59" s="658" t="s">
        <v>269</v>
      </c>
      <c r="C59" s="659">
        <v>0</v>
      </c>
      <c r="D59" s="659">
        <v>0</v>
      </c>
      <c r="E59" s="659">
        <v>0</v>
      </c>
      <c r="F59" s="659">
        <v>0</v>
      </c>
      <c r="G59" s="659">
        <v>0</v>
      </c>
      <c r="H59" s="659">
        <v>0</v>
      </c>
      <c r="I59" s="659">
        <v>0</v>
      </c>
      <c r="J59" s="801">
        <v>0</v>
      </c>
      <c r="K59" s="659">
        <v>0</v>
      </c>
      <c r="L59" s="659">
        <v>0</v>
      </c>
      <c r="M59" s="659">
        <v>0</v>
      </c>
      <c r="N59" s="659">
        <v>0</v>
      </c>
      <c r="O59" s="659">
        <v>0</v>
      </c>
      <c r="P59" s="659">
        <v>0</v>
      </c>
      <c r="Q59" s="801">
        <v>0</v>
      </c>
      <c r="R59" s="659">
        <v>0</v>
      </c>
      <c r="S59" s="659">
        <v>0</v>
      </c>
      <c r="T59" s="659">
        <v>0</v>
      </c>
      <c r="U59" s="659">
        <v>0</v>
      </c>
      <c r="V59" s="659">
        <v>0</v>
      </c>
      <c r="W59" s="801">
        <v>0</v>
      </c>
      <c r="X59" s="659">
        <v>0</v>
      </c>
      <c r="Y59" s="659">
        <v>0</v>
      </c>
      <c r="Z59" s="659">
        <v>0</v>
      </c>
      <c r="AA59" s="659">
        <v>0</v>
      </c>
      <c r="AB59" s="659">
        <v>0</v>
      </c>
      <c r="AC59" s="659">
        <v>0</v>
      </c>
      <c r="AD59" s="801">
        <v>0</v>
      </c>
      <c r="AE59" s="659">
        <v>0</v>
      </c>
      <c r="AF59" s="659">
        <v>0</v>
      </c>
      <c r="AG59" s="659">
        <v>0</v>
      </c>
      <c r="AH59" s="659">
        <v>0</v>
      </c>
      <c r="AI59" s="659">
        <v>0</v>
      </c>
      <c r="AJ59" s="659">
        <v>0</v>
      </c>
      <c r="AK59" s="801">
        <v>0</v>
      </c>
      <c r="AL59" s="659">
        <v>0</v>
      </c>
      <c r="AM59" s="659">
        <v>0</v>
      </c>
      <c r="AN59" s="659">
        <v>0</v>
      </c>
      <c r="AO59" s="659">
        <v>0</v>
      </c>
      <c r="AP59" s="659">
        <v>0</v>
      </c>
      <c r="AQ59" s="801">
        <v>0</v>
      </c>
      <c r="AR59" s="659">
        <v>0</v>
      </c>
      <c r="AS59" s="659">
        <v>0</v>
      </c>
      <c r="AT59" s="659">
        <v>0</v>
      </c>
      <c r="AU59" s="659">
        <v>0</v>
      </c>
      <c r="AV59" s="659">
        <v>0</v>
      </c>
      <c r="AW59" s="659">
        <v>0</v>
      </c>
      <c r="AX59" s="659">
        <v>0</v>
      </c>
      <c r="AY59" s="659">
        <v>0</v>
      </c>
      <c r="AZ59" s="659">
        <v>0</v>
      </c>
      <c r="BA59" s="659">
        <v>0</v>
      </c>
      <c r="BB59" s="659">
        <v>0</v>
      </c>
      <c r="BC59" s="659">
        <v>0</v>
      </c>
      <c r="BD59" s="659">
        <v>0</v>
      </c>
      <c r="BE59" s="801">
        <v>0</v>
      </c>
      <c r="BF59" s="659">
        <v>0</v>
      </c>
      <c r="BG59" s="659">
        <v>0</v>
      </c>
      <c r="BH59" s="659">
        <v>0</v>
      </c>
      <c r="BI59" s="659">
        <v>0</v>
      </c>
      <c r="BJ59" s="659">
        <v>0</v>
      </c>
      <c r="BK59" s="659">
        <v>0</v>
      </c>
      <c r="BL59" s="659">
        <v>0</v>
      </c>
      <c r="BM59" s="659">
        <v>0</v>
      </c>
      <c r="BN59" s="659">
        <v>0</v>
      </c>
      <c r="BO59" s="659">
        <v>0</v>
      </c>
      <c r="BP59" s="659">
        <v>0</v>
      </c>
      <c r="BQ59" s="659">
        <v>0</v>
      </c>
      <c r="BR59" s="659">
        <v>0</v>
      </c>
      <c r="BS59" s="659">
        <v>0</v>
      </c>
      <c r="BT59" s="659">
        <v>0</v>
      </c>
      <c r="BU59" s="659">
        <v>0</v>
      </c>
      <c r="BV59" s="659">
        <v>0</v>
      </c>
      <c r="BW59" s="659">
        <v>0</v>
      </c>
      <c r="BX59" s="659">
        <v>0</v>
      </c>
      <c r="BY59" s="659">
        <v>0</v>
      </c>
      <c r="BZ59" s="659">
        <v>0</v>
      </c>
      <c r="CA59" s="659">
        <v>0</v>
      </c>
      <c r="CB59" s="659">
        <v>0</v>
      </c>
      <c r="CC59" s="659">
        <v>0</v>
      </c>
      <c r="CD59" s="659">
        <v>0</v>
      </c>
      <c r="CE59" s="659">
        <v>0</v>
      </c>
      <c r="CF59" s="659">
        <v>0</v>
      </c>
      <c r="CG59" s="659">
        <v>0</v>
      </c>
      <c r="CH59" s="659">
        <v>0</v>
      </c>
      <c r="CI59" s="659">
        <v>0</v>
      </c>
      <c r="CJ59" s="659">
        <v>0</v>
      </c>
      <c r="CK59" s="659">
        <v>0</v>
      </c>
      <c r="CL59" s="659">
        <v>0</v>
      </c>
      <c r="CM59" s="659">
        <v>0</v>
      </c>
      <c r="CN59" s="659">
        <v>0</v>
      </c>
      <c r="CO59" s="659">
        <v>0</v>
      </c>
      <c r="CP59" s="659">
        <v>0</v>
      </c>
      <c r="CQ59" s="659">
        <v>0</v>
      </c>
      <c r="CR59" s="659">
        <v>0</v>
      </c>
      <c r="CS59" s="659">
        <v>0</v>
      </c>
      <c r="CT59" s="659">
        <v>0</v>
      </c>
      <c r="CU59" s="659">
        <v>0</v>
      </c>
      <c r="CV59" s="659">
        <v>0</v>
      </c>
      <c r="CW59" s="659">
        <v>0</v>
      </c>
      <c r="CX59" s="659">
        <v>0</v>
      </c>
      <c r="CY59" s="659">
        <v>0</v>
      </c>
      <c r="CZ59" s="659">
        <v>0</v>
      </c>
      <c r="DA59" s="659">
        <v>0</v>
      </c>
      <c r="DB59" s="659">
        <v>0</v>
      </c>
      <c r="DC59" s="659">
        <v>0</v>
      </c>
      <c r="DD59" s="659">
        <v>0</v>
      </c>
      <c r="DE59" s="659">
        <v>0</v>
      </c>
      <c r="DF59" s="659">
        <v>0</v>
      </c>
      <c r="DG59" s="659">
        <v>0</v>
      </c>
      <c r="DH59" s="659">
        <v>0</v>
      </c>
      <c r="DI59" s="659">
        <v>0</v>
      </c>
      <c r="DJ59" s="659">
        <v>0</v>
      </c>
      <c r="DK59" s="659">
        <v>0</v>
      </c>
      <c r="DL59" s="659">
        <v>0</v>
      </c>
      <c r="DM59" s="659">
        <v>0</v>
      </c>
      <c r="DN59" s="659">
        <v>0</v>
      </c>
      <c r="DO59" s="659">
        <v>0</v>
      </c>
      <c r="DP59" s="659">
        <v>0</v>
      </c>
      <c r="DQ59" s="659">
        <v>0</v>
      </c>
      <c r="DR59" s="659">
        <v>0</v>
      </c>
      <c r="DS59" s="659">
        <v>0</v>
      </c>
      <c r="DT59" s="659">
        <v>0</v>
      </c>
      <c r="DU59" s="659">
        <v>0</v>
      </c>
      <c r="DV59" s="659">
        <v>0</v>
      </c>
      <c r="DW59" s="659">
        <v>0</v>
      </c>
      <c r="DX59" s="659">
        <v>0</v>
      </c>
      <c r="DY59" s="659">
        <v>0</v>
      </c>
      <c r="DZ59" s="659">
        <v>0</v>
      </c>
      <c r="EA59" s="659">
        <v>0</v>
      </c>
      <c r="EB59" s="659">
        <v>0</v>
      </c>
      <c r="EC59" s="659">
        <v>0</v>
      </c>
      <c r="ED59" s="659">
        <v>0</v>
      </c>
      <c r="EE59" s="659">
        <v>0</v>
      </c>
      <c r="EF59" s="659">
        <v>0</v>
      </c>
      <c r="EG59" s="659">
        <v>0</v>
      </c>
      <c r="EH59" s="659">
        <v>0</v>
      </c>
      <c r="EI59" s="659">
        <v>0</v>
      </c>
      <c r="EJ59" s="659">
        <v>0</v>
      </c>
      <c r="EK59" s="659">
        <v>0</v>
      </c>
      <c r="EL59" s="659">
        <v>0</v>
      </c>
      <c r="EM59" s="659">
        <v>0</v>
      </c>
      <c r="EN59" s="659">
        <v>0</v>
      </c>
      <c r="EO59" s="659">
        <v>0</v>
      </c>
      <c r="EP59" s="659">
        <v>0</v>
      </c>
      <c r="EQ59" s="659">
        <v>0</v>
      </c>
    </row>
    <row r="60" spans="1:147" ht="13.95" customHeight="1" x14ac:dyDescent="0.3">
      <c r="A60" s="657" t="s">
        <v>1716</v>
      </c>
      <c r="B60" s="658" t="s">
        <v>269</v>
      </c>
      <c r="C60" s="659">
        <v>715</v>
      </c>
      <c r="D60" s="659">
        <v>0</v>
      </c>
      <c r="E60" s="659">
        <v>0</v>
      </c>
      <c r="F60" s="659">
        <v>19973</v>
      </c>
      <c r="G60" s="659">
        <v>0</v>
      </c>
      <c r="H60" s="659">
        <v>0</v>
      </c>
      <c r="I60" s="659">
        <v>19605</v>
      </c>
      <c r="J60" s="801">
        <v>54</v>
      </c>
      <c r="K60" s="659">
        <v>0</v>
      </c>
      <c r="L60" s="659">
        <v>0</v>
      </c>
      <c r="M60" s="659">
        <v>0</v>
      </c>
      <c r="N60" s="659">
        <v>0</v>
      </c>
      <c r="O60" s="659">
        <v>0</v>
      </c>
      <c r="P60" s="659">
        <v>0</v>
      </c>
      <c r="Q60" s="801">
        <v>0</v>
      </c>
      <c r="R60" s="659">
        <v>0</v>
      </c>
      <c r="S60" s="659">
        <v>0</v>
      </c>
      <c r="T60" s="659">
        <v>0</v>
      </c>
      <c r="U60" s="659">
        <v>0</v>
      </c>
      <c r="V60" s="659">
        <v>0</v>
      </c>
      <c r="W60" s="801">
        <v>0</v>
      </c>
      <c r="X60" s="659">
        <v>0</v>
      </c>
      <c r="Y60" s="659">
        <v>0</v>
      </c>
      <c r="Z60" s="659">
        <v>0</v>
      </c>
      <c r="AA60" s="659">
        <v>0</v>
      </c>
      <c r="AB60" s="659">
        <v>0</v>
      </c>
      <c r="AC60" s="659">
        <v>0</v>
      </c>
      <c r="AD60" s="801">
        <v>39</v>
      </c>
      <c r="AE60" s="659">
        <v>0</v>
      </c>
      <c r="AF60" s="659">
        <v>0</v>
      </c>
      <c r="AG60" s="659">
        <v>833</v>
      </c>
      <c r="AH60" s="659">
        <v>0</v>
      </c>
      <c r="AI60" s="659">
        <v>0</v>
      </c>
      <c r="AJ60" s="659">
        <v>833</v>
      </c>
      <c r="AK60" s="801">
        <v>0</v>
      </c>
      <c r="AL60" s="659">
        <v>0</v>
      </c>
      <c r="AM60" s="659">
        <v>0</v>
      </c>
      <c r="AN60" s="659">
        <v>0</v>
      </c>
      <c r="AO60" s="659">
        <v>0</v>
      </c>
      <c r="AP60" s="659">
        <v>0</v>
      </c>
      <c r="AQ60" s="801">
        <v>8</v>
      </c>
      <c r="AR60" s="659">
        <v>0</v>
      </c>
      <c r="AS60" s="659">
        <v>0</v>
      </c>
      <c r="AT60" s="659">
        <v>348</v>
      </c>
      <c r="AU60" s="659">
        <v>0</v>
      </c>
      <c r="AV60" s="659">
        <v>0</v>
      </c>
      <c r="AW60" s="659">
        <v>320</v>
      </c>
      <c r="AX60" s="659">
        <v>0</v>
      </c>
      <c r="AY60" s="659">
        <v>0</v>
      </c>
      <c r="AZ60" s="659">
        <v>0</v>
      </c>
      <c r="BA60" s="659">
        <v>0</v>
      </c>
      <c r="BB60" s="659">
        <v>0</v>
      </c>
      <c r="BC60" s="659">
        <v>0</v>
      </c>
      <c r="BD60" s="659">
        <v>0</v>
      </c>
      <c r="BE60" s="801">
        <v>14</v>
      </c>
      <c r="BF60" s="659">
        <v>0</v>
      </c>
      <c r="BG60" s="659">
        <v>0</v>
      </c>
      <c r="BH60" s="659">
        <v>280</v>
      </c>
      <c r="BI60" s="659">
        <v>0</v>
      </c>
      <c r="BJ60" s="659">
        <v>0</v>
      </c>
      <c r="BK60" s="659">
        <v>280</v>
      </c>
      <c r="BL60" s="659">
        <v>546</v>
      </c>
      <c r="BM60" s="659">
        <v>0</v>
      </c>
      <c r="BN60" s="659">
        <v>0</v>
      </c>
      <c r="BO60" s="659">
        <v>17262</v>
      </c>
      <c r="BP60" s="659">
        <v>0</v>
      </c>
      <c r="BQ60" s="659">
        <v>0</v>
      </c>
      <c r="BR60" s="659">
        <v>17142</v>
      </c>
      <c r="BS60" s="659">
        <v>0</v>
      </c>
      <c r="BT60" s="659">
        <v>0</v>
      </c>
      <c r="BU60" s="659">
        <v>0</v>
      </c>
      <c r="BV60" s="659">
        <v>0</v>
      </c>
      <c r="BW60" s="659">
        <v>0</v>
      </c>
      <c r="BX60" s="659">
        <v>0</v>
      </c>
      <c r="BY60" s="659">
        <v>0</v>
      </c>
      <c r="BZ60" s="659">
        <v>0</v>
      </c>
      <c r="CA60" s="659">
        <v>0</v>
      </c>
      <c r="CB60" s="659">
        <v>0</v>
      </c>
      <c r="CC60" s="659">
        <v>0</v>
      </c>
      <c r="CD60" s="659">
        <v>0</v>
      </c>
      <c r="CE60" s="659">
        <v>0</v>
      </c>
      <c r="CF60" s="659">
        <v>0</v>
      </c>
      <c r="CG60" s="659">
        <v>50</v>
      </c>
      <c r="CH60" s="659">
        <v>0</v>
      </c>
      <c r="CI60" s="659">
        <v>0</v>
      </c>
      <c r="CJ60" s="659">
        <v>1150</v>
      </c>
      <c r="CK60" s="659">
        <v>0</v>
      </c>
      <c r="CL60" s="659">
        <v>0</v>
      </c>
      <c r="CM60" s="659">
        <v>930</v>
      </c>
      <c r="CN60" s="659">
        <v>0</v>
      </c>
      <c r="CO60" s="659">
        <v>0</v>
      </c>
      <c r="CP60" s="659">
        <v>0</v>
      </c>
      <c r="CQ60" s="659">
        <v>0</v>
      </c>
      <c r="CR60" s="659">
        <v>0</v>
      </c>
      <c r="CS60" s="659">
        <v>0</v>
      </c>
      <c r="CT60" s="659">
        <v>0</v>
      </c>
      <c r="CU60" s="659">
        <v>0</v>
      </c>
      <c r="CV60" s="659">
        <v>0</v>
      </c>
      <c r="CW60" s="659">
        <v>0</v>
      </c>
      <c r="CX60" s="659">
        <v>0</v>
      </c>
      <c r="CY60" s="659">
        <v>0</v>
      </c>
      <c r="CZ60" s="659">
        <v>0</v>
      </c>
      <c r="DA60" s="659">
        <v>0</v>
      </c>
      <c r="DB60" s="659">
        <v>0</v>
      </c>
      <c r="DC60" s="659">
        <v>0</v>
      </c>
      <c r="DD60" s="659">
        <v>0</v>
      </c>
      <c r="DE60" s="659">
        <v>0</v>
      </c>
      <c r="DF60" s="659">
        <v>0</v>
      </c>
      <c r="DG60" s="659">
        <v>0</v>
      </c>
      <c r="DH60" s="659">
        <v>0</v>
      </c>
      <c r="DI60" s="659">
        <v>4</v>
      </c>
      <c r="DJ60" s="659">
        <v>0</v>
      </c>
      <c r="DK60" s="659">
        <v>0</v>
      </c>
      <c r="DL60" s="659">
        <v>100</v>
      </c>
      <c r="DM60" s="659">
        <v>0</v>
      </c>
      <c r="DN60" s="659">
        <v>0</v>
      </c>
      <c r="DO60" s="659">
        <v>100</v>
      </c>
      <c r="DP60" s="659">
        <v>0</v>
      </c>
      <c r="DQ60" s="659">
        <v>0</v>
      </c>
      <c r="DR60" s="659">
        <v>0</v>
      </c>
      <c r="DS60" s="659">
        <v>0</v>
      </c>
      <c r="DT60" s="659">
        <v>0</v>
      </c>
      <c r="DU60" s="659">
        <v>0</v>
      </c>
      <c r="DV60" s="659">
        <v>0</v>
      </c>
      <c r="DW60" s="659">
        <v>0</v>
      </c>
      <c r="DX60" s="659">
        <v>0</v>
      </c>
      <c r="DY60" s="659">
        <v>0</v>
      </c>
      <c r="DZ60" s="659">
        <v>0</v>
      </c>
      <c r="EA60" s="659">
        <v>0</v>
      </c>
      <c r="EB60" s="659">
        <v>0</v>
      </c>
      <c r="EC60" s="659">
        <v>0</v>
      </c>
      <c r="ED60" s="659">
        <v>0</v>
      </c>
      <c r="EE60" s="659">
        <v>0</v>
      </c>
      <c r="EF60" s="659">
        <v>0</v>
      </c>
      <c r="EG60" s="659">
        <v>0</v>
      </c>
      <c r="EH60" s="659">
        <v>0</v>
      </c>
      <c r="EI60" s="659">
        <v>0</v>
      </c>
      <c r="EJ60" s="659">
        <v>0</v>
      </c>
      <c r="EK60" s="659">
        <v>0</v>
      </c>
      <c r="EL60" s="659">
        <v>0</v>
      </c>
      <c r="EM60" s="659">
        <v>0</v>
      </c>
      <c r="EN60" s="659">
        <v>0</v>
      </c>
      <c r="EO60" s="659">
        <v>0</v>
      </c>
      <c r="EP60" s="659">
        <v>0</v>
      </c>
      <c r="EQ60" s="659">
        <v>0</v>
      </c>
    </row>
    <row r="61" spans="1:147" ht="13.95" customHeight="1" x14ac:dyDescent="0.3">
      <c r="A61" s="657" t="s">
        <v>1717</v>
      </c>
      <c r="B61" s="658" t="s">
        <v>269</v>
      </c>
      <c r="C61" s="659">
        <v>907</v>
      </c>
      <c r="D61" s="659">
        <v>0</v>
      </c>
      <c r="E61" s="659">
        <v>0</v>
      </c>
      <c r="F61" s="659">
        <v>78506</v>
      </c>
      <c r="G61" s="659">
        <v>0</v>
      </c>
      <c r="H61" s="659">
        <v>0</v>
      </c>
      <c r="I61" s="659">
        <v>77143</v>
      </c>
      <c r="J61" s="801">
        <v>84</v>
      </c>
      <c r="K61" s="659">
        <v>0</v>
      </c>
      <c r="L61" s="659">
        <v>0</v>
      </c>
      <c r="M61" s="659">
        <v>0</v>
      </c>
      <c r="N61" s="659">
        <v>0</v>
      </c>
      <c r="O61" s="659">
        <v>0</v>
      </c>
      <c r="P61" s="659">
        <v>0</v>
      </c>
      <c r="Q61" s="801">
        <v>1</v>
      </c>
      <c r="R61" s="659">
        <v>0</v>
      </c>
      <c r="S61" s="659">
        <v>15</v>
      </c>
      <c r="T61" s="659">
        <v>0</v>
      </c>
      <c r="U61" s="659">
        <v>0</v>
      </c>
      <c r="V61" s="659">
        <v>5</v>
      </c>
      <c r="W61" s="801">
        <v>0</v>
      </c>
      <c r="X61" s="659">
        <v>0</v>
      </c>
      <c r="Y61" s="659">
        <v>0</v>
      </c>
      <c r="Z61" s="659">
        <v>0</v>
      </c>
      <c r="AA61" s="659">
        <v>0</v>
      </c>
      <c r="AB61" s="659">
        <v>0</v>
      </c>
      <c r="AC61" s="659">
        <v>0</v>
      </c>
      <c r="AD61" s="801">
        <v>87</v>
      </c>
      <c r="AE61" s="659">
        <v>0</v>
      </c>
      <c r="AF61" s="659">
        <v>0</v>
      </c>
      <c r="AG61" s="659">
        <v>7951</v>
      </c>
      <c r="AH61" s="659">
        <v>0</v>
      </c>
      <c r="AI61" s="659">
        <v>0</v>
      </c>
      <c r="AJ61" s="659">
        <v>7951</v>
      </c>
      <c r="AK61" s="801">
        <v>5</v>
      </c>
      <c r="AL61" s="659">
        <v>0</v>
      </c>
      <c r="AM61" s="659">
        <v>50</v>
      </c>
      <c r="AN61" s="659">
        <v>0</v>
      </c>
      <c r="AO61" s="659">
        <v>0</v>
      </c>
      <c r="AP61" s="659">
        <v>50</v>
      </c>
      <c r="AQ61" s="801">
        <v>327</v>
      </c>
      <c r="AR61" s="659">
        <v>0</v>
      </c>
      <c r="AS61" s="659">
        <v>0</v>
      </c>
      <c r="AT61" s="659">
        <v>45215</v>
      </c>
      <c r="AU61" s="659">
        <v>0</v>
      </c>
      <c r="AV61" s="659">
        <v>0</v>
      </c>
      <c r="AW61" s="659">
        <v>44284</v>
      </c>
      <c r="AX61" s="659">
        <v>10</v>
      </c>
      <c r="AY61" s="659">
        <v>0</v>
      </c>
      <c r="AZ61" s="659">
        <v>0</v>
      </c>
      <c r="BA61" s="659">
        <v>710</v>
      </c>
      <c r="BB61" s="659">
        <v>0</v>
      </c>
      <c r="BC61" s="659">
        <v>0</v>
      </c>
      <c r="BD61" s="659">
        <v>685</v>
      </c>
      <c r="BE61" s="801">
        <v>71</v>
      </c>
      <c r="BF61" s="659">
        <v>0</v>
      </c>
      <c r="BG61" s="659">
        <v>0</v>
      </c>
      <c r="BH61" s="659">
        <v>2745</v>
      </c>
      <c r="BI61" s="659">
        <v>0</v>
      </c>
      <c r="BJ61" s="659">
        <v>0</v>
      </c>
      <c r="BK61" s="659">
        <v>2745</v>
      </c>
      <c r="BL61" s="659">
        <v>191</v>
      </c>
      <c r="BM61" s="659">
        <v>0</v>
      </c>
      <c r="BN61" s="659">
        <v>0</v>
      </c>
      <c r="BO61" s="659">
        <v>15882</v>
      </c>
      <c r="BP61" s="659">
        <v>0</v>
      </c>
      <c r="BQ61" s="659">
        <v>0</v>
      </c>
      <c r="BR61" s="659">
        <v>15677</v>
      </c>
      <c r="BS61" s="659">
        <v>0</v>
      </c>
      <c r="BT61" s="659">
        <v>0</v>
      </c>
      <c r="BU61" s="659">
        <v>0</v>
      </c>
      <c r="BV61" s="659">
        <v>0</v>
      </c>
      <c r="BW61" s="659">
        <v>0</v>
      </c>
      <c r="BX61" s="659">
        <v>0</v>
      </c>
      <c r="BY61" s="659">
        <v>0</v>
      </c>
      <c r="BZ61" s="659">
        <v>53</v>
      </c>
      <c r="CA61" s="659">
        <v>0</v>
      </c>
      <c r="CB61" s="659">
        <v>0</v>
      </c>
      <c r="CC61" s="659">
        <v>2703</v>
      </c>
      <c r="CD61" s="659">
        <v>0</v>
      </c>
      <c r="CE61" s="659">
        <v>0</v>
      </c>
      <c r="CF61" s="659">
        <v>2566</v>
      </c>
      <c r="CG61" s="659">
        <v>43</v>
      </c>
      <c r="CH61" s="659">
        <v>0</v>
      </c>
      <c r="CI61" s="659">
        <v>0</v>
      </c>
      <c r="CJ61" s="659">
        <v>635</v>
      </c>
      <c r="CK61" s="659">
        <v>0</v>
      </c>
      <c r="CL61" s="659">
        <v>0</v>
      </c>
      <c r="CM61" s="659">
        <v>580</v>
      </c>
      <c r="CN61" s="659">
        <v>0</v>
      </c>
      <c r="CO61" s="659">
        <v>0</v>
      </c>
      <c r="CP61" s="659">
        <v>0</v>
      </c>
      <c r="CQ61" s="659">
        <v>0</v>
      </c>
      <c r="CR61" s="659">
        <v>0</v>
      </c>
      <c r="CS61" s="659">
        <v>0</v>
      </c>
      <c r="CT61" s="659">
        <v>0</v>
      </c>
      <c r="CU61" s="659">
        <v>15</v>
      </c>
      <c r="CV61" s="659">
        <v>0</v>
      </c>
      <c r="CW61" s="659">
        <v>0</v>
      </c>
      <c r="CX61" s="659">
        <v>1800</v>
      </c>
      <c r="CY61" s="659">
        <v>0</v>
      </c>
      <c r="CZ61" s="659">
        <v>0</v>
      </c>
      <c r="DA61" s="659">
        <v>1800</v>
      </c>
      <c r="DB61" s="659">
        <v>0</v>
      </c>
      <c r="DC61" s="659">
        <v>0</v>
      </c>
      <c r="DD61" s="659">
        <v>0</v>
      </c>
      <c r="DE61" s="659">
        <v>0</v>
      </c>
      <c r="DF61" s="659">
        <v>0</v>
      </c>
      <c r="DG61" s="659">
        <v>0</v>
      </c>
      <c r="DH61" s="659">
        <v>0</v>
      </c>
      <c r="DI61" s="659">
        <v>20</v>
      </c>
      <c r="DJ61" s="659">
        <v>0</v>
      </c>
      <c r="DK61" s="659">
        <v>0</v>
      </c>
      <c r="DL61" s="659">
        <v>800</v>
      </c>
      <c r="DM61" s="659">
        <v>0</v>
      </c>
      <c r="DN61" s="659">
        <v>0</v>
      </c>
      <c r="DO61" s="659">
        <v>800</v>
      </c>
      <c r="DP61" s="659">
        <v>0</v>
      </c>
      <c r="DQ61" s="659">
        <v>0</v>
      </c>
      <c r="DR61" s="659">
        <v>0</v>
      </c>
      <c r="DS61" s="659">
        <v>0</v>
      </c>
      <c r="DT61" s="659">
        <v>0</v>
      </c>
      <c r="DU61" s="659">
        <v>0</v>
      </c>
      <c r="DV61" s="659">
        <v>0</v>
      </c>
      <c r="DW61" s="659">
        <v>0</v>
      </c>
      <c r="DX61" s="659">
        <v>0</v>
      </c>
      <c r="DY61" s="659">
        <v>0</v>
      </c>
      <c r="DZ61" s="659">
        <v>0</v>
      </c>
      <c r="EA61" s="659">
        <v>0</v>
      </c>
      <c r="EB61" s="659">
        <v>0</v>
      </c>
      <c r="EC61" s="659">
        <v>0</v>
      </c>
      <c r="ED61" s="659">
        <v>0</v>
      </c>
      <c r="EE61" s="659">
        <v>0</v>
      </c>
      <c r="EF61" s="659">
        <v>0</v>
      </c>
      <c r="EG61" s="659">
        <v>0</v>
      </c>
      <c r="EH61" s="659">
        <v>0</v>
      </c>
      <c r="EI61" s="659">
        <v>0</v>
      </c>
      <c r="EJ61" s="659">
        <v>0</v>
      </c>
      <c r="EK61" s="659">
        <v>0</v>
      </c>
      <c r="EL61" s="659">
        <v>0</v>
      </c>
      <c r="EM61" s="659">
        <v>0</v>
      </c>
      <c r="EN61" s="659">
        <v>0</v>
      </c>
      <c r="EO61" s="659">
        <v>0</v>
      </c>
      <c r="EP61" s="659">
        <v>0</v>
      </c>
      <c r="EQ61" s="659">
        <v>0</v>
      </c>
    </row>
    <row r="62" spans="1:147" ht="13.95" customHeight="1" x14ac:dyDescent="0.3">
      <c r="A62" s="657" t="s">
        <v>1718</v>
      </c>
      <c r="B62" s="658" t="s">
        <v>269</v>
      </c>
      <c r="C62" s="659">
        <f t="shared" ref="C62:BN62" si="40">C63+C65+C66+C67+C69</f>
        <v>406018</v>
      </c>
      <c r="D62" s="659">
        <f t="shared" si="40"/>
        <v>0</v>
      </c>
      <c r="E62" s="659">
        <f t="shared" si="40"/>
        <v>0</v>
      </c>
      <c r="F62" s="659">
        <f t="shared" si="40"/>
        <v>13707599</v>
      </c>
      <c r="G62" s="659">
        <f t="shared" si="40"/>
        <v>0</v>
      </c>
      <c r="H62" s="659">
        <f t="shared" si="40"/>
        <v>0</v>
      </c>
      <c r="I62" s="659">
        <f t="shared" si="40"/>
        <v>13315717</v>
      </c>
      <c r="J62" s="801">
        <f t="shared" si="40"/>
        <v>21513</v>
      </c>
      <c r="K62" s="659">
        <f t="shared" si="40"/>
        <v>0</v>
      </c>
      <c r="L62" s="659">
        <f t="shared" si="40"/>
        <v>0</v>
      </c>
      <c r="M62" s="659">
        <f t="shared" si="40"/>
        <v>658589</v>
      </c>
      <c r="N62" s="659">
        <f t="shared" si="40"/>
        <v>0</v>
      </c>
      <c r="O62" s="659">
        <f t="shared" si="40"/>
        <v>0</v>
      </c>
      <c r="P62" s="659">
        <f t="shared" si="40"/>
        <v>597603</v>
      </c>
      <c r="Q62" s="801">
        <f t="shared" si="40"/>
        <v>0</v>
      </c>
      <c r="R62" s="659">
        <f t="shared" si="40"/>
        <v>0</v>
      </c>
      <c r="S62" s="659">
        <f t="shared" si="40"/>
        <v>0</v>
      </c>
      <c r="T62" s="659">
        <f t="shared" si="40"/>
        <v>0</v>
      </c>
      <c r="U62" s="659">
        <f t="shared" si="40"/>
        <v>0</v>
      </c>
      <c r="V62" s="659">
        <f t="shared" si="40"/>
        <v>0</v>
      </c>
      <c r="W62" s="801">
        <f t="shared" si="40"/>
        <v>0</v>
      </c>
      <c r="X62" s="659">
        <f t="shared" si="40"/>
        <v>0</v>
      </c>
      <c r="Y62" s="659">
        <f t="shared" si="40"/>
        <v>0</v>
      </c>
      <c r="Z62" s="659">
        <f t="shared" si="40"/>
        <v>0</v>
      </c>
      <c r="AA62" s="659">
        <f t="shared" si="40"/>
        <v>0</v>
      </c>
      <c r="AB62" s="659">
        <f t="shared" si="40"/>
        <v>0</v>
      </c>
      <c r="AC62" s="659">
        <f t="shared" si="40"/>
        <v>0</v>
      </c>
      <c r="AD62" s="801">
        <f t="shared" si="40"/>
        <v>47752</v>
      </c>
      <c r="AE62" s="659">
        <f t="shared" si="40"/>
        <v>0</v>
      </c>
      <c r="AF62" s="659">
        <f t="shared" si="40"/>
        <v>0</v>
      </c>
      <c r="AG62" s="659">
        <f t="shared" si="40"/>
        <v>1425113</v>
      </c>
      <c r="AH62" s="659">
        <f t="shared" si="40"/>
        <v>0</v>
      </c>
      <c r="AI62" s="659">
        <f t="shared" si="40"/>
        <v>0</v>
      </c>
      <c r="AJ62" s="659">
        <f t="shared" si="40"/>
        <v>1425113</v>
      </c>
      <c r="AK62" s="801">
        <f t="shared" si="40"/>
        <v>0</v>
      </c>
      <c r="AL62" s="659">
        <f t="shared" si="40"/>
        <v>0</v>
      </c>
      <c r="AM62" s="659">
        <f t="shared" si="40"/>
        <v>0</v>
      </c>
      <c r="AN62" s="659">
        <f t="shared" si="40"/>
        <v>0</v>
      </c>
      <c r="AO62" s="659">
        <f t="shared" si="40"/>
        <v>0</v>
      </c>
      <c r="AP62" s="659">
        <f t="shared" si="40"/>
        <v>0</v>
      </c>
      <c r="AQ62" s="801">
        <f t="shared" si="40"/>
        <v>141160</v>
      </c>
      <c r="AR62" s="659">
        <f t="shared" si="40"/>
        <v>0</v>
      </c>
      <c r="AS62" s="659">
        <f t="shared" si="40"/>
        <v>0</v>
      </c>
      <c r="AT62" s="659">
        <f t="shared" si="40"/>
        <v>5017648</v>
      </c>
      <c r="AU62" s="659">
        <f t="shared" si="40"/>
        <v>0</v>
      </c>
      <c r="AV62" s="659">
        <f t="shared" si="40"/>
        <v>0</v>
      </c>
      <c r="AW62" s="659">
        <f t="shared" si="40"/>
        <v>4705486</v>
      </c>
      <c r="AX62" s="659">
        <f t="shared" si="40"/>
        <v>57215</v>
      </c>
      <c r="AY62" s="659">
        <f t="shared" si="40"/>
        <v>0</v>
      </c>
      <c r="AZ62" s="659">
        <f t="shared" si="40"/>
        <v>0</v>
      </c>
      <c r="BA62" s="659">
        <f t="shared" si="40"/>
        <v>2929654</v>
      </c>
      <c r="BB62" s="659">
        <f t="shared" si="40"/>
        <v>0</v>
      </c>
      <c r="BC62" s="659">
        <f t="shared" si="40"/>
        <v>0</v>
      </c>
      <c r="BD62" s="659">
        <f t="shared" si="40"/>
        <v>2922409</v>
      </c>
      <c r="BE62" s="801">
        <f t="shared" si="40"/>
        <v>44550</v>
      </c>
      <c r="BF62" s="659">
        <f t="shared" si="40"/>
        <v>0</v>
      </c>
      <c r="BG62" s="659">
        <f t="shared" si="40"/>
        <v>0</v>
      </c>
      <c r="BH62" s="659">
        <f t="shared" si="40"/>
        <v>1594217</v>
      </c>
      <c r="BI62" s="659">
        <f t="shared" si="40"/>
        <v>0</v>
      </c>
      <c r="BJ62" s="659">
        <f t="shared" si="40"/>
        <v>0</v>
      </c>
      <c r="BK62" s="659">
        <f t="shared" si="40"/>
        <v>1594217</v>
      </c>
      <c r="BL62" s="659">
        <f t="shared" si="40"/>
        <v>21635</v>
      </c>
      <c r="BM62" s="659">
        <f t="shared" si="40"/>
        <v>0</v>
      </c>
      <c r="BN62" s="659">
        <f t="shared" si="40"/>
        <v>0</v>
      </c>
      <c r="BO62" s="659">
        <f t="shared" ref="BO62:DZ62" si="41">BO63+BO65+BO66+BO67+BO69</f>
        <v>509780</v>
      </c>
      <c r="BP62" s="659">
        <f t="shared" si="41"/>
        <v>0</v>
      </c>
      <c r="BQ62" s="659">
        <f t="shared" si="41"/>
        <v>0</v>
      </c>
      <c r="BR62" s="659">
        <f t="shared" si="41"/>
        <v>505688</v>
      </c>
      <c r="BS62" s="659">
        <f t="shared" si="41"/>
        <v>15370</v>
      </c>
      <c r="BT62" s="659">
        <f t="shared" si="41"/>
        <v>0</v>
      </c>
      <c r="BU62" s="659">
        <f t="shared" si="41"/>
        <v>0</v>
      </c>
      <c r="BV62" s="659">
        <f t="shared" si="41"/>
        <v>344245</v>
      </c>
      <c r="BW62" s="659">
        <f t="shared" si="41"/>
        <v>0</v>
      </c>
      <c r="BX62" s="659">
        <f t="shared" si="41"/>
        <v>0</v>
      </c>
      <c r="BY62" s="659">
        <f t="shared" si="41"/>
        <v>344245</v>
      </c>
      <c r="BZ62" s="659">
        <f t="shared" si="41"/>
        <v>44060</v>
      </c>
      <c r="CA62" s="659">
        <f t="shared" si="41"/>
        <v>0</v>
      </c>
      <c r="CB62" s="659">
        <f t="shared" si="41"/>
        <v>0</v>
      </c>
      <c r="CC62" s="659">
        <f t="shared" si="41"/>
        <v>975514</v>
      </c>
      <c r="CD62" s="659">
        <f t="shared" si="41"/>
        <v>0</v>
      </c>
      <c r="CE62" s="659">
        <f t="shared" si="41"/>
        <v>0</v>
      </c>
      <c r="CF62" s="659">
        <f t="shared" si="41"/>
        <v>974296</v>
      </c>
      <c r="CG62" s="659">
        <f t="shared" si="41"/>
        <v>4104</v>
      </c>
      <c r="CH62" s="659">
        <f t="shared" si="41"/>
        <v>0</v>
      </c>
      <c r="CI62" s="659">
        <f t="shared" si="41"/>
        <v>0</v>
      </c>
      <c r="CJ62" s="659">
        <f t="shared" si="41"/>
        <v>84039</v>
      </c>
      <c r="CK62" s="659">
        <f t="shared" si="41"/>
        <v>0</v>
      </c>
      <c r="CL62" s="659">
        <f t="shared" si="41"/>
        <v>0</v>
      </c>
      <c r="CM62" s="659">
        <f t="shared" si="41"/>
        <v>79588</v>
      </c>
      <c r="CN62" s="659">
        <f t="shared" si="41"/>
        <v>4143</v>
      </c>
      <c r="CO62" s="659">
        <f t="shared" si="41"/>
        <v>0</v>
      </c>
      <c r="CP62" s="659">
        <f t="shared" si="41"/>
        <v>0</v>
      </c>
      <c r="CQ62" s="659">
        <f t="shared" si="41"/>
        <v>86351</v>
      </c>
      <c r="CR62" s="659">
        <f t="shared" si="41"/>
        <v>0</v>
      </c>
      <c r="CS62" s="659">
        <f t="shared" si="41"/>
        <v>0</v>
      </c>
      <c r="CT62" s="659">
        <f t="shared" si="41"/>
        <v>86341</v>
      </c>
      <c r="CU62" s="659">
        <f t="shared" si="41"/>
        <v>1580</v>
      </c>
      <c r="CV62" s="659">
        <f t="shared" si="41"/>
        <v>0</v>
      </c>
      <c r="CW62" s="659">
        <f t="shared" si="41"/>
        <v>0</v>
      </c>
      <c r="CX62" s="659">
        <f t="shared" si="41"/>
        <v>28280</v>
      </c>
      <c r="CY62" s="659">
        <f t="shared" si="41"/>
        <v>0</v>
      </c>
      <c r="CZ62" s="659">
        <f t="shared" si="41"/>
        <v>0</v>
      </c>
      <c r="DA62" s="659">
        <f t="shared" si="41"/>
        <v>28280</v>
      </c>
      <c r="DB62" s="659">
        <f t="shared" si="41"/>
        <v>177</v>
      </c>
      <c r="DC62" s="659">
        <f t="shared" si="41"/>
        <v>0</v>
      </c>
      <c r="DD62" s="659">
        <f t="shared" si="41"/>
        <v>0</v>
      </c>
      <c r="DE62" s="659">
        <f t="shared" si="41"/>
        <v>4420</v>
      </c>
      <c r="DF62" s="659">
        <f t="shared" si="41"/>
        <v>0</v>
      </c>
      <c r="DG62" s="659">
        <f t="shared" si="41"/>
        <v>0</v>
      </c>
      <c r="DH62" s="659">
        <f t="shared" si="41"/>
        <v>4415</v>
      </c>
      <c r="DI62" s="659">
        <f t="shared" si="41"/>
        <v>2080</v>
      </c>
      <c r="DJ62" s="659">
        <f t="shared" si="41"/>
        <v>0</v>
      </c>
      <c r="DK62" s="659">
        <f t="shared" si="41"/>
        <v>0</v>
      </c>
      <c r="DL62" s="659">
        <f t="shared" si="41"/>
        <v>40775</v>
      </c>
      <c r="DM62" s="659">
        <f t="shared" si="41"/>
        <v>0</v>
      </c>
      <c r="DN62" s="659">
        <f t="shared" si="41"/>
        <v>0</v>
      </c>
      <c r="DO62" s="659">
        <f t="shared" si="41"/>
        <v>39194</v>
      </c>
      <c r="DP62" s="659">
        <f t="shared" si="41"/>
        <v>590</v>
      </c>
      <c r="DQ62" s="659">
        <f t="shared" si="41"/>
        <v>0</v>
      </c>
      <c r="DR62" s="659">
        <f t="shared" si="41"/>
        <v>0</v>
      </c>
      <c r="DS62" s="659">
        <f t="shared" si="41"/>
        <v>6352</v>
      </c>
      <c r="DT62" s="659">
        <f t="shared" si="41"/>
        <v>0</v>
      </c>
      <c r="DU62" s="659">
        <f t="shared" si="41"/>
        <v>0</v>
      </c>
      <c r="DV62" s="659">
        <f t="shared" si="41"/>
        <v>6291</v>
      </c>
      <c r="DW62" s="659">
        <f t="shared" si="41"/>
        <v>89</v>
      </c>
      <c r="DX62" s="659">
        <f t="shared" si="41"/>
        <v>0</v>
      </c>
      <c r="DY62" s="659">
        <f t="shared" si="41"/>
        <v>0</v>
      </c>
      <c r="DZ62" s="659">
        <f t="shared" si="41"/>
        <v>2622</v>
      </c>
      <c r="EA62" s="659">
        <f t="shared" ref="EA62:EQ62" si="42">EA63+EA65+EA66+EA67+EA69</f>
        <v>0</v>
      </c>
      <c r="EB62" s="659">
        <f t="shared" si="42"/>
        <v>0</v>
      </c>
      <c r="EC62" s="659">
        <f t="shared" si="42"/>
        <v>2551</v>
      </c>
      <c r="ED62" s="659">
        <f t="shared" si="42"/>
        <v>0</v>
      </c>
      <c r="EE62" s="659">
        <f t="shared" si="42"/>
        <v>0</v>
      </c>
      <c r="EF62" s="659">
        <f t="shared" si="42"/>
        <v>0</v>
      </c>
      <c r="EG62" s="659">
        <f t="shared" si="42"/>
        <v>0</v>
      </c>
      <c r="EH62" s="659">
        <f t="shared" si="42"/>
        <v>0</v>
      </c>
      <c r="EI62" s="659">
        <f t="shared" si="42"/>
        <v>0</v>
      </c>
      <c r="EJ62" s="659">
        <f t="shared" si="42"/>
        <v>0</v>
      </c>
      <c r="EK62" s="659">
        <f t="shared" si="42"/>
        <v>0</v>
      </c>
      <c r="EL62" s="659">
        <f t="shared" si="42"/>
        <v>0</v>
      </c>
      <c r="EM62" s="659">
        <f t="shared" si="42"/>
        <v>0</v>
      </c>
      <c r="EN62" s="659">
        <f t="shared" si="42"/>
        <v>0</v>
      </c>
      <c r="EO62" s="659">
        <f t="shared" si="42"/>
        <v>0</v>
      </c>
      <c r="EP62" s="659">
        <f t="shared" si="42"/>
        <v>0</v>
      </c>
      <c r="EQ62" s="659">
        <f t="shared" si="42"/>
        <v>0</v>
      </c>
    </row>
    <row r="63" spans="1:147" ht="13.95" customHeight="1" x14ac:dyDescent="0.3">
      <c r="A63" s="657" t="s">
        <v>1719</v>
      </c>
      <c r="B63" s="658" t="s">
        <v>269</v>
      </c>
      <c r="C63" s="659">
        <v>18</v>
      </c>
      <c r="D63" s="659">
        <v>0</v>
      </c>
      <c r="E63" s="659">
        <v>0</v>
      </c>
      <c r="F63" s="659">
        <v>173</v>
      </c>
      <c r="G63" s="659">
        <v>0</v>
      </c>
      <c r="H63" s="659">
        <v>0</v>
      </c>
      <c r="I63" s="659">
        <v>167</v>
      </c>
      <c r="J63" s="801">
        <v>0</v>
      </c>
      <c r="K63" s="659">
        <v>0</v>
      </c>
      <c r="L63" s="659">
        <v>0</v>
      </c>
      <c r="M63" s="659">
        <v>0</v>
      </c>
      <c r="N63" s="659">
        <v>0</v>
      </c>
      <c r="O63" s="659">
        <v>0</v>
      </c>
      <c r="P63" s="659">
        <v>0</v>
      </c>
      <c r="Q63" s="801">
        <v>0</v>
      </c>
      <c r="R63" s="659">
        <v>0</v>
      </c>
      <c r="S63" s="659">
        <v>0</v>
      </c>
      <c r="T63" s="659">
        <v>0</v>
      </c>
      <c r="U63" s="659">
        <v>0</v>
      </c>
      <c r="V63" s="659">
        <v>0</v>
      </c>
      <c r="W63" s="801">
        <v>0</v>
      </c>
      <c r="X63" s="659">
        <v>0</v>
      </c>
      <c r="Y63" s="659">
        <v>0</v>
      </c>
      <c r="Z63" s="659">
        <v>0</v>
      </c>
      <c r="AA63" s="659">
        <v>0</v>
      </c>
      <c r="AB63" s="659">
        <v>0</v>
      </c>
      <c r="AC63" s="659">
        <v>0</v>
      </c>
      <c r="AD63" s="801">
        <v>0</v>
      </c>
      <c r="AE63" s="659">
        <v>0</v>
      </c>
      <c r="AF63" s="659">
        <v>0</v>
      </c>
      <c r="AG63" s="659">
        <v>0</v>
      </c>
      <c r="AH63" s="659">
        <v>0</v>
      </c>
      <c r="AI63" s="659">
        <v>0</v>
      </c>
      <c r="AJ63" s="659">
        <v>0</v>
      </c>
      <c r="AK63" s="801">
        <v>0</v>
      </c>
      <c r="AL63" s="659">
        <v>0</v>
      </c>
      <c r="AM63" s="659">
        <v>0</v>
      </c>
      <c r="AN63" s="659">
        <v>0</v>
      </c>
      <c r="AO63" s="659">
        <v>0</v>
      </c>
      <c r="AP63" s="659">
        <v>0</v>
      </c>
      <c r="AQ63" s="801">
        <v>14</v>
      </c>
      <c r="AR63" s="659">
        <v>0</v>
      </c>
      <c r="AS63" s="659">
        <v>0</v>
      </c>
      <c r="AT63" s="659">
        <v>98</v>
      </c>
      <c r="AU63" s="659">
        <v>0</v>
      </c>
      <c r="AV63" s="659">
        <v>0</v>
      </c>
      <c r="AW63" s="659">
        <v>92</v>
      </c>
      <c r="AX63" s="659">
        <v>0</v>
      </c>
      <c r="AY63" s="659">
        <v>0</v>
      </c>
      <c r="AZ63" s="659">
        <v>0</v>
      </c>
      <c r="BA63" s="659">
        <v>0</v>
      </c>
      <c r="BB63" s="659">
        <v>0</v>
      </c>
      <c r="BC63" s="659">
        <v>0</v>
      </c>
      <c r="BD63" s="659">
        <v>0</v>
      </c>
      <c r="BE63" s="801">
        <v>0</v>
      </c>
      <c r="BF63" s="659">
        <v>0</v>
      </c>
      <c r="BG63" s="659">
        <v>0</v>
      </c>
      <c r="BH63" s="659">
        <v>0</v>
      </c>
      <c r="BI63" s="659">
        <v>0</v>
      </c>
      <c r="BJ63" s="659">
        <v>0</v>
      </c>
      <c r="BK63" s="659">
        <v>0</v>
      </c>
      <c r="BL63" s="659">
        <v>4</v>
      </c>
      <c r="BM63" s="659">
        <v>0</v>
      </c>
      <c r="BN63" s="659">
        <v>0</v>
      </c>
      <c r="BO63" s="659">
        <v>75</v>
      </c>
      <c r="BP63" s="659">
        <v>0</v>
      </c>
      <c r="BQ63" s="659">
        <v>0</v>
      </c>
      <c r="BR63" s="659">
        <v>75</v>
      </c>
      <c r="BS63" s="659">
        <v>0</v>
      </c>
      <c r="BT63" s="659">
        <v>0</v>
      </c>
      <c r="BU63" s="659">
        <v>0</v>
      </c>
      <c r="BV63" s="659">
        <v>0</v>
      </c>
      <c r="BW63" s="659">
        <v>0</v>
      </c>
      <c r="BX63" s="659">
        <v>0</v>
      </c>
      <c r="BY63" s="659">
        <v>0</v>
      </c>
      <c r="BZ63" s="659">
        <v>0</v>
      </c>
      <c r="CA63" s="659">
        <v>0</v>
      </c>
      <c r="CB63" s="659">
        <v>0</v>
      </c>
      <c r="CC63" s="659">
        <v>0</v>
      </c>
      <c r="CD63" s="659">
        <v>0</v>
      </c>
      <c r="CE63" s="659">
        <v>0</v>
      </c>
      <c r="CF63" s="659">
        <v>0</v>
      </c>
      <c r="CG63" s="659">
        <v>0</v>
      </c>
      <c r="CH63" s="659">
        <v>0</v>
      </c>
      <c r="CI63" s="659">
        <v>0</v>
      </c>
      <c r="CJ63" s="659">
        <v>0</v>
      </c>
      <c r="CK63" s="659">
        <v>0</v>
      </c>
      <c r="CL63" s="659">
        <v>0</v>
      </c>
      <c r="CM63" s="659">
        <v>0</v>
      </c>
      <c r="CN63" s="659">
        <v>0</v>
      </c>
      <c r="CO63" s="659">
        <v>0</v>
      </c>
      <c r="CP63" s="659">
        <v>0</v>
      </c>
      <c r="CQ63" s="659">
        <v>0</v>
      </c>
      <c r="CR63" s="659">
        <v>0</v>
      </c>
      <c r="CS63" s="659">
        <v>0</v>
      </c>
      <c r="CT63" s="659">
        <v>0</v>
      </c>
      <c r="CU63" s="659">
        <v>0</v>
      </c>
      <c r="CV63" s="659">
        <v>0</v>
      </c>
      <c r="CW63" s="659">
        <v>0</v>
      </c>
      <c r="CX63" s="659">
        <v>0</v>
      </c>
      <c r="CY63" s="659">
        <v>0</v>
      </c>
      <c r="CZ63" s="659">
        <v>0</v>
      </c>
      <c r="DA63" s="659">
        <v>0</v>
      </c>
      <c r="DB63" s="659">
        <v>0</v>
      </c>
      <c r="DC63" s="659">
        <v>0</v>
      </c>
      <c r="DD63" s="659">
        <v>0</v>
      </c>
      <c r="DE63" s="659">
        <v>0</v>
      </c>
      <c r="DF63" s="659">
        <v>0</v>
      </c>
      <c r="DG63" s="659">
        <v>0</v>
      </c>
      <c r="DH63" s="659">
        <v>0</v>
      </c>
      <c r="DI63" s="659">
        <v>0</v>
      </c>
      <c r="DJ63" s="659">
        <v>0</v>
      </c>
      <c r="DK63" s="659">
        <v>0</v>
      </c>
      <c r="DL63" s="659">
        <v>0</v>
      </c>
      <c r="DM63" s="659">
        <v>0</v>
      </c>
      <c r="DN63" s="659">
        <v>0</v>
      </c>
      <c r="DO63" s="659">
        <v>0</v>
      </c>
      <c r="DP63" s="659">
        <v>0</v>
      </c>
      <c r="DQ63" s="659">
        <v>0</v>
      </c>
      <c r="DR63" s="659">
        <v>0</v>
      </c>
      <c r="DS63" s="659">
        <v>0</v>
      </c>
      <c r="DT63" s="659">
        <v>0</v>
      </c>
      <c r="DU63" s="659">
        <v>0</v>
      </c>
      <c r="DV63" s="659">
        <v>0</v>
      </c>
      <c r="DW63" s="659">
        <v>0</v>
      </c>
      <c r="DX63" s="659">
        <v>0</v>
      </c>
      <c r="DY63" s="659">
        <v>0</v>
      </c>
      <c r="DZ63" s="659">
        <v>0</v>
      </c>
      <c r="EA63" s="659">
        <v>0</v>
      </c>
      <c r="EB63" s="659">
        <v>0</v>
      </c>
      <c r="EC63" s="659">
        <v>0</v>
      </c>
      <c r="ED63" s="659">
        <v>0</v>
      </c>
      <c r="EE63" s="659">
        <v>0</v>
      </c>
      <c r="EF63" s="659">
        <v>0</v>
      </c>
      <c r="EG63" s="659">
        <v>0</v>
      </c>
      <c r="EH63" s="659">
        <v>0</v>
      </c>
      <c r="EI63" s="659">
        <v>0</v>
      </c>
      <c r="EJ63" s="659">
        <v>0</v>
      </c>
      <c r="EK63" s="659">
        <v>0</v>
      </c>
      <c r="EL63" s="659">
        <v>0</v>
      </c>
      <c r="EM63" s="659">
        <v>0</v>
      </c>
      <c r="EN63" s="659">
        <v>0</v>
      </c>
      <c r="EO63" s="659">
        <v>0</v>
      </c>
      <c r="EP63" s="659">
        <v>0</v>
      </c>
      <c r="EQ63" s="659">
        <v>0</v>
      </c>
    </row>
    <row r="64" spans="1:147" ht="13.95" customHeight="1" x14ac:dyDescent="0.3">
      <c r="A64" s="657" t="s">
        <v>1720</v>
      </c>
      <c r="B64" s="658" t="s">
        <v>269</v>
      </c>
      <c r="C64" s="659">
        <v>0</v>
      </c>
      <c r="D64" s="659">
        <v>0</v>
      </c>
      <c r="E64" s="659">
        <v>0</v>
      </c>
      <c r="F64" s="659">
        <v>0</v>
      </c>
      <c r="G64" s="659">
        <v>0</v>
      </c>
      <c r="H64" s="659">
        <v>0</v>
      </c>
      <c r="I64" s="659">
        <v>0</v>
      </c>
      <c r="J64" s="801">
        <v>0</v>
      </c>
      <c r="K64" s="659">
        <v>0</v>
      </c>
      <c r="L64" s="659">
        <v>0</v>
      </c>
      <c r="M64" s="659">
        <v>0</v>
      </c>
      <c r="N64" s="659">
        <v>0</v>
      </c>
      <c r="O64" s="659">
        <v>0</v>
      </c>
      <c r="P64" s="659">
        <v>0</v>
      </c>
      <c r="Q64" s="801">
        <v>0</v>
      </c>
      <c r="R64" s="659">
        <v>0</v>
      </c>
      <c r="S64" s="659">
        <v>0</v>
      </c>
      <c r="T64" s="659">
        <v>0</v>
      </c>
      <c r="U64" s="659">
        <v>0</v>
      </c>
      <c r="V64" s="659">
        <v>0</v>
      </c>
      <c r="W64" s="801">
        <v>0</v>
      </c>
      <c r="X64" s="659">
        <v>0</v>
      </c>
      <c r="Y64" s="659">
        <v>0</v>
      </c>
      <c r="Z64" s="659">
        <v>0</v>
      </c>
      <c r="AA64" s="659">
        <v>0</v>
      </c>
      <c r="AB64" s="659">
        <v>0</v>
      </c>
      <c r="AC64" s="659">
        <v>0</v>
      </c>
      <c r="AD64" s="801">
        <v>0</v>
      </c>
      <c r="AE64" s="659">
        <v>0</v>
      </c>
      <c r="AF64" s="659">
        <v>0</v>
      </c>
      <c r="AG64" s="659">
        <v>0</v>
      </c>
      <c r="AH64" s="659">
        <v>0</v>
      </c>
      <c r="AI64" s="659">
        <v>0</v>
      </c>
      <c r="AJ64" s="659">
        <v>0</v>
      </c>
      <c r="AK64" s="801">
        <v>0</v>
      </c>
      <c r="AL64" s="659">
        <v>0</v>
      </c>
      <c r="AM64" s="659">
        <v>0</v>
      </c>
      <c r="AN64" s="659">
        <v>0</v>
      </c>
      <c r="AO64" s="659">
        <v>0</v>
      </c>
      <c r="AP64" s="659">
        <v>0</v>
      </c>
      <c r="AQ64" s="801">
        <v>0</v>
      </c>
      <c r="AR64" s="659">
        <v>0</v>
      </c>
      <c r="AS64" s="659">
        <v>0</v>
      </c>
      <c r="AT64" s="659">
        <v>0</v>
      </c>
      <c r="AU64" s="659">
        <v>0</v>
      </c>
      <c r="AV64" s="659">
        <v>0</v>
      </c>
      <c r="AW64" s="659">
        <v>0</v>
      </c>
      <c r="AX64" s="659">
        <v>0</v>
      </c>
      <c r="AY64" s="659">
        <v>0</v>
      </c>
      <c r="AZ64" s="659">
        <v>0</v>
      </c>
      <c r="BA64" s="659">
        <v>0</v>
      </c>
      <c r="BB64" s="659">
        <v>0</v>
      </c>
      <c r="BC64" s="659">
        <v>0</v>
      </c>
      <c r="BD64" s="659">
        <v>0</v>
      </c>
      <c r="BE64" s="801">
        <v>0</v>
      </c>
      <c r="BF64" s="659">
        <v>0</v>
      </c>
      <c r="BG64" s="659">
        <v>0</v>
      </c>
      <c r="BH64" s="659">
        <v>0</v>
      </c>
      <c r="BI64" s="659">
        <v>0</v>
      </c>
      <c r="BJ64" s="659">
        <v>0</v>
      </c>
      <c r="BK64" s="659">
        <v>0</v>
      </c>
      <c r="BL64" s="659">
        <v>0</v>
      </c>
      <c r="BM64" s="659">
        <v>0</v>
      </c>
      <c r="BN64" s="659">
        <v>0</v>
      </c>
      <c r="BO64" s="659">
        <v>0</v>
      </c>
      <c r="BP64" s="659">
        <v>0</v>
      </c>
      <c r="BQ64" s="659">
        <v>0</v>
      </c>
      <c r="BR64" s="659">
        <v>0</v>
      </c>
      <c r="BS64" s="659">
        <v>0</v>
      </c>
      <c r="BT64" s="659">
        <v>0</v>
      </c>
      <c r="BU64" s="659">
        <v>0</v>
      </c>
      <c r="BV64" s="659">
        <v>0</v>
      </c>
      <c r="BW64" s="659">
        <v>0</v>
      </c>
      <c r="BX64" s="659">
        <v>0</v>
      </c>
      <c r="BY64" s="659">
        <v>0</v>
      </c>
      <c r="BZ64" s="659">
        <v>0</v>
      </c>
      <c r="CA64" s="659">
        <v>0</v>
      </c>
      <c r="CB64" s="659">
        <v>0</v>
      </c>
      <c r="CC64" s="659">
        <v>0</v>
      </c>
      <c r="CD64" s="659">
        <v>0</v>
      </c>
      <c r="CE64" s="659">
        <v>0</v>
      </c>
      <c r="CF64" s="659">
        <v>0</v>
      </c>
      <c r="CG64" s="659">
        <v>0</v>
      </c>
      <c r="CH64" s="659">
        <v>0</v>
      </c>
      <c r="CI64" s="659">
        <v>0</v>
      </c>
      <c r="CJ64" s="659">
        <v>0</v>
      </c>
      <c r="CK64" s="659">
        <v>0</v>
      </c>
      <c r="CL64" s="659">
        <v>0</v>
      </c>
      <c r="CM64" s="659">
        <v>0</v>
      </c>
      <c r="CN64" s="659">
        <v>0</v>
      </c>
      <c r="CO64" s="659">
        <v>0</v>
      </c>
      <c r="CP64" s="659">
        <v>0</v>
      </c>
      <c r="CQ64" s="659">
        <v>0</v>
      </c>
      <c r="CR64" s="659">
        <v>0</v>
      </c>
      <c r="CS64" s="659">
        <v>0</v>
      </c>
      <c r="CT64" s="659">
        <v>0</v>
      </c>
      <c r="CU64" s="659">
        <v>0</v>
      </c>
      <c r="CV64" s="659">
        <v>0</v>
      </c>
      <c r="CW64" s="659">
        <v>0</v>
      </c>
      <c r="CX64" s="659">
        <v>0</v>
      </c>
      <c r="CY64" s="659">
        <v>0</v>
      </c>
      <c r="CZ64" s="659">
        <v>0</v>
      </c>
      <c r="DA64" s="659">
        <v>0</v>
      </c>
      <c r="DB64" s="659">
        <v>0</v>
      </c>
      <c r="DC64" s="659">
        <v>0</v>
      </c>
      <c r="DD64" s="659">
        <v>0</v>
      </c>
      <c r="DE64" s="659">
        <v>0</v>
      </c>
      <c r="DF64" s="659">
        <v>0</v>
      </c>
      <c r="DG64" s="659">
        <v>0</v>
      </c>
      <c r="DH64" s="659">
        <v>0</v>
      </c>
      <c r="DI64" s="659">
        <v>0</v>
      </c>
      <c r="DJ64" s="659">
        <v>0</v>
      </c>
      <c r="DK64" s="659">
        <v>0</v>
      </c>
      <c r="DL64" s="659">
        <v>0</v>
      </c>
      <c r="DM64" s="659">
        <v>0</v>
      </c>
      <c r="DN64" s="659">
        <v>0</v>
      </c>
      <c r="DO64" s="659">
        <v>0</v>
      </c>
      <c r="DP64" s="659">
        <v>0</v>
      </c>
      <c r="DQ64" s="659">
        <v>0</v>
      </c>
      <c r="DR64" s="659">
        <v>0</v>
      </c>
      <c r="DS64" s="659">
        <v>0</v>
      </c>
      <c r="DT64" s="659">
        <v>0</v>
      </c>
      <c r="DU64" s="659">
        <v>0</v>
      </c>
      <c r="DV64" s="659">
        <v>0</v>
      </c>
      <c r="DW64" s="659">
        <v>0</v>
      </c>
      <c r="DX64" s="659">
        <v>0</v>
      </c>
      <c r="DY64" s="659">
        <v>0</v>
      </c>
      <c r="DZ64" s="659">
        <v>0</v>
      </c>
      <c r="EA64" s="659">
        <v>0</v>
      </c>
      <c r="EB64" s="659">
        <v>0</v>
      </c>
      <c r="EC64" s="659">
        <v>0</v>
      </c>
      <c r="ED64" s="659">
        <v>0</v>
      </c>
      <c r="EE64" s="659">
        <v>0</v>
      </c>
      <c r="EF64" s="659">
        <v>0</v>
      </c>
      <c r="EG64" s="659">
        <v>0</v>
      </c>
      <c r="EH64" s="659">
        <v>0</v>
      </c>
      <c r="EI64" s="659">
        <v>0</v>
      </c>
      <c r="EJ64" s="659">
        <v>0</v>
      </c>
      <c r="EK64" s="659">
        <v>0</v>
      </c>
      <c r="EL64" s="659">
        <v>0</v>
      </c>
      <c r="EM64" s="659">
        <v>0</v>
      </c>
      <c r="EN64" s="659">
        <v>0</v>
      </c>
      <c r="EO64" s="659">
        <v>0</v>
      </c>
      <c r="EP64" s="659">
        <v>0</v>
      </c>
      <c r="EQ64" s="659">
        <v>0</v>
      </c>
    </row>
    <row r="65" spans="1:147" ht="13.95" customHeight="1" x14ac:dyDescent="0.3">
      <c r="A65" s="657" t="s">
        <v>1721</v>
      </c>
      <c r="B65" s="658" t="s">
        <v>269</v>
      </c>
      <c r="C65" s="659">
        <v>14071</v>
      </c>
      <c r="D65" s="659">
        <v>0</v>
      </c>
      <c r="E65" s="659">
        <v>0</v>
      </c>
      <c r="F65" s="659">
        <v>379434</v>
      </c>
      <c r="G65" s="659">
        <v>0</v>
      </c>
      <c r="H65" s="659">
        <v>0</v>
      </c>
      <c r="I65" s="659">
        <v>373967</v>
      </c>
      <c r="J65" s="801">
        <v>2016</v>
      </c>
      <c r="K65" s="659">
        <v>0</v>
      </c>
      <c r="L65" s="659">
        <v>0</v>
      </c>
      <c r="M65" s="659">
        <v>54385</v>
      </c>
      <c r="N65" s="659">
        <v>0</v>
      </c>
      <c r="O65" s="659">
        <v>0</v>
      </c>
      <c r="P65" s="659">
        <v>54385</v>
      </c>
      <c r="Q65" s="801">
        <v>0</v>
      </c>
      <c r="R65" s="659">
        <v>0</v>
      </c>
      <c r="S65" s="659">
        <v>0</v>
      </c>
      <c r="T65" s="659">
        <v>0</v>
      </c>
      <c r="U65" s="659">
        <v>0</v>
      </c>
      <c r="V65" s="659">
        <v>0</v>
      </c>
      <c r="W65" s="801">
        <v>0</v>
      </c>
      <c r="X65" s="659">
        <v>0</v>
      </c>
      <c r="Y65" s="659">
        <v>0</v>
      </c>
      <c r="Z65" s="659">
        <v>0</v>
      </c>
      <c r="AA65" s="659">
        <v>0</v>
      </c>
      <c r="AB65" s="659">
        <v>0</v>
      </c>
      <c r="AC65" s="659">
        <v>0</v>
      </c>
      <c r="AD65" s="801">
        <v>3850</v>
      </c>
      <c r="AE65" s="659">
        <v>0</v>
      </c>
      <c r="AF65" s="659">
        <v>0</v>
      </c>
      <c r="AG65" s="659">
        <v>119383</v>
      </c>
      <c r="AH65" s="659">
        <v>0</v>
      </c>
      <c r="AI65" s="659">
        <v>0</v>
      </c>
      <c r="AJ65" s="659">
        <v>119383</v>
      </c>
      <c r="AK65" s="801">
        <v>0</v>
      </c>
      <c r="AL65" s="659">
        <v>0</v>
      </c>
      <c r="AM65" s="659">
        <v>0</v>
      </c>
      <c r="AN65" s="659">
        <v>0</v>
      </c>
      <c r="AO65" s="659">
        <v>0</v>
      </c>
      <c r="AP65" s="659">
        <v>0</v>
      </c>
      <c r="AQ65" s="801">
        <v>2800</v>
      </c>
      <c r="AR65" s="659">
        <v>0</v>
      </c>
      <c r="AS65" s="659">
        <v>0</v>
      </c>
      <c r="AT65" s="659">
        <v>78095</v>
      </c>
      <c r="AU65" s="659">
        <v>0</v>
      </c>
      <c r="AV65" s="659">
        <v>0</v>
      </c>
      <c r="AW65" s="659">
        <v>74570</v>
      </c>
      <c r="AX65" s="659">
        <v>474</v>
      </c>
      <c r="AY65" s="659">
        <v>0</v>
      </c>
      <c r="AZ65" s="659">
        <v>0</v>
      </c>
      <c r="BA65" s="659">
        <v>14815</v>
      </c>
      <c r="BB65" s="659">
        <v>0</v>
      </c>
      <c r="BC65" s="659">
        <v>0</v>
      </c>
      <c r="BD65" s="659">
        <v>13977</v>
      </c>
      <c r="BE65" s="801">
        <v>1890</v>
      </c>
      <c r="BF65" s="659">
        <v>0</v>
      </c>
      <c r="BG65" s="659">
        <v>0</v>
      </c>
      <c r="BH65" s="659">
        <v>57479</v>
      </c>
      <c r="BI65" s="659">
        <v>0</v>
      </c>
      <c r="BJ65" s="659">
        <v>0</v>
      </c>
      <c r="BK65" s="659">
        <v>57479</v>
      </c>
      <c r="BL65" s="659">
        <v>1137</v>
      </c>
      <c r="BM65" s="659">
        <v>0</v>
      </c>
      <c r="BN65" s="659">
        <v>0</v>
      </c>
      <c r="BO65" s="659">
        <v>23321</v>
      </c>
      <c r="BP65" s="659">
        <v>0</v>
      </c>
      <c r="BQ65" s="659">
        <v>0</v>
      </c>
      <c r="BR65" s="659">
        <v>23089</v>
      </c>
      <c r="BS65" s="659">
        <v>420</v>
      </c>
      <c r="BT65" s="659">
        <v>0</v>
      </c>
      <c r="BU65" s="659">
        <v>0</v>
      </c>
      <c r="BV65" s="659">
        <v>8515</v>
      </c>
      <c r="BW65" s="659">
        <v>0</v>
      </c>
      <c r="BX65" s="659">
        <v>0</v>
      </c>
      <c r="BY65" s="659">
        <v>8515</v>
      </c>
      <c r="BZ65" s="659">
        <v>434</v>
      </c>
      <c r="CA65" s="659">
        <v>0</v>
      </c>
      <c r="CB65" s="659">
        <v>0</v>
      </c>
      <c r="CC65" s="659">
        <v>9050</v>
      </c>
      <c r="CD65" s="659">
        <v>0</v>
      </c>
      <c r="CE65" s="659">
        <v>0</v>
      </c>
      <c r="CF65" s="659">
        <v>8784</v>
      </c>
      <c r="CG65" s="659">
        <v>309</v>
      </c>
      <c r="CH65" s="659">
        <v>0</v>
      </c>
      <c r="CI65" s="659">
        <v>0</v>
      </c>
      <c r="CJ65" s="659">
        <v>4950</v>
      </c>
      <c r="CK65" s="659">
        <v>0</v>
      </c>
      <c r="CL65" s="659">
        <v>0</v>
      </c>
      <c r="CM65" s="659">
        <v>4450</v>
      </c>
      <c r="CN65" s="659">
        <v>10</v>
      </c>
      <c r="CO65" s="659">
        <v>0</v>
      </c>
      <c r="CP65" s="659">
        <v>0</v>
      </c>
      <c r="CQ65" s="659">
        <v>100</v>
      </c>
      <c r="CR65" s="659">
        <v>0</v>
      </c>
      <c r="CS65" s="659">
        <v>0</v>
      </c>
      <c r="CT65" s="659">
        <v>100</v>
      </c>
      <c r="CU65" s="659">
        <v>0</v>
      </c>
      <c r="CV65" s="659">
        <v>0</v>
      </c>
      <c r="CW65" s="659">
        <v>0</v>
      </c>
      <c r="CX65" s="659">
        <v>0</v>
      </c>
      <c r="CY65" s="659">
        <v>0</v>
      </c>
      <c r="CZ65" s="659">
        <v>0</v>
      </c>
      <c r="DA65" s="659">
        <v>0</v>
      </c>
      <c r="DB65" s="659">
        <v>5</v>
      </c>
      <c r="DC65" s="659">
        <v>0</v>
      </c>
      <c r="DD65" s="659">
        <v>0</v>
      </c>
      <c r="DE65" s="659">
        <v>125</v>
      </c>
      <c r="DF65" s="659">
        <v>0</v>
      </c>
      <c r="DG65" s="659">
        <v>0</v>
      </c>
      <c r="DH65" s="659">
        <v>125</v>
      </c>
      <c r="DI65" s="659">
        <v>185</v>
      </c>
      <c r="DJ65" s="659">
        <v>0</v>
      </c>
      <c r="DK65" s="659">
        <v>0</v>
      </c>
      <c r="DL65" s="659">
        <v>3450</v>
      </c>
      <c r="DM65" s="659">
        <v>0</v>
      </c>
      <c r="DN65" s="659">
        <v>0</v>
      </c>
      <c r="DO65" s="659">
        <v>3380</v>
      </c>
      <c r="DP65" s="659">
        <v>541</v>
      </c>
      <c r="DQ65" s="659">
        <v>0</v>
      </c>
      <c r="DR65" s="659">
        <v>0</v>
      </c>
      <c r="DS65" s="659">
        <v>5766</v>
      </c>
      <c r="DT65" s="659">
        <v>0</v>
      </c>
      <c r="DU65" s="659">
        <v>0</v>
      </c>
      <c r="DV65" s="659">
        <v>5730</v>
      </c>
      <c r="DW65" s="659">
        <v>0</v>
      </c>
      <c r="DX65" s="659">
        <v>0</v>
      </c>
      <c r="DY65" s="659">
        <v>0</v>
      </c>
      <c r="DZ65" s="659">
        <v>0</v>
      </c>
      <c r="EA65" s="659">
        <v>0</v>
      </c>
      <c r="EB65" s="659">
        <v>0</v>
      </c>
      <c r="EC65" s="659">
        <v>0</v>
      </c>
      <c r="ED65" s="659">
        <v>0</v>
      </c>
      <c r="EE65" s="659">
        <v>0</v>
      </c>
      <c r="EF65" s="659">
        <v>0</v>
      </c>
      <c r="EG65" s="659">
        <v>0</v>
      </c>
      <c r="EH65" s="659">
        <v>0</v>
      </c>
      <c r="EI65" s="659">
        <v>0</v>
      </c>
      <c r="EJ65" s="659">
        <v>0</v>
      </c>
      <c r="EK65" s="659">
        <v>0</v>
      </c>
      <c r="EL65" s="659">
        <v>0</v>
      </c>
      <c r="EM65" s="659">
        <v>0</v>
      </c>
      <c r="EN65" s="659">
        <v>0</v>
      </c>
      <c r="EO65" s="659">
        <v>0</v>
      </c>
      <c r="EP65" s="659">
        <v>0</v>
      </c>
      <c r="EQ65" s="659">
        <v>0</v>
      </c>
    </row>
    <row r="66" spans="1:147" ht="13.95" customHeight="1" x14ac:dyDescent="0.3">
      <c r="A66" s="657" t="s">
        <v>1722</v>
      </c>
      <c r="B66" s="658" t="s">
        <v>269</v>
      </c>
      <c r="C66" s="659">
        <v>79</v>
      </c>
      <c r="D66" s="659">
        <v>0</v>
      </c>
      <c r="E66" s="659">
        <v>0</v>
      </c>
      <c r="F66" s="659">
        <v>1705</v>
      </c>
      <c r="G66" s="659">
        <v>0</v>
      </c>
      <c r="H66" s="659">
        <v>0</v>
      </c>
      <c r="I66" s="659">
        <v>1684</v>
      </c>
      <c r="J66" s="801">
        <v>5</v>
      </c>
      <c r="K66" s="659">
        <v>0</v>
      </c>
      <c r="L66" s="659">
        <v>0</v>
      </c>
      <c r="M66" s="659">
        <v>65</v>
      </c>
      <c r="N66" s="659">
        <v>0</v>
      </c>
      <c r="O66" s="659">
        <v>0</v>
      </c>
      <c r="P66" s="659">
        <v>65</v>
      </c>
      <c r="Q66" s="801">
        <v>0</v>
      </c>
      <c r="R66" s="659">
        <v>0</v>
      </c>
      <c r="S66" s="659">
        <v>0</v>
      </c>
      <c r="T66" s="659">
        <v>0</v>
      </c>
      <c r="U66" s="659">
        <v>0</v>
      </c>
      <c r="V66" s="659">
        <v>0</v>
      </c>
      <c r="W66" s="801">
        <v>0</v>
      </c>
      <c r="X66" s="659">
        <v>0</v>
      </c>
      <c r="Y66" s="659">
        <v>0</v>
      </c>
      <c r="Z66" s="659">
        <v>0</v>
      </c>
      <c r="AA66" s="659">
        <v>0</v>
      </c>
      <c r="AB66" s="659">
        <v>0</v>
      </c>
      <c r="AC66" s="659">
        <v>0</v>
      </c>
      <c r="AD66" s="801">
        <v>0</v>
      </c>
      <c r="AE66" s="659">
        <v>0</v>
      </c>
      <c r="AF66" s="659">
        <v>0</v>
      </c>
      <c r="AG66" s="659">
        <v>0</v>
      </c>
      <c r="AH66" s="659">
        <v>0</v>
      </c>
      <c r="AI66" s="659">
        <v>0</v>
      </c>
      <c r="AJ66" s="659">
        <v>0</v>
      </c>
      <c r="AK66" s="801">
        <v>0</v>
      </c>
      <c r="AL66" s="659">
        <v>0</v>
      </c>
      <c r="AM66" s="659">
        <v>0</v>
      </c>
      <c r="AN66" s="659">
        <v>0</v>
      </c>
      <c r="AO66" s="659">
        <v>0</v>
      </c>
      <c r="AP66" s="659">
        <v>0</v>
      </c>
      <c r="AQ66" s="801">
        <v>6</v>
      </c>
      <c r="AR66" s="659">
        <v>0</v>
      </c>
      <c r="AS66" s="659">
        <v>0</v>
      </c>
      <c r="AT66" s="659">
        <v>190</v>
      </c>
      <c r="AU66" s="659">
        <v>0</v>
      </c>
      <c r="AV66" s="659">
        <v>0</v>
      </c>
      <c r="AW66" s="659">
        <v>179</v>
      </c>
      <c r="AX66" s="659">
        <v>0</v>
      </c>
      <c r="AY66" s="659">
        <v>0</v>
      </c>
      <c r="AZ66" s="659">
        <v>0</v>
      </c>
      <c r="BA66" s="659">
        <v>0</v>
      </c>
      <c r="BB66" s="659">
        <v>0</v>
      </c>
      <c r="BC66" s="659">
        <v>0</v>
      </c>
      <c r="BD66" s="659">
        <v>0</v>
      </c>
      <c r="BE66" s="801">
        <v>42</v>
      </c>
      <c r="BF66" s="659">
        <v>0</v>
      </c>
      <c r="BG66" s="659">
        <v>0</v>
      </c>
      <c r="BH66" s="659">
        <v>924</v>
      </c>
      <c r="BI66" s="659">
        <v>0</v>
      </c>
      <c r="BJ66" s="659">
        <v>0</v>
      </c>
      <c r="BK66" s="659">
        <v>924</v>
      </c>
      <c r="BL66" s="659">
        <v>24</v>
      </c>
      <c r="BM66" s="659">
        <v>0</v>
      </c>
      <c r="BN66" s="659">
        <v>0</v>
      </c>
      <c r="BO66" s="659">
        <v>494</v>
      </c>
      <c r="BP66" s="659">
        <v>0</v>
      </c>
      <c r="BQ66" s="659">
        <v>0</v>
      </c>
      <c r="BR66" s="659">
        <v>488</v>
      </c>
      <c r="BS66" s="659">
        <v>0</v>
      </c>
      <c r="BT66" s="659">
        <v>0</v>
      </c>
      <c r="BU66" s="659">
        <v>0</v>
      </c>
      <c r="BV66" s="659">
        <v>0</v>
      </c>
      <c r="BW66" s="659">
        <v>0</v>
      </c>
      <c r="BX66" s="659">
        <v>0</v>
      </c>
      <c r="BY66" s="659">
        <v>0</v>
      </c>
      <c r="BZ66" s="659">
        <v>0</v>
      </c>
      <c r="CA66" s="659">
        <v>0</v>
      </c>
      <c r="CB66" s="659">
        <v>0</v>
      </c>
      <c r="CC66" s="659">
        <v>0</v>
      </c>
      <c r="CD66" s="659">
        <v>0</v>
      </c>
      <c r="CE66" s="659">
        <v>0</v>
      </c>
      <c r="CF66" s="659">
        <v>0</v>
      </c>
      <c r="CG66" s="659">
        <v>2</v>
      </c>
      <c r="CH66" s="659">
        <v>0</v>
      </c>
      <c r="CI66" s="659">
        <v>0</v>
      </c>
      <c r="CJ66" s="659">
        <v>32</v>
      </c>
      <c r="CK66" s="659">
        <v>0</v>
      </c>
      <c r="CL66" s="659">
        <v>0</v>
      </c>
      <c r="CM66" s="659">
        <v>28</v>
      </c>
      <c r="CN66" s="659">
        <v>0</v>
      </c>
      <c r="CO66" s="659">
        <v>0</v>
      </c>
      <c r="CP66" s="659">
        <v>0</v>
      </c>
      <c r="CQ66" s="659">
        <v>0</v>
      </c>
      <c r="CR66" s="659">
        <v>0</v>
      </c>
      <c r="CS66" s="659">
        <v>0</v>
      </c>
      <c r="CT66" s="659">
        <v>0</v>
      </c>
      <c r="CU66" s="659">
        <v>0</v>
      </c>
      <c r="CV66" s="659">
        <v>0</v>
      </c>
      <c r="CW66" s="659">
        <v>0</v>
      </c>
      <c r="CX66" s="659">
        <v>0</v>
      </c>
      <c r="CY66" s="659">
        <v>0</v>
      </c>
      <c r="CZ66" s="659">
        <v>0</v>
      </c>
      <c r="DA66" s="659">
        <v>0</v>
      </c>
      <c r="DB66" s="659">
        <v>0</v>
      </c>
      <c r="DC66" s="659">
        <v>0</v>
      </c>
      <c r="DD66" s="659">
        <v>0</v>
      </c>
      <c r="DE66" s="659">
        <v>0</v>
      </c>
      <c r="DF66" s="659">
        <v>0</v>
      </c>
      <c r="DG66" s="659">
        <v>0</v>
      </c>
      <c r="DH66" s="659">
        <v>0</v>
      </c>
      <c r="DI66" s="659">
        <v>0</v>
      </c>
      <c r="DJ66" s="659">
        <v>0</v>
      </c>
      <c r="DK66" s="659">
        <v>0</v>
      </c>
      <c r="DL66" s="659">
        <v>0</v>
      </c>
      <c r="DM66" s="659">
        <v>0</v>
      </c>
      <c r="DN66" s="659">
        <v>0</v>
      </c>
      <c r="DO66" s="659">
        <v>0</v>
      </c>
      <c r="DP66" s="659">
        <v>0</v>
      </c>
      <c r="DQ66" s="659">
        <v>0</v>
      </c>
      <c r="DR66" s="659">
        <v>0</v>
      </c>
      <c r="DS66" s="659">
        <v>0</v>
      </c>
      <c r="DT66" s="659">
        <v>0</v>
      </c>
      <c r="DU66" s="659">
        <v>0</v>
      </c>
      <c r="DV66" s="659">
        <v>0</v>
      </c>
      <c r="DW66" s="659">
        <v>0</v>
      </c>
      <c r="DX66" s="659">
        <v>0</v>
      </c>
      <c r="DY66" s="659">
        <v>0</v>
      </c>
      <c r="DZ66" s="659">
        <v>0</v>
      </c>
      <c r="EA66" s="659">
        <v>0</v>
      </c>
      <c r="EB66" s="659">
        <v>0</v>
      </c>
      <c r="EC66" s="659">
        <v>0</v>
      </c>
      <c r="ED66" s="659">
        <v>0</v>
      </c>
      <c r="EE66" s="659">
        <v>0</v>
      </c>
      <c r="EF66" s="659">
        <v>0</v>
      </c>
      <c r="EG66" s="659">
        <v>0</v>
      </c>
      <c r="EH66" s="659">
        <v>0</v>
      </c>
      <c r="EI66" s="659">
        <v>0</v>
      </c>
      <c r="EJ66" s="659">
        <v>0</v>
      </c>
      <c r="EK66" s="659">
        <v>0</v>
      </c>
      <c r="EL66" s="659">
        <v>0</v>
      </c>
      <c r="EM66" s="659">
        <v>0</v>
      </c>
      <c r="EN66" s="659">
        <v>0</v>
      </c>
      <c r="EO66" s="659">
        <v>0</v>
      </c>
      <c r="EP66" s="659">
        <v>0</v>
      </c>
      <c r="EQ66" s="659">
        <v>0</v>
      </c>
    </row>
    <row r="67" spans="1:147" ht="13.95" customHeight="1" x14ac:dyDescent="0.3">
      <c r="A67" s="657" t="s">
        <v>1723</v>
      </c>
      <c r="B67" s="658" t="s">
        <v>269</v>
      </c>
      <c r="C67" s="659">
        <v>118518</v>
      </c>
      <c r="D67" s="659">
        <v>0</v>
      </c>
      <c r="E67" s="659">
        <v>0</v>
      </c>
      <c r="F67" s="659">
        <v>2945557</v>
      </c>
      <c r="G67" s="659">
        <v>0</v>
      </c>
      <c r="H67" s="659">
        <v>0</v>
      </c>
      <c r="I67" s="659">
        <v>2928357</v>
      </c>
      <c r="J67" s="801">
        <v>5441</v>
      </c>
      <c r="K67" s="659">
        <v>0</v>
      </c>
      <c r="L67" s="659">
        <v>0</v>
      </c>
      <c r="M67" s="659">
        <v>152553</v>
      </c>
      <c r="N67" s="659">
        <v>0</v>
      </c>
      <c r="O67" s="659">
        <v>0</v>
      </c>
      <c r="P67" s="659">
        <v>152553</v>
      </c>
      <c r="Q67" s="801">
        <v>0</v>
      </c>
      <c r="R67" s="659">
        <v>0</v>
      </c>
      <c r="S67" s="659">
        <v>0</v>
      </c>
      <c r="T67" s="659">
        <v>0</v>
      </c>
      <c r="U67" s="659">
        <v>0</v>
      </c>
      <c r="V67" s="659">
        <v>0</v>
      </c>
      <c r="W67" s="801">
        <v>0</v>
      </c>
      <c r="X67" s="659">
        <v>0</v>
      </c>
      <c r="Y67" s="659">
        <v>0</v>
      </c>
      <c r="Z67" s="659">
        <v>0</v>
      </c>
      <c r="AA67" s="659">
        <v>0</v>
      </c>
      <c r="AB67" s="659">
        <v>0</v>
      </c>
      <c r="AC67" s="659">
        <v>0</v>
      </c>
      <c r="AD67" s="801">
        <v>2592</v>
      </c>
      <c r="AE67" s="659">
        <v>0</v>
      </c>
      <c r="AF67" s="659">
        <v>0</v>
      </c>
      <c r="AG67" s="659">
        <v>73606</v>
      </c>
      <c r="AH67" s="659">
        <v>0</v>
      </c>
      <c r="AI67" s="659">
        <v>0</v>
      </c>
      <c r="AJ67" s="659">
        <v>73606</v>
      </c>
      <c r="AK67" s="801">
        <v>0</v>
      </c>
      <c r="AL67" s="659">
        <v>0</v>
      </c>
      <c r="AM67" s="659">
        <v>0</v>
      </c>
      <c r="AN67" s="659">
        <v>0</v>
      </c>
      <c r="AO67" s="659">
        <v>0</v>
      </c>
      <c r="AP67" s="659">
        <v>0</v>
      </c>
      <c r="AQ67" s="801">
        <v>4397</v>
      </c>
      <c r="AR67" s="659">
        <v>0</v>
      </c>
      <c r="AS67" s="659">
        <v>0</v>
      </c>
      <c r="AT67" s="659">
        <v>157310</v>
      </c>
      <c r="AU67" s="659">
        <v>0</v>
      </c>
      <c r="AV67" s="659">
        <v>0</v>
      </c>
      <c r="AW67" s="659">
        <v>150225</v>
      </c>
      <c r="AX67" s="659">
        <v>6153</v>
      </c>
      <c r="AY67" s="659">
        <v>0</v>
      </c>
      <c r="AZ67" s="659">
        <v>0</v>
      </c>
      <c r="BA67" s="659">
        <v>270427</v>
      </c>
      <c r="BB67" s="659">
        <v>0</v>
      </c>
      <c r="BC67" s="659">
        <v>0</v>
      </c>
      <c r="BD67" s="659">
        <v>269725</v>
      </c>
      <c r="BE67" s="801">
        <v>10700</v>
      </c>
      <c r="BF67" s="659">
        <v>0</v>
      </c>
      <c r="BG67" s="659">
        <v>0</v>
      </c>
      <c r="BH67" s="659">
        <v>306954</v>
      </c>
      <c r="BI67" s="659">
        <v>0</v>
      </c>
      <c r="BJ67" s="659">
        <v>0</v>
      </c>
      <c r="BK67" s="659">
        <v>306954</v>
      </c>
      <c r="BL67" s="659">
        <v>19726</v>
      </c>
      <c r="BM67" s="659">
        <v>0</v>
      </c>
      <c r="BN67" s="659">
        <v>0</v>
      </c>
      <c r="BO67" s="659">
        <v>468781</v>
      </c>
      <c r="BP67" s="659">
        <v>0</v>
      </c>
      <c r="BQ67" s="659">
        <v>0</v>
      </c>
      <c r="BR67" s="659">
        <v>465449</v>
      </c>
      <c r="BS67" s="659">
        <v>14900</v>
      </c>
      <c r="BT67" s="659">
        <v>0</v>
      </c>
      <c r="BU67" s="659">
        <v>0</v>
      </c>
      <c r="BV67" s="659">
        <v>334230</v>
      </c>
      <c r="BW67" s="659">
        <v>0</v>
      </c>
      <c r="BX67" s="659">
        <v>0</v>
      </c>
      <c r="BY67" s="659">
        <v>334230</v>
      </c>
      <c r="BZ67" s="659">
        <v>43114</v>
      </c>
      <c r="CA67" s="659">
        <v>0</v>
      </c>
      <c r="CB67" s="659">
        <v>0</v>
      </c>
      <c r="CC67" s="659">
        <v>948993</v>
      </c>
      <c r="CD67" s="659">
        <v>0</v>
      </c>
      <c r="CE67" s="659">
        <v>0</v>
      </c>
      <c r="CF67" s="659">
        <v>948259</v>
      </c>
      <c r="CG67" s="659">
        <v>3710</v>
      </c>
      <c r="CH67" s="659">
        <v>0</v>
      </c>
      <c r="CI67" s="659">
        <v>0</v>
      </c>
      <c r="CJ67" s="659">
        <v>77500</v>
      </c>
      <c r="CK67" s="659">
        <v>0</v>
      </c>
      <c r="CL67" s="659">
        <v>0</v>
      </c>
      <c r="CM67" s="659">
        <v>73700</v>
      </c>
      <c r="CN67" s="659">
        <v>4045</v>
      </c>
      <c r="CO67" s="659">
        <v>0</v>
      </c>
      <c r="CP67" s="659">
        <v>0</v>
      </c>
      <c r="CQ67" s="659">
        <v>83450</v>
      </c>
      <c r="CR67" s="659">
        <v>0</v>
      </c>
      <c r="CS67" s="659">
        <v>0</v>
      </c>
      <c r="CT67" s="659">
        <v>83450</v>
      </c>
      <c r="CU67" s="659">
        <v>1580</v>
      </c>
      <c r="CV67" s="659">
        <v>0</v>
      </c>
      <c r="CW67" s="659">
        <v>0</v>
      </c>
      <c r="CX67" s="659">
        <v>28280</v>
      </c>
      <c r="CY67" s="659">
        <v>0</v>
      </c>
      <c r="CZ67" s="659">
        <v>0</v>
      </c>
      <c r="DA67" s="659">
        <v>28280</v>
      </c>
      <c r="DB67" s="659">
        <v>167</v>
      </c>
      <c r="DC67" s="659">
        <v>0</v>
      </c>
      <c r="DD67" s="659">
        <v>0</v>
      </c>
      <c r="DE67" s="659">
        <v>4140</v>
      </c>
      <c r="DF67" s="659">
        <v>0</v>
      </c>
      <c r="DG67" s="659">
        <v>0</v>
      </c>
      <c r="DH67" s="659">
        <v>4140</v>
      </c>
      <c r="DI67" s="659">
        <v>1895</v>
      </c>
      <c r="DJ67" s="659">
        <v>0</v>
      </c>
      <c r="DK67" s="659">
        <v>0</v>
      </c>
      <c r="DL67" s="659">
        <v>37325</v>
      </c>
      <c r="DM67" s="659">
        <v>0</v>
      </c>
      <c r="DN67" s="659">
        <v>0</v>
      </c>
      <c r="DO67" s="659">
        <v>35814</v>
      </c>
      <c r="DP67" s="659">
        <v>49</v>
      </c>
      <c r="DQ67" s="659">
        <v>0</v>
      </c>
      <c r="DR67" s="659">
        <v>0</v>
      </c>
      <c r="DS67" s="659">
        <v>586</v>
      </c>
      <c r="DT67" s="659">
        <v>0</v>
      </c>
      <c r="DU67" s="659">
        <v>0</v>
      </c>
      <c r="DV67" s="659">
        <v>561</v>
      </c>
      <c r="DW67" s="659">
        <v>49</v>
      </c>
      <c r="DX67" s="659">
        <v>0</v>
      </c>
      <c r="DY67" s="659">
        <v>0</v>
      </c>
      <c r="DZ67" s="659">
        <v>1422</v>
      </c>
      <c r="EA67" s="659">
        <v>0</v>
      </c>
      <c r="EB67" s="659">
        <v>0</v>
      </c>
      <c r="EC67" s="659">
        <v>1411</v>
      </c>
      <c r="ED67" s="659">
        <v>0</v>
      </c>
      <c r="EE67" s="659">
        <v>0</v>
      </c>
      <c r="EF67" s="659">
        <v>0</v>
      </c>
      <c r="EG67" s="659">
        <v>0</v>
      </c>
      <c r="EH67" s="659">
        <v>0</v>
      </c>
      <c r="EI67" s="659">
        <v>0</v>
      </c>
      <c r="EJ67" s="659">
        <v>0</v>
      </c>
      <c r="EK67" s="659">
        <v>0</v>
      </c>
      <c r="EL67" s="659">
        <v>0</v>
      </c>
      <c r="EM67" s="659">
        <v>0</v>
      </c>
      <c r="EN67" s="659">
        <v>0</v>
      </c>
      <c r="EO67" s="659">
        <v>0</v>
      </c>
      <c r="EP67" s="659">
        <v>0</v>
      </c>
      <c r="EQ67" s="659">
        <v>0</v>
      </c>
    </row>
    <row r="68" spans="1:147" ht="13.95" customHeight="1" x14ac:dyDescent="0.3">
      <c r="A68" s="657" t="s">
        <v>1724</v>
      </c>
      <c r="B68" s="658" t="s">
        <v>269</v>
      </c>
      <c r="C68" s="659">
        <v>0</v>
      </c>
      <c r="D68" s="659">
        <v>0</v>
      </c>
      <c r="E68" s="659">
        <v>0</v>
      </c>
      <c r="F68" s="659">
        <v>0</v>
      </c>
      <c r="G68" s="659">
        <v>0</v>
      </c>
      <c r="H68" s="659">
        <v>0</v>
      </c>
      <c r="I68" s="659">
        <v>0</v>
      </c>
      <c r="J68" s="801">
        <v>0</v>
      </c>
      <c r="K68" s="659">
        <v>0</v>
      </c>
      <c r="L68" s="659">
        <v>0</v>
      </c>
      <c r="M68" s="659">
        <v>0</v>
      </c>
      <c r="N68" s="659">
        <v>0</v>
      </c>
      <c r="O68" s="659">
        <v>0</v>
      </c>
      <c r="P68" s="659">
        <v>0</v>
      </c>
      <c r="Q68" s="801">
        <v>0</v>
      </c>
      <c r="R68" s="659">
        <v>0</v>
      </c>
      <c r="S68" s="659">
        <v>0</v>
      </c>
      <c r="T68" s="659">
        <v>0</v>
      </c>
      <c r="U68" s="659">
        <v>0</v>
      </c>
      <c r="V68" s="659">
        <v>0</v>
      </c>
      <c r="W68" s="801">
        <v>0</v>
      </c>
      <c r="X68" s="659">
        <v>0</v>
      </c>
      <c r="Y68" s="659">
        <v>0</v>
      </c>
      <c r="Z68" s="659">
        <v>0</v>
      </c>
      <c r="AA68" s="659">
        <v>0</v>
      </c>
      <c r="AB68" s="659">
        <v>0</v>
      </c>
      <c r="AC68" s="659">
        <v>0</v>
      </c>
      <c r="AD68" s="801">
        <v>0</v>
      </c>
      <c r="AE68" s="659">
        <v>0</v>
      </c>
      <c r="AF68" s="659">
        <v>0</v>
      </c>
      <c r="AG68" s="659">
        <v>0</v>
      </c>
      <c r="AH68" s="659">
        <v>0</v>
      </c>
      <c r="AI68" s="659">
        <v>0</v>
      </c>
      <c r="AJ68" s="659">
        <v>0</v>
      </c>
      <c r="AK68" s="801">
        <v>0</v>
      </c>
      <c r="AL68" s="659">
        <v>0</v>
      </c>
      <c r="AM68" s="659">
        <v>0</v>
      </c>
      <c r="AN68" s="659">
        <v>0</v>
      </c>
      <c r="AO68" s="659">
        <v>0</v>
      </c>
      <c r="AP68" s="659">
        <v>0</v>
      </c>
      <c r="AQ68" s="801">
        <v>0</v>
      </c>
      <c r="AR68" s="659">
        <v>0</v>
      </c>
      <c r="AS68" s="659">
        <v>0</v>
      </c>
      <c r="AT68" s="659">
        <v>0</v>
      </c>
      <c r="AU68" s="659">
        <v>0</v>
      </c>
      <c r="AV68" s="659">
        <v>0</v>
      </c>
      <c r="AW68" s="659">
        <v>0</v>
      </c>
      <c r="AX68" s="659">
        <v>0</v>
      </c>
      <c r="AY68" s="659">
        <v>0</v>
      </c>
      <c r="AZ68" s="659">
        <v>0</v>
      </c>
      <c r="BA68" s="659">
        <v>0</v>
      </c>
      <c r="BB68" s="659">
        <v>0</v>
      </c>
      <c r="BC68" s="659">
        <v>0</v>
      </c>
      <c r="BD68" s="659">
        <v>0</v>
      </c>
      <c r="BE68" s="801">
        <v>0</v>
      </c>
      <c r="BF68" s="659">
        <v>0</v>
      </c>
      <c r="BG68" s="659">
        <v>0</v>
      </c>
      <c r="BH68" s="659">
        <v>0</v>
      </c>
      <c r="BI68" s="659">
        <v>0</v>
      </c>
      <c r="BJ68" s="659">
        <v>0</v>
      </c>
      <c r="BK68" s="659">
        <v>0</v>
      </c>
      <c r="BL68" s="659">
        <v>0</v>
      </c>
      <c r="BM68" s="659">
        <v>0</v>
      </c>
      <c r="BN68" s="659">
        <v>0</v>
      </c>
      <c r="BO68" s="659">
        <v>0</v>
      </c>
      <c r="BP68" s="659">
        <v>0</v>
      </c>
      <c r="BQ68" s="659">
        <v>0</v>
      </c>
      <c r="BR68" s="659">
        <v>0</v>
      </c>
      <c r="BS68" s="659">
        <v>0</v>
      </c>
      <c r="BT68" s="659">
        <v>0</v>
      </c>
      <c r="BU68" s="659">
        <v>0</v>
      </c>
      <c r="BV68" s="659">
        <v>0</v>
      </c>
      <c r="BW68" s="659">
        <v>0</v>
      </c>
      <c r="BX68" s="659">
        <v>0</v>
      </c>
      <c r="BY68" s="659">
        <v>0</v>
      </c>
      <c r="BZ68" s="659">
        <v>0</v>
      </c>
      <c r="CA68" s="659">
        <v>0</v>
      </c>
      <c r="CB68" s="659">
        <v>0</v>
      </c>
      <c r="CC68" s="659">
        <v>0</v>
      </c>
      <c r="CD68" s="659">
        <v>0</v>
      </c>
      <c r="CE68" s="659">
        <v>0</v>
      </c>
      <c r="CF68" s="659">
        <v>0</v>
      </c>
      <c r="CG68" s="659">
        <v>0</v>
      </c>
      <c r="CH68" s="659">
        <v>0</v>
      </c>
      <c r="CI68" s="659">
        <v>0</v>
      </c>
      <c r="CJ68" s="659">
        <v>0</v>
      </c>
      <c r="CK68" s="659">
        <v>0</v>
      </c>
      <c r="CL68" s="659">
        <v>0</v>
      </c>
      <c r="CM68" s="659">
        <v>0</v>
      </c>
      <c r="CN68" s="659">
        <v>0</v>
      </c>
      <c r="CO68" s="659">
        <v>0</v>
      </c>
      <c r="CP68" s="659">
        <v>0</v>
      </c>
      <c r="CQ68" s="659">
        <v>0</v>
      </c>
      <c r="CR68" s="659">
        <v>0</v>
      </c>
      <c r="CS68" s="659">
        <v>0</v>
      </c>
      <c r="CT68" s="659">
        <v>0</v>
      </c>
      <c r="CU68" s="659">
        <v>0</v>
      </c>
      <c r="CV68" s="659">
        <v>0</v>
      </c>
      <c r="CW68" s="659">
        <v>0</v>
      </c>
      <c r="CX68" s="659">
        <v>0</v>
      </c>
      <c r="CY68" s="659">
        <v>0</v>
      </c>
      <c r="CZ68" s="659">
        <v>0</v>
      </c>
      <c r="DA68" s="659">
        <v>0</v>
      </c>
      <c r="DB68" s="659">
        <v>0</v>
      </c>
      <c r="DC68" s="659">
        <v>0</v>
      </c>
      <c r="DD68" s="659">
        <v>0</v>
      </c>
      <c r="DE68" s="659">
        <v>0</v>
      </c>
      <c r="DF68" s="659">
        <v>0</v>
      </c>
      <c r="DG68" s="659">
        <v>0</v>
      </c>
      <c r="DH68" s="659">
        <v>0</v>
      </c>
      <c r="DI68" s="659">
        <v>0</v>
      </c>
      <c r="DJ68" s="659">
        <v>0</v>
      </c>
      <c r="DK68" s="659">
        <v>0</v>
      </c>
      <c r="DL68" s="659">
        <v>0</v>
      </c>
      <c r="DM68" s="659">
        <v>0</v>
      </c>
      <c r="DN68" s="659">
        <v>0</v>
      </c>
      <c r="DO68" s="659">
        <v>0</v>
      </c>
      <c r="DP68" s="659">
        <v>0</v>
      </c>
      <c r="DQ68" s="659">
        <v>0</v>
      </c>
      <c r="DR68" s="659">
        <v>0</v>
      </c>
      <c r="DS68" s="659">
        <v>0</v>
      </c>
      <c r="DT68" s="659">
        <v>0</v>
      </c>
      <c r="DU68" s="659">
        <v>0</v>
      </c>
      <c r="DV68" s="659">
        <v>0</v>
      </c>
      <c r="DW68" s="659">
        <v>0</v>
      </c>
      <c r="DX68" s="659">
        <v>0</v>
      </c>
      <c r="DY68" s="659">
        <v>0</v>
      </c>
      <c r="DZ68" s="659">
        <v>0</v>
      </c>
      <c r="EA68" s="659">
        <v>0</v>
      </c>
      <c r="EB68" s="659">
        <v>0</v>
      </c>
      <c r="EC68" s="659">
        <v>0</v>
      </c>
      <c r="ED68" s="659">
        <v>0</v>
      </c>
      <c r="EE68" s="659">
        <v>0</v>
      </c>
      <c r="EF68" s="659">
        <v>0</v>
      </c>
      <c r="EG68" s="659">
        <v>0</v>
      </c>
      <c r="EH68" s="659">
        <v>0</v>
      </c>
      <c r="EI68" s="659">
        <v>0</v>
      </c>
      <c r="EJ68" s="659">
        <v>0</v>
      </c>
      <c r="EK68" s="659">
        <v>0</v>
      </c>
      <c r="EL68" s="659">
        <v>0</v>
      </c>
      <c r="EM68" s="659">
        <v>0</v>
      </c>
      <c r="EN68" s="659">
        <v>0</v>
      </c>
      <c r="EO68" s="659">
        <v>0</v>
      </c>
      <c r="EP68" s="659">
        <v>0</v>
      </c>
      <c r="EQ68" s="659">
        <v>0</v>
      </c>
    </row>
    <row r="69" spans="1:147" ht="13.95" customHeight="1" x14ac:dyDescent="0.3">
      <c r="A69" s="657" t="s">
        <v>1725</v>
      </c>
      <c r="B69" s="658" t="s">
        <v>269</v>
      </c>
      <c r="C69" s="659">
        <v>273332</v>
      </c>
      <c r="D69" s="659">
        <v>0</v>
      </c>
      <c r="E69" s="659">
        <v>0</v>
      </c>
      <c r="F69" s="659">
        <v>10380730</v>
      </c>
      <c r="G69" s="659">
        <v>0</v>
      </c>
      <c r="H69" s="659">
        <v>0</v>
      </c>
      <c r="I69" s="659">
        <v>10011542</v>
      </c>
      <c r="J69" s="801">
        <v>14051</v>
      </c>
      <c r="K69" s="659">
        <v>0</v>
      </c>
      <c r="L69" s="659">
        <v>0</v>
      </c>
      <c r="M69" s="659">
        <v>451586</v>
      </c>
      <c r="N69" s="659">
        <v>0</v>
      </c>
      <c r="O69" s="659">
        <v>0</v>
      </c>
      <c r="P69" s="659">
        <v>390600</v>
      </c>
      <c r="Q69" s="801">
        <v>0</v>
      </c>
      <c r="R69" s="659">
        <v>0</v>
      </c>
      <c r="S69" s="659">
        <v>0</v>
      </c>
      <c r="T69" s="659">
        <v>0</v>
      </c>
      <c r="U69" s="659">
        <v>0</v>
      </c>
      <c r="V69" s="659">
        <v>0</v>
      </c>
      <c r="W69" s="801">
        <v>0</v>
      </c>
      <c r="X69" s="659">
        <v>0</v>
      </c>
      <c r="Y69" s="659">
        <v>0</v>
      </c>
      <c r="Z69" s="659">
        <v>0</v>
      </c>
      <c r="AA69" s="659">
        <v>0</v>
      </c>
      <c r="AB69" s="659">
        <v>0</v>
      </c>
      <c r="AC69" s="659">
        <v>0</v>
      </c>
      <c r="AD69" s="801">
        <v>41310</v>
      </c>
      <c r="AE69" s="659">
        <v>0</v>
      </c>
      <c r="AF69" s="659">
        <v>0</v>
      </c>
      <c r="AG69" s="659">
        <v>1232124</v>
      </c>
      <c r="AH69" s="659">
        <v>0</v>
      </c>
      <c r="AI69" s="659">
        <v>0</v>
      </c>
      <c r="AJ69" s="659">
        <v>1232124</v>
      </c>
      <c r="AK69" s="801">
        <v>0</v>
      </c>
      <c r="AL69" s="659">
        <v>0</v>
      </c>
      <c r="AM69" s="659">
        <v>0</v>
      </c>
      <c r="AN69" s="659">
        <v>0</v>
      </c>
      <c r="AO69" s="659">
        <v>0</v>
      </c>
      <c r="AP69" s="659">
        <v>0</v>
      </c>
      <c r="AQ69" s="801">
        <v>133943</v>
      </c>
      <c r="AR69" s="659">
        <v>0</v>
      </c>
      <c r="AS69" s="659">
        <v>0</v>
      </c>
      <c r="AT69" s="659">
        <v>4781955</v>
      </c>
      <c r="AU69" s="659">
        <v>0</v>
      </c>
      <c r="AV69" s="659">
        <v>0</v>
      </c>
      <c r="AW69" s="659">
        <v>4480420</v>
      </c>
      <c r="AX69" s="659">
        <v>50588</v>
      </c>
      <c r="AY69" s="659">
        <v>0</v>
      </c>
      <c r="AZ69" s="659">
        <v>0</v>
      </c>
      <c r="BA69" s="659">
        <v>2644412</v>
      </c>
      <c r="BB69" s="659">
        <v>0</v>
      </c>
      <c r="BC69" s="659">
        <v>0</v>
      </c>
      <c r="BD69" s="659">
        <v>2638707</v>
      </c>
      <c r="BE69" s="801">
        <v>31918</v>
      </c>
      <c r="BF69" s="659">
        <v>0</v>
      </c>
      <c r="BG69" s="659">
        <v>0</v>
      </c>
      <c r="BH69" s="659">
        <v>1228860</v>
      </c>
      <c r="BI69" s="659">
        <v>0</v>
      </c>
      <c r="BJ69" s="659">
        <v>0</v>
      </c>
      <c r="BK69" s="659">
        <v>1228860</v>
      </c>
      <c r="BL69" s="659">
        <v>744</v>
      </c>
      <c r="BM69" s="659">
        <v>0</v>
      </c>
      <c r="BN69" s="659">
        <v>0</v>
      </c>
      <c r="BO69" s="659">
        <v>17109</v>
      </c>
      <c r="BP69" s="659">
        <v>0</v>
      </c>
      <c r="BQ69" s="659">
        <v>0</v>
      </c>
      <c r="BR69" s="659">
        <v>16587</v>
      </c>
      <c r="BS69" s="659">
        <v>50</v>
      </c>
      <c r="BT69" s="659">
        <v>0</v>
      </c>
      <c r="BU69" s="659">
        <v>0</v>
      </c>
      <c r="BV69" s="659">
        <v>1500</v>
      </c>
      <c r="BW69" s="659">
        <v>0</v>
      </c>
      <c r="BX69" s="659">
        <v>0</v>
      </c>
      <c r="BY69" s="659">
        <v>1500</v>
      </c>
      <c r="BZ69" s="659">
        <v>512</v>
      </c>
      <c r="CA69" s="659">
        <v>0</v>
      </c>
      <c r="CB69" s="659">
        <v>0</v>
      </c>
      <c r="CC69" s="659">
        <v>17471</v>
      </c>
      <c r="CD69" s="659">
        <v>0</v>
      </c>
      <c r="CE69" s="659">
        <v>0</v>
      </c>
      <c r="CF69" s="659">
        <v>17253</v>
      </c>
      <c r="CG69" s="659">
        <v>83</v>
      </c>
      <c r="CH69" s="659">
        <v>0</v>
      </c>
      <c r="CI69" s="659">
        <v>0</v>
      </c>
      <c r="CJ69" s="659">
        <v>1557</v>
      </c>
      <c r="CK69" s="659">
        <v>0</v>
      </c>
      <c r="CL69" s="659">
        <v>0</v>
      </c>
      <c r="CM69" s="659">
        <v>1410</v>
      </c>
      <c r="CN69" s="659">
        <v>88</v>
      </c>
      <c r="CO69" s="659">
        <v>0</v>
      </c>
      <c r="CP69" s="659">
        <v>0</v>
      </c>
      <c r="CQ69" s="659">
        <v>2801</v>
      </c>
      <c r="CR69" s="659">
        <v>0</v>
      </c>
      <c r="CS69" s="659">
        <v>0</v>
      </c>
      <c r="CT69" s="659">
        <v>2791</v>
      </c>
      <c r="CU69" s="659">
        <v>0</v>
      </c>
      <c r="CV69" s="659">
        <v>0</v>
      </c>
      <c r="CW69" s="659">
        <v>0</v>
      </c>
      <c r="CX69" s="659">
        <v>0</v>
      </c>
      <c r="CY69" s="659">
        <v>0</v>
      </c>
      <c r="CZ69" s="659">
        <v>0</v>
      </c>
      <c r="DA69" s="659">
        <v>0</v>
      </c>
      <c r="DB69" s="659">
        <v>5</v>
      </c>
      <c r="DC69" s="659">
        <v>0</v>
      </c>
      <c r="DD69" s="659">
        <v>0</v>
      </c>
      <c r="DE69" s="659">
        <v>155</v>
      </c>
      <c r="DF69" s="659">
        <v>0</v>
      </c>
      <c r="DG69" s="659">
        <v>0</v>
      </c>
      <c r="DH69" s="659">
        <v>150</v>
      </c>
      <c r="DI69" s="659">
        <v>0</v>
      </c>
      <c r="DJ69" s="659">
        <v>0</v>
      </c>
      <c r="DK69" s="659">
        <v>0</v>
      </c>
      <c r="DL69" s="659">
        <v>0</v>
      </c>
      <c r="DM69" s="659">
        <v>0</v>
      </c>
      <c r="DN69" s="659">
        <v>0</v>
      </c>
      <c r="DO69" s="659">
        <v>0</v>
      </c>
      <c r="DP69" s="659">
        <v>0</v>
      </c>
      <c r="DQ69" s="659">
        <v>0</v>
      </c>
      <c r="DR69" s="659">
        <v>0</v>
      </c>
      <c r="DS69" s="659">
        <v>0</v>
      </c>
      <c r="DT69" s="659">
        <v>0</v>
      </c>
      <c r="DU69" s="659">
        <v>0</v>
      </c>
      <c r="DV69" s="659">
        <v>0</v>
      </c>
      <c r="DW69" s="659">
        <v>40</v>
      </c>
      <c r="DX69" s="659">
        <v>0</v>
      </c>
      <c r="DY69" s="659">
        <v>0</v>
      </c>
      <c r="DZ69" s="659">
        <v>1200</v>
      </c>
      <c r="EA69" s="659">
        <v>0</v>
      </c>
      <c r="EB69" s="659">
        <v>0</v>
      </c>
      <c r="EC69" s="659">
        <v>1140</v>
      </c>
      <c r="ED69" s="659">
        <v>0</v>
      </c>
      <c r="EE69" s="659">
        <v>0</v>
      </c>
      <c r="EF69" s="659">
        <v>0</v>
      </c>
      <c r="EG69" s="659">
        <v>0</v>
      </c>
      <c r="EH69" s="659">
        <v>0</v>
      </c>
      <c r="EI69" s="659">
        <v>0</v>
      </c>
      <c r="EJ69" s="659">
        <v>0</v>
      </c>
      <c r="EK69" s="659">
        <v>0</v>
      </c>
      <c r="EL69" s="659">
        <v>0</v>
      </c>
      <c r="EM69" s="659">
        <v>0</v>
      </c>
      <c r="EN69" s="659">
        <v>0</v>
      </c>
      <c r="EO69" s="659">
        <v>0</v>
      </c>
      <c r="EP69" s="659">
        <v>0</v>
      </c>
      <c r="EQ69" s="659">
        <v>0</v>
      </c>
    </row>
    <row r="70" spans="1:147" ht="20.7" customHeight="1" x14ac:dyDescent="0.3">
      <c r="A70" s="687" t="s">
        <v>1726</v>
      </c>
      <c r="B70" s="688" t="s">
        <v>269</v>
      </c>
      <c r="C70" s="662">
        <f>C71</f>
        <v>1317</v>
      </c>
      <c r="D70" s="662">
        <f>D72+D73+D74</f>
        <v>93676</v>
      </c>
      <c r="E70" s="662">
        <f t="shared" ref="E70:J70" si="43">E71</f>
        <v>0</v>
      </c>
      <c r="F70" s="662">
        <f t="shared" si="43"/>
        <v>277990</v>
      </c>
      <c r="G70" s="662">
        <f t="shared" si="43"/>
        <v>0</v>
      </c>
      <c r="H70" s="662">
        <f t="shared" si="43"/>
        <v>0</v>
      </c>
      <c r="I70" s="662">
        <f t="shared" si="43"/>
        <v>272724</v>
      </c>
      <c r="J70" s="802">
        <f t="shared" si="43"/>
        <v>0</v>
      </c>
      <c r="K70" s="662">
        <f>K72+K73+K74</f>
        <v>1839</v>
      </c>
      <c r="L70" s="662">
        <f t="shared" ref="L70:W70" si="44">L71</f>
        <v>0</v>
      </c>
      <c r="M70" s="662">
        <f t="shared" si="44"/>
        <v>0</v>
      </c>
      <c r="N70" s="662">
        <f t="shared" si="44"/>
        <v>0</v>
      </c>
      <c r="O70" s="662">
        <f t="shared" si="44"/>
        <v>0</v>
      </c>
      <c r="P70" s="662">
        <f t="shared" si="44"/>
        <v>0</v>
      </c>
      <c r="Q70" s="802">
        <f t="shared" si="44"/>
        <v>0</v>
      </c>
      <c r="R70" s="662">
        <f t="shared" si="44"/>
        <v>0</v>
      </c>
      <c r="S70" s="662">
        <f t="shared" si="44"/>
        <v>0</v>
      </c>
      <c r="T70" s="662">
        <f t="shared" si="44"/>
        <v>0</v>
      </c>
      <c r="U70" s="662">
        <f t="shared" si="44"/>
        <v>0</v>
      </c>
      <c r="V70" s="662">
        <f t="shared" si="44"/>
        <v>0</v>
      </c>
      <c r="W70" s="802">
        <f t="shared" si="44"/>
        <v>4</v>
      </c>
      <c r="X70" s="662">
        <f>X72+X74</f>
        <v>3970</v>
      </c>
      <c r="Y70" s="662">
        <f t="shared" ref="Y70:AD70" si="45">Y71</f>
        <v>0</v>
      </c>
      <c r="Z70" s="662">
        <f t="shared" si="45"/>
        <v>1200</v>
      </c>
      <c r="AA70" s="662">
        <f t="shared" si="45"/>
        <v>0</v>
      </c>
      <c r="AB70" s="662">
        <f t="shared" si="45"/>
        <v>0</v>
      </c>
      <c r="AC70" s="662">
        <f t="shared" si="45"/>
        <v>1200</v>
      </c>
      <c r="AD70" s="802">
        <f t="shared" si="45"/>
        <v>40</v>
      </c>
      <c r="AE70" s="662">
        <f>AE72+AE73+AE74</f>
        <v>31584</v>
      </c>
      <c r="AF70" s="662">
        <f t="shared" ref="AF70:AQ70" si="46">AF71</f>
        <v>0</v>
      </c>
      <c r="AG70" s="662">
        <f t="shared" si="46"/>
        <v>7672</v>
      </c>
      <c r="AH70" s="662">
        <f t="shared" si="46"/>
        <v>0</v>
      </c>
      <c r="AI70" s="662">
        <f t="shared" si="46"/>
        <v>0</v>
      </c>
      <c r="AJ70" s="662">
        <f t="shared" si="46"/>
        <v>7672</v>
      </c>
      <c r="AK70" s="802">
        <f t="shared" si="46"/>
        <v>1</v>
      </c>
      <c r="AL70" s="662">
        <f t="shared" si="46"/>
        <v>0</v>
      </c>
      <c r="AM70" s="662">
        <f t="shared" si="46"/>
        <v>90</v>
      </c>
      <c r="AN70" s="662">
        <f t="shared" si="46"/>
        <v>0</v>
      </c>
      <c r="AO70" s="662">
        <f t="shared" si="46"/>
        <v>0</v>
      </c>
      <c r="AP70" s="662">
        <f t="shared" si="46"/>
        <v>90</v>
      </c>
      <c r="AQ70" s="802">
        <f t="shared" si="46"/>
        <v>0</v>
      </c>
      <c r="AR70" s="662">
        <f>AR72+AR73+AR74</f>
        <v>27732</v>
      </c>
      <c r="AS70" s="662">
        <f t="shared" ref="AS70:CG70" si="47">AS71</f>
        <v>0</v>
      </c>
      <c r="AT70" s="662">
        <f t="shared" si="47"/>
        <v>0</v>
      </c>
      <c r="AU70" s="662">
        <f t="shared" si="47"/>
        <v>0</v>
      </c>
      <c r="AV70" s="662">
        <f t="shared" si="47"/>
        <v>0</v>
      </c>
      <c r="AW70" s="662">
        <f t="shared" si="47"/>
        <v>0</v>
      </c>
      <c r="AX70" s="662">
        <f t="shared" si="47"/>
        <v>1</v>
      </c>
      <c r="AY70" s="662">
        <f t="shared" si="47"/>
        <v>0</v>
      </c>
      <c r="AZ70" s="662">
        <f t="shared" si="47"/>
        <v>0</v>
      </c>
      <c r="BA70" s="662">
        <f t="shared" si="47"/>
        <v>187</v>
      </c>
      <c r="BB70" s="662">
        <f t="shared" si="47"/>
        <v>0</v>
      </c>
      <c r="BC70" s="662">
        <f t="shared" si="47"/>
        <v>0</v>
      </c>
      <c r="BD70" s="662">
        <f t="shared" si="47"/>
        <v>183</v>
      </c>
      <c r="BE70" s="802">
        <f t="shared" si="47"/>
        <v>64</v>
      </c>
      <c r="BF70" s="662">
        <f t="shared" si="47"/>
        <v>0</v>
      </c>
      <c r="BG70" s="662">
        <f t="shared" si="47"/>
        <v>0</v>
      </c>
      <c r="BH70" s="662">
        <f t="shared" si="47"/>
        <v>21464</v>
      </c>
      <c r="BI70" s="662">
        <f t="shared" si="47"/>
        <v>0</v>
      </c>
      <c r="BJ70" s="662">
        <f t="shared" si="47"/>
        <v>0</v>
      </c>
      <c r="BK70" s="662">
        <f t="shared" si="47"/>
        <v>21464</v>
      </c>
      <c r="BL70" s="662">
        <f t="shared" si="47"/>
        <v>40</v>
      </c>
      <c r="BM70" s="662">
        <f t="shared" si="47"/>
        <v>0</v>
      </c>
      <c r="BN70" s="662">
        <f t="shared" si="47"/>
        <v>0</v>
      </c>
      <c r="BO70" s="662">
        <f t="shared" si="47"/>
        <v>6310</v>
      </c>
      <c r="BP70" s="662">
        <f t="shared" si="47"/>
        <v>0</v>
      </c>
      <c r="BQ70" s="662">
        <f t="shared" si="47"/>
        <v>0</v>
      </c>
      <c r="BR70" s="662">
        <f t="shared" si="47"/>
        <v>6160</v>
      </c>
      <c r="BS70" s="662">
        <f t="shared" si="47"/>
        <v>0</v>
      </c>
      <c r="BT70" s="662">
        <f t="shared" si="47"/>
        <v>0</v>
      </c>
      <c r="BU70" s="662">
        <f t="shared" si="47"/>
        <v>0</v>
      </c>
      <c r="BV70" s="662">
        <f t="shared" si="47"/>
        <v>0</v>
      </c>
      <c r="BW70" s="662">
        <f t="shared" si="47"/>
        <v>0</v>
      </c>
      <c r="BX70" s="662">
        <f t="shared" si="47"/>
        <v>0</v>
      </c>
      <c r="BY70" s="662">
        <f t="shared" si="47"/>
        <v>0</v>
      </c>
      <c r="BZ70" s="662">
        <f t="shared" si="47"/>
        <v>13</v>
      </c>
      <c r="CA70" s="662">
        <f t="shared" si="47"/>
        <v>0</v>
      </c>
      <c r="CB70" s="662">
        <f t="shared" si="47"/>
        <v>0</v>
      </c>
      <c r="CC70" s="662">
        <f t="shared" si="47"/>
        <v>1524</v>
      </c>
      <c r="CD70" s="662">
        <f t="shared" si="47"/>
        <v>0</v>
      </c>
      <c r="CE70" s="662">
        <f t="shared" si="47"/>
        <v>0</v>
      </c>
      <c r="CF70" s="662">
        <f t="shared" si="47"/>
        <v>1478</v>
      </c>
      <c r="CG70" s="662">
        <f t="shared" si="47"/>
        <v>7</v>
      </c>
      <c r="CH70" s="662">
        <f>CH72+CH73+CH74</f>
        <v>6512</v>
      </c>
      <c r="CI70" s="662">
        <f t="shared" ref="CI70:DB70" si="48">CI71</f>
        <v>0</v>
      </c>
      <c r="CJ70" s="662">
        <f t="shared" si="48"/>
        <v>577</v>
      </c>
      <c r="CK70" s="662">
        <f t="shared" si="48"/>
        <v>0</v>
      </c>
      <c r="CL70" s="662">
        <f t="shared" si="48"/>
        <v>0</v>
      </c>
      <c r="CM70" s="662">
        <f t="shared" si="48"/>
        <v>525</v>
      </c>
      <c r="CN70" s="662">
        <f t="shared" si="48"/>
        <v>5</v>
      </c>
      <c r="CO70" s="662">
        <f t="shared" si="48"/>
        <v>0</v>
      </c>
      <c r="CP70" s="662">
        <f t="shared" si="48"/>
        <v>0</v>
      </c>
      <c r="CQ70" s="662">
        <f t="shared" si="48"/>
        <v>770</v>
      </c>
      <c r="CR70" s="662">
        <f t="shared" si="48"/>
        <v>0</v>
      </c>
      <c r="CS70" s="662">
        <f t="shared" si="48"/>
        <v>0</v>
      </c>
      <c r="CT70" s="662">
        <f t="shared" si="48"/>
        <v>760</v>
      </c>
      <c r="CU70" s="662">
        <f t="shared" si="48"/>
        <v>0</v>
      </c>
      <c r="CV70" s="662">
        <f t="shared" si="48"/>
        <v>0</v>
      </c>
      <c r="CW70" s="662">
        <f t="shared" si="48"/>
        <v>0</v>
      </c>
      <c r="CX70" s="662">
        <f t="shared" si="48"/>
        <v>0</v>
      </c>
      <c r="CY70" s="662">
        <f t="shared" si="48"/>
        <v>0</v>
      </c>
      <c r="CZ70" s="662">
        <f t="shared" si="48"/>
        <v>0</v>
      </c>
      <c r="DA70" s="662">
        <f t="shared" si="48"/>
        <v>0</v>
      </c>
      <c r="DB70" s="662">
        <f t="shared" si="48"/>
        <v>45</v>
      </c>
      <c r="DC70" s="662">
        <f>DC72+DC73+DC74</f>
        <v>16960</v>
      </c>
      <c r="DD70" s="662">
        <f t="shared" ref="DD70:DI70" si="49">DD71</f>
        <v>0</v>
      </c>
      <c r="DE70" s="662">
        <f t="shared" si="49"/>
        <v>10380</v>
      </c>
      <c r="DF70" s="662">
        <f t="shared" si="49"/>
        <v>0</v>
      </c>
      <c r="DG70" s="662">
        <f t="shared" si="49"/>
        <v>0</v>
      </c>
      <c r="DH70" s="662">
        <f t="shared" si="49"/>
        <v>10380</v>
      </c>
      <c r="DI70" s="662">
        <f t="shared" si="49"/>
        <v>1056</v>
      </c>
      <c r="DJ70" s="662">
        <f>DJ72+DJ73</f>
        <v>870</v>
      </c>
      <c r="DK70" s="662">
        <f t="shared" ref="DK70:DW70" si="50">DK71</f>
        <v>0</v>
      </c>
      <c r="DL70" s="662">
        <f t="shared" si="50"/>
        <v>226600</v>
      </c>
      <c r="DM70" s="662">
        <f t="shared" si="50"/>
        <v>0</v>
      </c>
      <c r="DN70" s="662">
        <f t="shared" si="50"/>
        <v>0</v>
      </c>
      <c r="DO70" s="662">
        <f t="shared" si="50"/>
        <v>221610</v>
      </c>
      <c r="DP70" s="662">
        <f t="shared" si="50"/>
        <v>0</v>
      </c>
      <c r="DQ70" s="662">
        <f t="shared" si="50"/>
        <v>0</v>
      </c>
      <c r="DR70" s="662">
        <f t="shared" si="50"/>
        <v>0</v>
      </c>
      <c r="DS70" s="662">
        <f t="shared" si="50"/>
        <v>0</v>
      </c>
      <c r="DT70" s="662">
        <f t="shared" si="50"/>
        <v>0</v>
      </c>
      <c r="DU70" s="662">
        <f t="shared" si="50"/>
        <v>0</v>
      </c>
      <c r="DV70" s="662">
        <f t="shared" si="50"/>
        <v>0</v>
      </c>
      <c r="DW70" s="662">
        <f t="shared" si="50"/>
        <v>0</v>
      </c>
      <c r="DX70" s="662">
        <f>DX72+DX73</f>
        <v>152</v>
      </c>
      <c r="DY70" s="662">
        <f t="shared" ref="DY70:ED70" si="51">DY71</f>
        <v>0</v>
      </c>
      <c r="DZ70" s="662">
        <f t="shared" si="51"/>
        <v>0</v>
      </c>
      <c r="EA70" s="662">
        <f t="shared" si="51"/>
        <v>0</v>
      </c>
      <c r="EB70" s="662">
        <f t="shared" si="51"/>
        <v>0</v>
      </c>
      <c r="EC70" s="662">
        <f t="shared" si="51"/>
        <v>0</v>
      </c>
      <c r="ED70" s="662">
        <f t="shared" si="51"/>
        <v>12</v>
      </c>
      <c r="EE70" s="662">
        <f>EE72+EE73</f>
        <v>419</v>
      </c>
      <c r="EF70" s="662">
        <f t="shared" ref="EF70:EK70" si="52">EF71</f>
        <v>0</v>
      </c>
      <c r="EG70" s="662">
        <f t="shared" si="52"/>
        <v>529</v>
      </c>
      <c r="EH70" s="662">
        <f t="shared" si="52"/>
        <v>0</v>
      </c>
      <c r="EI70" s="662">
        <f t="shared" si="52"/>
        <v>0</v>
      </c>
      <c r="EJ70" s="662">
        <f t="shared" si="52"/>
        <v>515</v>
      </c>
      <c r="EK70" s="662">
        <f t="shared" si="52"/>
        <v>29</v>
      </c>
      <c r="EL70" s="662">
        <f>EL72+EL73</f>
        <v>479</v>
      </c>
      <c r="EM70" s="662">
        <f>EM71</f>
        <v>0</v>
      </c>
      <c r="EN70" s="662">
        <f>EN71</f>
        <v>687</v>
      </c>
      <c r="EO70" s="662">
        <f>EO71</f>
        <v>0</v>
      </c>
      <c r="EP70" s="662">
        <f>EP71</f>
        <v>0</v>
      </c>
      <c r="EQ70" s="662">
        <f>EQ71</f>
        <v>687</v>
      </c>
    </row>
    <row r="71" spans="1:147" ht="13.95" customHeight="1" x14ac:dyDescent="0.3">
      <c r="A71" s="687" t="s">
        <v>1727</v>
      </c>
      <c r="B71" s="688" t="s">
        <v>269</v>
      </c>
      <c r="C71" s="662">
        <v>1317</v>
      </c>
      <c r="D71" s="662">
        <v>0</v>
      </c>
      <c r="E71" s="662">
        <v>0</v>
      </c>
      <c r="F71" s="662">
        <v>277990</v>
      </c>
      <c r="G71" s="662">
        <v>0</v>
      </c>
      <c r="H71" s="662">
        <v>0</v>
      </c>
      <c r="I71" s="662">
        <v>272724</v>
      </c>
      <c r="J71" s="802">
        <v>0</v>
      </c>
      <c r="K71" s="662">
        <v>0</v>
      </c>
      <c r="L71" s="662">
        <v>0</v>
      </c>
      <c r="M71" s="662">
        <v>0</v>
      </c>
      <c r="N71" s="662">
        <v>0</v>
      </c>
      <c r="O71" s="662">
        <v>0</v>
      </c>
      <c r="P71" s="662">
        <v>0</v>
      </c>
      <c r="Q71" s="802">
        <v>0</v>
      </c>
      <c r="R71" s="662">
        <v>0</v>
      </c>
      <c r="S71" s="662">
        <v>0</v>
      </c>
      <c r="T71" s="662">
        <v>0</v>
      </c>
      <c r="U71" s="662">
        <v>0</v>
      </c>
      <c r="V71" s="662">
        <v>0</v>
      </c>
      <c r="W71" s="802">
        <v>4</v>
      </c>
      <c r="X71" s="662">
        <v>0</v>
      </c>
      <c r="Y71" s="662">
        <v>0</v>
      </c>
      <c r="Z71" s="662">
        <v>1200</v>
      </c>
      <c r="AA71" s="662">
        <v>0</v>
      </c>
      <c r="AB71" s="662">
        <v>0</v>
      </c>
      <c r="AC71" s="662">
        <v>1200</v>
      </c>
      <c r="AD71" s="802">
        <v>40</v>
      </c>
      <c r="AE71" s="662">
        <v>0</v>
      </c>
      <c r="AF71" s="662">
        <v>0</v>
      </c>
      <c r="AG71" s="662">
        <v>7672</v>
      </c>
      <c r="AH71" s="662">
        <v>0</v>
      </c>
      <c r="AI71" s="662">
        <v>0</v>
      </c>
      <c r="AJ71" s="662">
        <v>7672</v>
      </c>
      <c r="AK71" s="802">
        <v>1</v>
      </c>
      <c r="AL71" s="662">
        <v>0</v>
      </c>
      <c r="AM71" s="662">
        <v>90</v>
      </c>
      <c r="AN71" s="662">
        <v>0</v>
      </c>
      <c r="AO71" s="662">
        <v>0</v>
      </c>
      <c r="AP71" s="662">
        <v>90</v>
      </c>
      <c r="AQ71" s="802">
        <v>0</v>
      </c>
      <c r="AR71" s="662">
        <v>0</v>
      </c>
      <c r="AS71" s="662">
        <v>0</v>
      </c>
      <c r="AT71" s="662">
        <v>0</v>
      </c>
      <c r="AU71" s="662">
        <v>0</v>
      </c>
      <c r="AV71" s="662">
        <v>0</v>
      </c>
      <c r="AW71" s="662">
        <v>0</v>
      </c>
      <c r="AX71" s="662">
        <v>1</v>
      </c>
      <c r="AY71" s="662">
        <v>0</v>
      </c>
      <c r="AZ71" s="662">
        <v>0</v>
      </c>
      <c r="BA71" s="662">
        <v>187</v>
      </c>
      <c r="BB71" s="662">
        <v>0</v>
      </c>
      <c r="BC71" s="662">
        <v>0</v>
      </c>
      <c r="BD71" s="662">
        <v>183</v>
      </c>
      <c r="BE71" s="802">
        <v>64</v>
      </c>
      <c r="BF71" s="662">
        <v>0</v>
      </c>
      <c r="BG71" s="662">
        <v>0</v>
      </c>
      <c r="BH71" s="662">
        <v>21464</v>
      </c>
      <c r="BI71" s="662">
        <v>0</v>
      </c>
      <c r="BJ71" s="662">
        <v>0</v>
      </c>
      <c r="BK71" s="662">
        <v>21464</v>
      </c>
      <c r="BL71" s="662">
        <v>40</v>
      </c>
      <c r="BM71" s="662">
        <v>0</v>
      </c>
      <c r="BN71" s="662">
        <v>0</v>
      </c>
      <c r="BO71" s="662">
        <v>6310</v>
      </c>
      <c r="BP71" s="662">
        <v>0</v>
      </c>
      <c r="BQ71" s="662">
        <v>0</v>
      </c>
      <c r="BR71" s="662">
        <v>6160</v>
      </c>
      <c r="BS71" s="662">
        <v>0</v>
      </c>
      <c r="BT71" s="662">
        <v>0</v>
      </c>
      <c r="BU71" s="662">
        <v>0</v>
      </c>
      <c r="BV71" s="662">
        <v>0</v>
      </c>
      <c r="BW71" s="662">
        <v>0</v>
      </c>
      <c r="BX71" s="662">
        <v>0</v>
      </c>
      <c r="BY71" s="662">
        <v>0</v>
      </c>
      <c r="BZ71" s="662">
        <v>13</v>
      </c>
      <c r="CA71" s="662">
        <v>0</v>
      </c>
      <c r="CB71" s="662">
        <v>0</v>
      </c>
      <c r="CC71" s="662">
        <v>1524</v>
      </c>
      <c r="CD71" s="662">
        <v>0</v>
      </c>
      <c r="CE71" s="662">
        <v>0</v>
      </c>
      <c r="CF71" s="662">
        <v>1478</v>
      </c>
      <c r="CG71" s="662">
        <v>7</v>
      </c>
      <c r="CH71" s="662">
        <v>0</v>
      </c>
      <c r="CI71" s="662">
        <v>0</v>
      </c>
      <c r="CJ71" s="662">
        <v>577</v>
      </c>
      <c r="CK71" s="662">
        <v>0</v>
      </c>
      <c r="CL71" s="662">
        <v>0</v>
      </c>
      <c r="CM71" s="662">
        <v>525</v>
      </c>
      <c r="CN71" s="662">
        <v>5</v>
      </c>
      <c r="CO71" s="662">
        <v>0</v>
      </c>
      <c r="CP71" s="662">
        <v>0</v>
      </c>
      <c r="CQ71" s="662">
        <v>770</v>
      </c>
      <c r="CR71" s="662">
        <v>0</v>
      </c>
      <c r="CS71" s="662">
        <v>0</v>
      </c>
      <c r="CT71" s="662">
        <v>760</v>
      </c>
      <c r="CU71" s="662">
        <v>0</v>
      </c>
      <c r="CV71" s="662">
        <v>0</v>
      </c>
      <c r="CW71" s="662">
        <v>0</v>
      </c>
      <c r="CX71" s="662">
        <v>0</v>
      </c>
      <c r="CY71" s="662">
        <v>0</v>
      </c>
      <c r="CZ71" s="662">
        <v>0</v>
      </c>
      <c r="DA71" s="662">
        <v>0</v>
      </c>
      <c r="DB71" s="662">
        <v>45</v>
      </c>
      <c r="DC71" s="662">
        <v>0</v>
      </c>
      <c r="DD71" s="662">
        <v>0</v>
      </c>
      <c r="DE71" s="662">
        <v>10380</v>
      </c>
      <c r="DF71" s="662">
        <v>0</v>
      </c>
      <c r="DG71" s="662">
        <v>0</v>
      </c>
      <c r="DH71" s="662">
        <v>10380</v>
      </c>
      <c r="DI71" s="662">
        <v>1056</v>
      </c>
      <c r="DJ71" s="662">
        <v>0</v>
      </c>
      <c r="DK71" s="662">
        <v>0</v>
      </c>
      <c r="DL71" s="662">
        <v>226600</v>
      </c>
      <c r="DM71" s="662">
        <v>0</v>
      </c>
      <c r="DN71" s="662">
        <v>0</v>
      </c>
      <c r="DO71" s="662">
        <v>221610</v>
      </c>
      <c r="DP71" s="662">
        <v>0</v>
      </c>
      <c r="DQ71" s="662">
        <v>0</v>
      </c>
      <c r="DR71" s="662">
        <v>0</v>
      </c>
      <c r="DS71" s="662">
        <v>0</v>
      </c>
      <c r="DT71" s="662">
        <v>0</v>
      </c>
      <c r="DU71" s="662">
        <v>0</v>
      </c>
      <c r="DV71" s="662">
        <v>0</v>
      </c>
      <c r="DW71" s="662">
        <v>0</v>
      </c>
      <c r="DX71" s="662">
        <v>0</v>
      </c>
      <c r="DY71" s="662">
        <v>0</v>
      </c>
      <c r="DZ71" s="662">
        <v>0</v>
      </c>
      <c r="EA71" s="662">
        <v>0</v>
      </c>
      <c r="EB71" s="662">
        <v>0</v>
      </c>
      <c r="EC71" s="662">
        <v>0</v>
      </c>
      <c r="ED71" s="662">
        <v>12</v>
      </c>
      <c r="EE71" s="662">
        <v>0</v>
      </c>
      <c r="EF71" s="662">
        <v>0</v>
      </c>
      <c r="EG71" s="662">
        <v>529</v>
      </c>
      <c r="EH71" s="662">
        <v>0</v>
      </c>
      <c r="EI71" s="662">
        <v>0</v>
      </c>
      <c r="EJ71" s="662">
        <v>515</v>
      </c>
      <c r="EK71" s="662">
        <v>29</v>
      </c>
      <c r="EL71" s="662">
        <v>0</v>
      </c>
      <c r="EM71" s="662">
        <v>0</v>
      </c>
      <c r="EN71" s="662">
        <v>687</v>
      </c>
      <c r="EO71" s="662">
        <v>0</v>
      </c>
      <c r="EP71" s="662">
        <v>0</v>
      </c>
      <c r="EQ71" s="662">
        <v>687</v>
      </c>
    </row>
    <row r="72" spans="1:147" ht="13.95" customHeight="1" x14ac:dyDescent="0.3">
      <c r="A72" s="687" t="s">
        <v>1728</v>
      </c>
      <c r="B72" s="688" t="s">
        <v>269</v>
      </c>
      <c r="C72" s="662">
        <v>0</v>
      </c>
      <c r="D72" s="662">
        <v>22064</v>
      </c>
      <c r="E72" s="662">
        <v>0</v>
      </c>
      <c r="F72" s="662">
        <v>46072</v>
      </c>
      <c r="G72" s="662">
        <v>0</v>
      </c>
      <c r="H72" s="662">
        <v>0</v>
      </c>
      <c r="I72" s="662">
        <v>45393</v>
      </c>
      <c r="J72" s="802">
        <v>0</v>
      </c>
      <c r="K72" s="662">
        <v>895</v>
      </c>
      <c r="L72" s="662">
        <v>0</v>
      </c>
      <c r="M72" s="662">
        <v>1691</v>
      </c>
      <c r="N72" s="662">
        <v>0</v>
      </c>
      <c r="O72" s="662">
        <v>0</v>
      </c>
      <c r="P72" s="662">
        <v>1684</v>
      </c>
      <c r="Q72" s="802">
        <v>0</v>
      </c>
      <c r="R72" s="662">
        <v>0</v>
      </c>
      <c r="S72" s="662">
        <v>0</v>
      </c>
      <c r="T72" s="662">
        <v>0</v>
      </c>
      <c r="U72" s="662">
        <v>0</v>
      </c>
      <c r="V72" s="662">
        <v>0</v>
      </c>
      <c r="W72" s="802">
        <v>0</v>
      </c>
      <c r="X72" s="662">
        <v>3670</v>
      </c>
      <c r="Y72" s="662">
        <v>0</v>
      </c>
      <c r="Z72" s="662">
        <v>6305</v>
      </c>
      <c r="AA72" s="662">
        <v>0</v>
      </c>
      <c r="AB72" s="662">
        <v>0</v>
      </c>
      <c r="AC72" s="662">
        <v>6305</v>
      </c>
      <c r="AD72" s="802">
        <v>0</v>
      </c>
      <c r="AE72" s="662">
        <v>2085</v>
      </c>
      <c r="AF72" s="662">
        <v>0</v>
      </c>
      <c r="AG72" s="662">
        <v>5668</v>
      </c>
      <c r="AH72" s="662">
        <v>0</v>
      </c>
      <c r="AI72" s="662">
        <v>0</v>
      </c>
      <c r="AJ72" s="662">
        <v>5668</v>
      </c>
      <c r="AK72" s="802">
        <v>0</v>
      </c>
      <c r="AL72" s="662">
        <v>0</v>
      </c>
      <c r="AM72" s="662">
        <v>0</v>
      </c>
      <c r="AN72" s="662">
        <v>0</v>
      </c>
      <c r="AO72" s="662">
        <v>0</v>
      </c>
      <c r="AP72" s="662">
        <v>0</v>
      </c>
      <c r="AQ72" s="802">
        <v>0</v>
      </c>
      <c r="AR72" s="662">
        <v>4607</v>
      </c>
      <c r="AS72" s="662">
        <v>0</v>
      </c>
      <c r="AT72" s="662">
        <v>15203</v>
      </c>
      <c r="AU72" s="662">
        <v>0</v>
      </c>
      <c r="AV72" s="662">
        <v>0</v>
      </c>
      <c r="AW72" s="662">
        <v>14975</v>
      </c>
      <c r="AX72" s="662">
        <v>0</v>
      </c>
      <c r="AY72" s="662">
        <v>220</v>
      </c>
      <c r="AZ72" s="662">
        <v>0</v>
      </c>
      <c r="BA72" s="662">
        <v>489</v>
      </c>
      <c r="BB72" s="662">
        <v>0</v>
      </c>
      <c r="BC72" s="662">
        <v>0</v>
      </c>
      <c r="BD72" s="662">
        <v>489</v>
      </c>
      <c r="BE72" s="802">
        <v>0</v>
      </c>
      <c r="BF72" s="662">
        <v>370</v>
      </c>
      <c r="BG72" s="662">
        <v>0</v>
      </c>
      <c r="BH72" s="662">
        <v>555</v>
      </c>
      <c r="BI72" s="662">
        <v>0</v>
      </c>
      <c r="BJ72" s="662">
        <v>0</v>
      </c>
      <c r="BK72" s="662">
        <v>555</v>
      </c>
      <c r="BL72" s="662">
        <v>0</v>
      </c>
      <c r="BM72" s="662">
        <v>950</v>
      </c>
      <c r="BN72" s="662">
        <v>0</v>
      </c>
      <c r="BO72" s="662">
        <v>1888</v>
      </c>
      <c r="BP72" s="662">
        <v>0</v>
      </c>
      <c r="BQ72" s="662">
        <v>0</v>
      </c>
      <c r="BR72" s="662">
        <v>1860</v>
      </c>
      <c r="BS72" s="662">
        <v>0</v>
      </c>
      <c r="BT72" s="662">
        <v>0</v>
      </c>
      <c r="BU72" s="662">
        <v>0</v>
      </c>
      <c r="BV72" s="662">
        <v>0</v>
      </c>
      <c r="BW72" s="662">
        <v>0</v>
      </c>
      <c r="BX72" s="662">
        <v>0</v>
      </c>
      <c r="BY72" s="662">
        <v>0</v>
      </c>
      <c r="BZ72" s="662">
        <v>0</v>
      </c>
      <c r="CA72" s="662">
        <v>10</v>
      </c>
      <c r="CB72" s="662">
        <v>0</v>
      </c>
      <c r="CC72" s="662">
        <v>18</v>
      </c>
      <c r="CD72" s="662">
        <v>0</v>
      </c>
      <c r="CE72" s="662">
        <v>0</v>
      </c>
      <c r="CF72" s="662">
        <v>17</v>
      </c>
      <c r="CG72" s="662">
        <v>0</v>
      </c>
      <c r="CH72" s="662">
        <v>1700</v>
      </c>
      <c r="CI72" s="662">
        <v>0</v>
      </c>
      <c r="CJ72" s="662">
        <v>2130</v>
      </c>
      <c r="CK72" s="662">
        <v>0</v>
      </c>
      <c r="CL72" s="662">
        <v>0</v>
      </c>
      <c r="CM72" s="662">
        <v>1950</v>
      </c>
      <c r="CN72" s="662">
        <v>0</v>
      </c>
      <c r="CO72" s="662">
        <v>0</v>
      </c>
      <c r="CP72" s="662">
        <v>0</v>
      </c>
      <c r="CQ72" s="662">
        <v>0</v>
      </c>
      <c r="CR72" s="662">
        <v>0</v>
      </c>
      <c r="CS72" s="662">
        <v>0</v>
      </c>
      <c r="CT72" s="662">
        <v>0</v>
      </c>
      <c r="CU72" s="662">
        <v>0</v>
      </c>
      <c r="CV72" s="662">
        <v>0</v>
      </c>
      <c r="CW72" s="662">
        <v>0</v>
      </c>
      <c r="CX72" s="662">
        <v>0</v>
      </c>
      <c r="CY72" s="662">
        <v>0</v>
      </c>
      <c r="CZ72" s="662">
        <v>0</v>
      </c>
      <c r="DA72" s="662">
        <v>0</v>
      </c>
      <c r="DB72" s="662">
        <v>0</v>
      </c>
      <c r="DC72" s="662">
        <v>6160</v>
      </c>
      <c r="DD72" s="662">
        <v>0</v>
      </c>
      <c r="DE72" s="662">
        <v>9490</v>
      </c>
      <c r="DF72" s="662">
        <v>0</v>
      </c>
      <c r="DG72" s="662">
        <v>0</v>
      </c>
      <c r="DH72" s="662">
        <v>9280</v>
      </c>
      <c r="DI72" s="662">
        <v>0</v>
      </c>
      <c r="DJ72" s="662">
        <v>370</v>
      </c>
      <c r="DK72" s="662">
        <v>0</v>
      </c>
      <c r="DL72" s="662">
        <v>950</v>
      </c>
      <c r="DM72" s="662">
        <v>0</v>
      </c>
      <c r="DN72" s="662">
        <v>0</v>
      </c>
      <c r="DO72" s="662">
        <v>930</v>
      </c>
      <c r="DP72" s="662">
        <v>0</v>
      </c>
      <c r="DQ72" s="662">
        <v>0</v>
      </c>
      <c r="DR72" s="662">
        <v>0</v>
      </c>
      <c r="DS72" s="662">
        <v>0</v>
      </c>
      <c r="DT72" s="662">
        <v>0</v>
      </c>
      <c r="DU72" s="662">
        <v>0</v>
      </c>
      <c r="DV72" s="662">
        <v>0</v>
      </c>
      <c r="DW72" s="662">
        <v>0</v>
      </c>
      <c r="DX72" s="662">
        <v>150</v>
      </c>
      <c r="DY72" s="662">
        <v>0</v>
      </c>
      <c r="DZ72" s="662">
        <v>500</v>
      </c>
      <c r="EA72" s="662">
        <v>0</v>
      </c>
      <c r="EB72" s="662">
        <v>0</v>
      </c>
      <c r="EC72" s="662">
        <v>500</v>
      </c>
      <c r="ED72" s="662">
        <v>0</v>
      </c>
      <c r="EE72" s="662">
        <v>400</v>
      </c>
      <c r="EF72" s="662">
        <v>0</v>
      </c>
      <c r="EG72" s="662">
        <v>240</v>
      </c>
      <c r="EH72" s="662">
        <v>0</v>
      </c>
      <c r="EI72" s="662">
        <v>0</v>
      </c>
      <c r="EJ72" s="662">
        <v>240</v>
      </c>
      <c r="EK72" s="662">
        <v>0</v>
      </c>
      <c r="EL72" s="662">
        <v>477</v>
      </c>
      <c r="EM72" s="662">
        <v>0</v>
      </c>
      <c r="EN72" s="662">
        <v>945</v>
      </c>
      <c r="EO72" s="662">
        <v>0</v>
      </c>
      <c r="EP72" s="662">
        <v>0</v>
      </c>
      <c r="EQ72" s="662">
        <v>940</v>
      </c>
    </row>
    <row r="73" spans="1:147" ht="13.95" customHeight="1" x14ac:dyDescent="0.3">
      <c r="A73" s="687" t="s">
        <v>1729</v>
      </c>
      <c r="B73" s="688" t="s">
        <v>269</v>
      </c>
      <c r="C73" s="662">
        <v>0</v>
      </c>
      <c r="D73" s="662">
        <v>8345</v>
      </c>
      <c r="E73" s="662">
        <v>0</v>
      </c>
      <c r="F73" s="662">
        <v>21148</v>
      </c>
      <c r="G73" s="662">
        <v>0</v>
      </c>
      <c r="H73" s="662">
        <v>0</v>
      </c>
      <c r="I73" s="662">
        <v>20934</v>
      </c>
      <c r="J73" s="802">
        <v>0</v>
      </c>
      <c r="K73" s="662">
        <v>155</v>
      </c>
      <c r="L73" s="662">
        <v>0</v>
      </c>
      <c r="M73" s="662">
        <v>350</v>
      </c>
      <c r="N73" s="662">
        <v>0</v>
      </c>
      <c r="O73" s="662">
        <v>0</v>
      </c>
      <c r="P73" s="662">
        <v>350</v>
      </c>
      <c r="Q73" s="802">
        <v>0</v>
      </c>
      <c r="R73" s="662">
        <v>0</v>
      </c>
      <c r="S73" s="662">
        <v>0</v>
      </c>
      <c r="T73" s="662">
        <v>0</v>
      </c>
      <c r="U73" s="662">
        <v>0</v>
      </c>
      <c r="V73" s="662">
        <v>0</v>
      </c>
      <c r="W73" s="802">
        <v>0</v>
      </c>
      <c r="X73" s="662">
        <v>0</v>
      </c>
      <c r="Y73" s="662">
        <v>0</v>
      </c>
      <c r="Z73" s="662">
        <v>0</v>
      </c>
      <c r="AA73" s="662">
        <v>0</v>
      </c>
      <c r="AB73" s="662">
        <v>0</v>
      </c>
      <c r="AC73" s="662">
        <v>0</v>
      </c>
      <c r="AD73" s="802">
        <v>0</v>
      </c>
      <c r="AE73" s="662">
        <v>1044</v>
      </c>
      <c r="AF73" s="662">
        <v>0</v>
      </c>
      <c r="AG73" s="662">
        <v>2654</v>
      </c>
      <c r="AH73" s="662">
        <v>0</v>
      </c>
      <c r="AI73" s="662">
        <v>0</v>
      </c>
      <c r="AJ73" s="662">
        <v>2654</v>
      </c>
      <c r="AK73" s="802">
        <v>0</v>
      </c>
      <c r="AL73" s="662">
        <v>0</v>
      </c>
      <c r="AM73" s="662">
        <v>0</v>
      </c>
      <c r="AN73" s="662">
        <v>0</v>
      </c>
      <c r="AO73" s="662">
        <v>0</v>
      </c>
      <c r="AP73" s="662">
        <v>0</v>
      </c>
      <c r="AQ73" s="802">
        <v>0</v>
      </c>
      <c r="AR73" s="662">
        <v>1172</v>
      </c>
      <c r="AS73" s="662">
        <v>0</v>
      </c>
      <c r="AT73" s="662">
        <v>3524</v>
      </c>
      <c r="AU73" s="662">
        <v>0</v>
      </c>
      <c r="AV73" s="662">
        <v>0</v>
      </c>
      <c r="AW73" s="662">
        <v>3463</v>
      </c>
      <c r="AX73" s="662">
        <v>0</v>
      </c>
      <c r="AY73" s="662">
        <v>0</v>
      </c>
      <c r="AZ73" s="662">
        <v>0</v>
      </c>
      <c r="BA73" s="662">
        <v>0</v>
      </c>
      <c r="BB73" s="662">
        <v>0</v>
      </c>
      <c r="BC73" s="662">
        <v>0</v>
      </c>
      <c r="BD73" s="662">
        <v>0</v>
      </c>
      <c r="BE73" s="802">
        <v>0</v>
      </c>
      <c r="BF73" s="662">
        <v>615</v>
      </c>
      <c r="BG73" s="662">
        <v>0</v>
      </c>
      <c r="BH73" s="662">
        <v>2214</v>
      </c>
      <c r="BI73" s="662">
        <v>0</v>
      </c>
      <c r="BJ73" s="662">
        <v>0</v>
      </c>
      <c r="BK73" s="662">
        <v>2202</v>
      </c>
      <c r="BL73" s="662">
        <v>0</v>
      </c>
      <c r="BM73" s="662">
        <v>592</v>
      </c>
      <c r="BN73" s="662">
        <v>0</v>
      </c>
      <c r="BO73" s="662">
        <v>1364</v>
      </c>
      <c r="BP73" s="662">
        <v>0</v>
      </c>
      <c r="BQ73" s="662">
        <v>0</v>
      </c>
      <c r="BR73" s="662">
        <v>1329</v>
      </c>
      <c r="BS73" s="662">
        <v>0</v>
      </c>
      <c r="BT73" s="662">
        <v>0</v>
      </c>
      <c r="BU73" s="662">
        <v>0</v>
      </c>
      <c r="BV73" s="662">
        <v>0</v>
      </c>
      <c r="BW73" s="662">
        <v>0</v>
      </c>
      <c r="BX73" s="662">
        <v>0</v>
      </c>
      <c r="BY73" s="662">
        <v>0</v>
      </c>
      <c r="BZ73" s="662">
        <v>0</v>
      </c>
      <c r="CA73" s="662">
        <v>32</v>
      </c>
      <c r="CB73" s="662">
        <v>0</v>
      </c>
      <c r="CC73" s="662">
        <v>72</v>
      </c>
      <c r="CD73" s="662">
        <v>0</v>
      </c>
      <c r="CE73" s="662">
        <v>0</v>
      </c>
      <c r="CF73" s="662">
        <v>69</v>
      </c>
      <c r="CG73" s="662">
        <v>0</v>
      </c>
      <c r="CH73" s="662">
        <v>512</v>
      </c>
      <c r="CI73" s="662">
        <v>0</v>
      </c>
      <c r="CJ73" s="662">
        <v>574</v>
      </c>
      <c r="CK73" s="662">
        <v>0</v>
      </c>
      <c r="CL73" s="662">
        <v>0</v>
      </c>
      <c r="CM73" s="662">
        <v>540</v>
      </c>
      <c r="CN73" s="662">
        <v>0</v>
      </c>
      <c r="CO73" s="662">
        <v>0</v>
      </c>
      <c r="CP73" s="662">
        <v>0</v>
      </c>
      <c r="CQ73" s="662">
        <v>0</v>
      </c>
      <c r="CR73" s="662">
        <v>0</v>
      </c>
      <c r="CS73" s="662">
        <v>0</v>
      </c>
      <c r="CT73" s="662">
        <v>0</v>
      </c>
      <c r="CU73" s="662">
        <v>0</v>
      </c>
      <c r="CV73" s="662">
        <v>0</v>
      </c>
      <c r="CW73" s="662">
        <v>0</v>
      </c>
      <c r="CX73" s="662">
        <v>0</v>
      </c>
      <c r="CY73" s="662">
        <v>0</v>
      </c>
      <c r="CZ73" s="662">
        <v>0</v>
      </c>
      <c r="DA73" s="662">
        <v>0</v>
      </c>
      <c r="DB73" s="662">
        <v>0</v>
      </c>
      <c r="DC73" s="662">
        <v>3700</v>
      </c>
      <c r="DD73" s="662">
        <v>0</v>
      </c>
      <c r="DE73" s="662">
        <v>8900</v>
      </c>
      <c r="DF73" s="662">
        <v>0</v>
      </c>
      <c r="DG73" s="662">
        <v>0</v>
      </c>
      <c r="DH73" s="662">
        <v>8846</v>
      </c>
      <c r="DI73" s="662">
        <v>0</v>
      </c>
      <c r="DJ73" s="662">
        <v>500</v>
      </c>
      <c r="DK73" s="662">
        <v>0</v>
      </c>
      <c r="DL73" s="662">
        <v>1400</v>
      </c>
      <c r="DM73" s="662">
        <v>0</v>
      </c>
      <c r="DN73" s="662">
        <v>0</v>
      </c>
      <c r="DO73" s="662">
        <v>1385</v>
      </c>
      <c r="DP73" s="662">
        <v>0</v>
      </c>
      <c r="DQ73" s="662">
        <v>0</v>
      </c>
      <c r="DR73" s="662">
        <v>0</v>
      </c>
      <c r="DS73" s="662">
        <v>0</v>
      </c>
      <c r="DT73" s="662">
        <v>0</v>
      </c>
      <c r="DU73" s="662">
        <v>0</v>
      </c>
      <c r="DV73" s="662">
        <v>0</v>
      </c>
      <c r="DW73" s="662">
        <v>0</v>
      </c>
      <c r="DX73" s="662">
        <v>2</v>
      </c>
      <c r="DY73" s="662">
        <v>0</v>
      </c>
      <c r="DZ73" s="662">
        <v>7</v>
      </c>
      <c r="EA73" s="662">
        <v>0</v>
      </c>
      <c r="EB73" s="662">
        <v>0</v>
      </c>
      <c r="EC73" s="662">
        <v>7</v>
      </c>
      <c r="ED73" s="662">
        <v>0</v>
      </c>
      <c r="EE73" s="662">
        <v>19</v>
      </c>
      <c r="EF73" s="662">
        <v>0</v>
      </c>
      <c r="EG73" s="662">
        <v>83</v>
      </c>
      <c r="EH73" s="662">
        <v>0</v>
      </c>
      <c r="EI73" s="662">
        <v>0</v>
      </c>
      <c r="EJ73" s="662">
        <v>83</v>
      </c>
      <c r="EK73" s="662">
        <v>0</v>
      </c>
      <c r="EL73" s="662">
        <v>2</v>
      </c>
      <c r="EM73" s="662">
        <v>0</v>
      </c>
      <c r="EN73" s="662">
        <v>6</v>
      </c>
      <c r="EO73" s="662">
        <v>0</v>
      </c>
      <c r="EP73" s="662">
        <v>0</v>
      </c>
      <c r="EQ73" s="662">
        <v>6</v>
      </c>
    </row>
    <row r="74" spans="1:147" ht="13.95" customHeight="1" x14ac:dyDescent="0.3">
      <c r="A74" s="687" t="s">
        <v>1730</v>
      </c>
      <c r="B74" s="688" t="s">
        <v>269</v>
      </c>
      <c r="C74" s="662">
        <v>0</v>
      </c>
      <c r="D74" s="662">
        <v>63267</v>
      </c>
      <c r="E74" s="662">
        <v>0</v>
      </c>
      <c r="F74" s="662">
        <v>160925</v>
      </c>
      <c r="G74" s="662">
        <v>0</v>
      </c>
      <c r="H74" s="662">
        <v>0</v>
      </c>
      <c r="I74" s="662">
        <v>159655</v>
      </c>
      <c r="J74" s="802">
        <v>0</v>
      </c>
      <c r="K74" s="662">
        <v>789</v>
      </c>
      <c r="L74" s="662">
        <v>0</v>
      </c>
      <c r="M74" s="662">
        <v>1050</v>
      </c>
      <c r="N74" s="662">
        <v>0</v>
      </c>
      <c r="O74" s="662">
        <v>0</v>
      </c>
      <c r="P74" s="662">
        <v>1050</v>
      </c>
      <c r="Q74" s="802">
        <v>0</v>
      </c>
      <c r="R74" s="662">
        <v>0</v>
      </c>
      <c r="S74" s="662">
        <v>0</v>
      </c>
      <c r="T74" s="662">
        <v>0</v>
      </c>
      <c r="U74" s="662">
        <v>0</v>
      </c>
      <c r="V74" s="662">
        <v>0</v>
      </c>
      <c r="W74" s="802">
        <v>0</v>
      </c>
      <c r="X74" s="662">
        <v>300</v>
      </c>
      <c r="Y74" s="662">
        <v>0</v>
      </c>
      <c r="Z74" s="662">
        <v>1350</v>
      </c>
      <c r="AA74" s="662">
        <v>0</v>
      </c>
      <c r="AB74" s="662">
        <v>0</v>
      </c>
      <c r="AC74" s="662">
        <v>1350</v>
      </c>
      <c r="AD74" s="802">
        <v>0</v>
      </c>
      <c r="AE74" s="662">
        <v>28455</v>
      </c>
      <c r="AF74" s="662">
        <v>0</v>
      </c>
      <c r="AG74" s="662">
        <v>104270</v>
      </c>
      <c r="AH74" s="662">
        <v>0</v>
      </c>
      <c r="AI74" s="662">
        <v>0</v>
      </c>
      <c r="AJ74" s="662">
        <v>104270</v>
      </c>
      <c r="AK74" s="802">
        <v>0</v>
      </c>
      <c r="AL74" s="662">
        <v>0</v>
      </c>
      <c r="AM74" s="662">
        <v>0</v>
      </c>
      <c r="AN74" s="662">
        <v>0</v>
      </c>
      <c r="AO74" s="662">
        <v>0</v>
      </c>
      <c r="AP74" s="662">
        <v>0</v>
      </c>
      <c r="AQ74" s="802">
        <v>0</v>
      </c>
      <c r="AR74" s="662">
        <v>21953</v>
      </c>
      <c r="AS74" s="662">
        <v>0</v>
      </c>
      <c r="AT74" s="662">
        <v>31075</v>
      </c>
      <c r="AU74" s="662">
        <v>0</v>
      </c>
      <c r="AV74" s="662">
        <v>0</v>
      </c>
      <c r="AW74" s="662">
        <v>30460</v>
      </c>
      <c r="AX74" s="662">
        <v>0</v>
      </c>
      <c r="AY74" s="662">
        <v>0</v>
      </c>
      <c r="AZ74" s="662">
        <v>0</v>
      </c>
      <c r="BA74" s="662">
        <v>0</v>
      </c>
      <c r="BB74" s="662">
        <v>0</v>
      </c>
      <c r="BC74" s="662">
        <v>0</v>
      </c>
      <c r="BD74" s="662">
        <v>0</v>
      </c>
      <c r="BE74" s="802">
        <v>0</v>
      </c>
      <c r="BF74" s="662">
        <v>150</v>
      </c>
      <c r="BG74" s="662">
        <v>0</v>
      </c>
      <c r="BH74" s="662">
        <v>150</v>
      </c>
      <c r="BI74" s="662">
        <v>0</v>
      </c>
      <c r="BJ74" s="662">
        <v>0</v>
      </c>
      <c r="BK74" s="662">
        <v>150</v>
      </c>
      <c r="BL74" s="662">
        <v>0</v>
      </c>
      <c r="BM74" s="662">
        <v>220</v>
      </c>
      <c r="BN74" s="662">
        <v>0</v>
      </c>
      <c r="BO74" s="662">
        <v>880</v>
      </c>
      <c r="BP74" s="662">
        <v>0</v>
      </c>
      <c r="BQ74" s="662">
        <v>0</v>
      </c>
      <c r="BR74" s="662">
        <v>875</v>
      </c>
      <c r="BS74" s="662">
        <v>0</v>
      </c>
      <c r="BT74" s="662">
        <v>0</v>
      </c>
      <c r="BU74" s="662">
        <v>0</v>
      </c>
      <c r="BV74" s="662">
        <v>0</v>
      </c>
      <c r="BW74" s="662">
        <v>0</v>
      </c>
      <c r="BX74" s="662">
        <v>0</v>
      </c>
      <c r="BY74" s="662">
        <v>0</v>
      </c>
      <c r="BZ74" s="662">
        <v>0</v>
      </c>
      <c r="CA74" s="662">
        <v>0</v>
      </c>
      <c r="CB74" s="662">
        <v>0</v>
      </c>
      <c r="CC74" s="662">
        <v>0</v>
      </c>
      <c r="CD74" s="662">
        <v>0</v>
      </c>
      <c r="CE74" s="662">
        <v>0</v>
      </c>
      <c r="CF74" s="662">
        <v>0</v>
      </c>
      <c r="CG74" s="662">
        <v>0</v>
      </c>
      <c r="CH74" s="662">
        <v>4300</v>
      </c>
      <c r="CI74" s="662">
        <v>0</v>
      </c>
      <c r="CJ74" s="662">
        <v>5050</v>
      </c>
      <c r="CK74" s="662">
        <v>0</v>
      </c>
      <c r="CL74" s="662">
        <v>0</v>
      </c>
      <c r="CM74" s="662">
        <v>4700</v>
      </c>
      <c r="CN74" s="662">
        <v>0</v>
      </c>
      <c r="CO74" s="662">
        <v>0</v>
      </c>
      <c r="CP74" s="662">
        <v>0</v>
      </c>
      <c r="CQ74" s="662">
        <v>0</v>
      </c>
      <c r="CR74" s="662">
        <v>0</v>
      </c>
      <c r="CS74" s="662">
        <v>0</v>
      </c>
      <c r="CT74" s="662">
        <v>0</v>
      </c>
      <c r="CU74" s="662">
        <v>0</v>
      </c>
      <c r="CV74" s="662">
        <v>0</v>
      </c>
      <c r="CW74" s="662">
        <v>0</v>
      </c>
      <c r="CX74" s="662">
        <v>0</v>
      </c>
      <c r="CY74" s="662">
        <v>0</v>
      </c>
      <c r="CZ74" s="662">
        <v>0</v>
      </c>
      <c r="DA74" s="662">
        <v>0</v>
      </c>
      <c r="DB74" s="662">
        <v>0</v>
      </c>
      <c r="DC74" s="662">
        <v>7100</v>
      </c>
      <c r="DD74" s="662">
        <v>0</v>
      </c>
      <c r="DE74" s="662">
        <v>17100</v>
      </c>
      <c r="DF74" s="662">
        <v>0</v>
      </c>
      <c r="DG74" s="662">
        <v>0</v>
      </c>
      <c r="DH74" s="662">
        <v>16800</v>
      </c>
      <c r="DI74" s="662">
        <v>0</v>
      </c>
      <c r="DJ74" s="662">
        <v>0</v>
      </c>
      <c r="DK74" s="662">
        <v>0</v>
      </c>
      <c r="DL74" s="662">
        <v>0</v>
      </c>
      <c r="DM74" s="662">
        <v>0</v>
      </c>
      <c r="DN74" s="662">
        <v>0</v>
      </c>
      <c r="DO74" s="662">
        <v>0</v>
      </c>
      <c r="DP74" s="662">
        <v>0</v>
      </c>
      <c r="DQ74" s="662">
        <v>0</v>
      </c>
      <c r="DR74" s="662">
        <v>0</v>
      </c>
      <c r="DS74" s="662">
        <v>0</v>
      </c>
      <c r="DT74" s="662">
        <v>0</v>
      </c>
      <c r="DU74" s="662">
        <v>0</v>
      </c>
      <c r="DV74" s="662">
        <v>0</v>
      </c>
      <c r="DW74" s="662">
        <v>0</v>
      </c>
      <c r="DX74" s="662">
        <v>0</v>
      </c>
      <c r="DY74" s="662">
        <v>0</v>
      </c>
      <c r="DZ74" s="662">
        <v>0</v>
      </c>
      <c r="EA74" s="662">
        <v>0</v>
      </c>
      <c r="EB74" s="662">
        <v>0</v>
      </c>
      <c r="EC74" s="662">
        <v>0</v>
      </c>
      <c r="ED74" s="662">
        <v>0</v>
      </c>
      <c r="EE74" s="662">
        <v>0</v>
      </c>
      <c r="EF74" s="662">
        <v>0</v>
      </c>
      <c r="EG74" s="662">
        <v>0</v>
      </c>
      <c r="EH74" s="662">
        <v>0</v>
      </c>
      <c r="EI74" s="662">
        <v>0</v>
      </c>
      <c r="EJ74" s="662">
        <v>0</v>
      </c>
      <c r="EK74" s="662">
        <v>0</v>
      </c>
      <c r="EL74" s="662">
        <v>0</v>
      </c>
      <c r="EM74" s="662">
        <v>0</v>
      </c>
      <c r="EN74" s="662">
        <v>0</v>
      </c>
      <c r="EO74" s="662">
        <v>0</v>
      </c>
      <c r="EP74" s="662">
        <v>0</v>
      </c>
      <c r="EQ74" s="662">
        <v>0</v>
      </c>
    </row>
    <row r="75" spans="1:147" ht="13.95" customHeight="1" x14ac:dyDescent="0.3">
      <c r="A75" s="687" t="s">
        <v>1731</v>
      </c>
      <c r="B75" s="688" t="s">
        <v>269</v>
      </c>
      <c r="C75" s="662">
        <v>0</v>
      </c>
      <c r="D75" s="662">
        <v>0</v>
      </c>
      <c r="E75" s="662">
        <v>0</v>
      </c>
      <c r="F75" s="662">
        <v>0</v>
      </c>
      <c r="G75" s="662">
        <v>0</v>
      </c>
      <c r="H75" s="662">
        <v>0</v>
      </c>
      <c r="I75" s="662">
        <v>0</v>
      </c>
      <c r="J75" s="802">
        <v>0</v>
      </c>
      <c r="K75" s="662">
        <v>0</v>
      </c>
      <c r="L75" s="662">
        <v>0</v>
      </c>
      <c r="M75" s="662">
        <v>0</v>
      </c>
      <c r="N75" s="662">
        <v>0</v>
      </c>
      <c r="O75" s="662">
        <v>0</v>
      </c>
      <c r="P75" s="662">
        <v>0</v>
      </c>
      <c r="Q75" s="802">
        <v>0</v>
      </c>
      <c r="R75" s="662">
        <v>0</v>
      </c>
      <c r="S75" s="662">
        <v>0</v>
      </c>
      <c r="T75" s="662">
        <v>0</v>
      </c>
      <c r="U75" s="662">
        <v>0</v>
      </c>
      <c r="V75" s="662">
        <v>0</v>
      </c>
      <c r="W75" s="802">
        <v>0</v>
      </c>
      <c r="X75" s="662">
        <v>0</v>
      </c>
      <c r="Y75" s="662">
        <v>0</v>
      </c>
      <c r="Z75" s="662">
        <v>0</v>
      </c>
      <c r="AA75" s="662">
        <v>0</v>
      </c>
      <c r="AB75" s="662">
        <v>0</v>
      </c>
      <c r="AC75" s="662">
        <v>0</v>
      </c>
      <c r="AD75" s="802">
        <v>0</v>
      </c>
      <c r="AE75" s="662">
        <v>0</v>
      </c>
      <c r="AF75" s="662">
        <v>0</v>
      </c>
      <c r="AG75" s="662">
        <v>0</v>
      </c>
      <c r="AH75" s="662">
        <v>0</v>
      </c>
      <c r="AI75" s="662">
        <v>0</v>
      </c>
      <c r="AJ75" s="662">
        <v>0</v>
      </c>
      <c r="AK75" s="802">
        <v>0</v>
      </c>
      <c r="AL75" s="662">
        <v>0</v>
      </c>
      <c r="AM75" s="662">
        <v>0</v>
      </c>
      <c r="AN75" s="662">
        <v>0</v>
      </c>
      <c r="AO75" s="662">
        <v>0</v>
      </c>
      <c r="AP75" s="662">
        <v>0</v>
      </c>
      <c r="AQ75" s="802">
        <v>0</v>
      </c>
      <c r="AR75" s="662">
        <v>0</v>
      </c>
      <c r="AS75" s="662">
        <v>0</v>
      </c>
      <c r="AT75" s="662">
        <v>0</v>
      </c>
      <c r="AU75" s="662">
        <v>0</v>
      </c>
      <c r="AV75" s="662">
        <v>0</v>
      </c>
      <c r="AW75" s="662">
        <v>0</v>
      </c>
      <c r="AX75" s="662">
        <v>0</v>
      </c>
      <c r="AY75" s="662">
        <v>0</v>
      </c>
      <c r="AZ75" s="662">
        <v>0</v>
      </c>
      <c r="BA75" s="662">
        <v>0</v>
      </c>
      <c r="BB75" s="662">
        <v>0</v>
      </c>
      <c r="BC75" s="662">
        <v>0</v>
      </c>
      <c r="BD75" s="662">
        <v>0</v>
      </c>
      <c r="BE75" s="802">
        <v>0</v>
      </c>
      <c r="BF75" s="662">
        <v>0</v>
      </c>
      <c r="BG75" s="662">
        <v>0</v>
      </c>
      <c r="BH75" s="662">
        <v>0</v>
      </c>
      <c r="BI75" s="662">
        <v>0</v>
      </c>
      <c r="BJ75" s="662">
        <v>0</v>
      </c>
      <c r="BK75" s="662">
        <v>0</v>
      </c>
      <c r="BL75" s="662">
        <v>0</v>
      </c>
      <c r="BM75" s="662">
        <v>0</v>
      </c>
      <c r="BN75" s="662">
        <v>0</v>
      </c>
      <c r="BO75" s="662">
        <v>0</v>
      </c>
      <c r="BP75" s="662">
        <v>0</v>
      </c>
      <c r="BQ75" s="662">
        <v>0</v>
      </c>
      <c r="BR75" s="662">
        <v>0</v>
      </c>
      <c r="BS75" s="662">
        <v>0</v>
      </c>
      <c r="BT75" s="662">
        <v>0</v>
      </c>
      <c r="BU75" s="662">
        <v>0</v>
      </c>
      <c r="BV75" s="662">
        <v>0</v>
      </c>
      <c r="BW75" s="662">
        <v>0</v>
      </c>
      <c r="BX75" s="662">
        <v>0</v>
      </c>
      <c r="BY75" s="662">
        <v>0</v>
      </c>
      <c r="BZ75" s="662">
        <v>0</v>
      </c>
      <c r="CA75" s="662">
        <v>0</v>
      </c>
      <c r="CB75" s="662">
        <v>0</v>
      </c>
      <c r="CC75" s="662">
        <v>0</v>
      </c>
      <c r="CD75" s="662">
        <v>0</v>
      </c>
      <c r="CE75" s="662">
        <v>0</v>
      </c>
      <c r="CF75" s="662">
        <v>0</v>
      </c>
      <c r="CG75" s="662">
        <v>0</v>
      </c>
      <c r="CH75" s="662">
        <v>0</v>
      </c>
      <c r="CI75" s="662">
        <v>0</v>
      </c>
      <c r="CJ75" s="662">
        <v>0</v>
      </c>
      <c r="CK75" s="662">
        <v>0</v>
      </c>
      <c r="CL75" s="662">
        <v>0</v>
      </c>
      <c r="CM75" s="662">
        <v>0</v>
      </c>
      <c r="CN75" s="662">
        <v>0</v>
      </c>
      <c r="CO75" s="662">
        <v>0</v>
      </c>
      <c r="CP75" s="662">
        <v>0</v>
      </c>
      <c r="CQ75" s="662">
        <v>0</v>
      </c>
      <c r="CR75" s="662">
        <v>0</v>
      </c>
      <c r="CS75" s="662">
        <v>0</v>
      </c>
      <c r="CT75" s="662">
        <v>0</v>
      </c>
      <c r="CU75" s="662">
        <v>0</v>
      </c>
      <c r="CV75" s="662">
        <v>0</v>
      </c>
      <c r="CW75" s="662">
        <v>0</v>
      </c>
      <c r="CX75" s="662">
        <v>0</v>
      </c>
      <c r="CY75" s="662">
        <v>0</v>
      </c>
      <c r="CZ75" s="662">
        <v>0</v>
      </c>
      <c r="DA75" s="662">
        <v>0</v>
      </c>
      <c r="DB75" s="662">
        <v>0</v>
      </c>
      <c r="DC75" s="662">
        <v>0</v>
      </c>
      <c r="DD75" s="662">
        <v>0</v>
      </c>
      <c r="DE75" s="662">
        <v>0</v>
      </c>
      <c r="DF75" s="662">
        <v>0</v>
      </c>
      <c r="DG75" s="662">
        <v>0</v>
      </c>
      <c r="DH75" s="662">
        <v>0</v>
      </c>
      <c r="DI75" s="662">
        <v>0</v>
      </c>
      <c r="DJ75" s="662">
        <v>0</v>
      </c>
      <c r="DK75" s="662">
        <v>0</v>
      </c>
      <c r="DL75" s="662">
        <v>0</v>
      </c>
      <c r="DM75" s="662">
        <v>0</v>
      </c>
      <c r="DN75" s="662">
        <v>0</v>
      </c>
      <c r="DO75" s="662">
        <v>0</v>
      </c>
      <c r="DP75" s="662">
        <v>0</v>
      </c>
      <c r="DQ75" s="662">
        <v>0</v>
      </c>
      <c r="DR75" s="662">
        <v>0</v>
      </c>
      <c r="DS75" s="662">
        <v>0</v>
      </c>
      <c r="DT75" s="662">
        <v>0</v>
      </c>
      <c r="DU75" s="662">
        <v>0</v>
      </c>
      <c r="DV75" s="662">
        <v>0</v>
      </c>
      <c r="DW75" s="662">
        <v>0</v>
      </c>
      <c r="DX75" s="662">
        <v>0</v>
      </c>
      <c r="DY75" s="662">
        <v>0</v>
      </c>
      <c r="DZ75" s="662">
        <v>0</v>
      </c>
      <c r="EA75" s="662">
        <v>0</v>
      </c>
      <c r="EB75" s="662">
        <v>0</v>
      </c>
      <c r="EC75" s="662">
        <v>0</v>
      </c>
      <c r="ED75" s="662">
        <v>0</v>
      </c>
      <c r="EE75" s="662">
        <v>0</v>
      </c>
      <c r="EF75" s="662">
        <v>0</v>
      </c>
      <c r="EG75" s="662">
        <v>0</v>
      </c>
      <c r="EH75" s="662">
        <v>0</v>
      </c>
      <c r="EI75" s="662">
        <v>0</v>
      </c>
      <c r="EJ75" s="662">
        <v>0</v>
      </c>
      <c r="EK75" s="662">
        <v>0</v>
      </c>
      <c r="EL75" s="662">
        <v>0</v>
      </c>
      <c r="EM75" s="662">
        <v>0</v>
      </c>
      <c r="EN75" s="662">
        <v>0</v>
      </c>
      <c r="EO75" s="662">
        <v>0</v>
      </c>
      <c r="EP75" s="662">
        <v>0</v>
      </c>
      <c r="EQ75" s="662">
        <v>0</v>
      </c>
    </row>
    <row r="76" spans="1:147" ht="13.95" customHeight="1" x14ac:dyDescent="0.3">
      <c r="A76" s="660" t="s">
        <v>1732</v>
      </c>
      <c r="B76" s="661" t="s">
        <v>269</v>
      </c>
      <c r="C76" s="662">
        <f t="shared" ref="C76:BN76" si="53">C77</f>
        <v>2473113</v>
      </c>
      <c r="D76" s="662">
        <f t="shared" si="53"/>
        <v>0</v>
      </c>
      <c r="E76" s="662">
        <f t="shared" si="53"/>
        <v>2459150</v>
      </c>
      <c r="F76" s="662">
        <f t="shared" si="53"/>
        <v>0</v>
      </c>
      <c r="G76" s="662">
        <f t="shared" si="53"/>
        <v>590346</v>
      </c>
      <c r="H76" s="662">
        <f t="shared" si="53"/>
        <v>0</v>
      </c>
      <c r="I76" s="662">
        <f t="shared" si="53"/>
        <v>0</v>
      </c>
      <c r="J76" s="802">
        <f t="shared" si="53"/>
        <v>163511</v>
      </c>
      <c r="K76" s="662">
        <f t="shared" si="53"/>
        <v>0</v>
      </c>
      <c r="L76" s="662">
        <f t="shared" si="53"/>
        <v>163511</v>
      </c>
      <c r="M76" s="662">
        <f t="shared" si="53"/>
        <v>0</v>
      </c>
      <c r="N76" s="662">
        <f t="shared" si="53"/>
        <v>27874</v>
      </c>
      <c r="O76" s="662">
        <f t="shared" si="53"/>
        <v>0</v>
      </c>
      <c r="P76" s="662">
        <f t="shared" si="53"/>
        <v>0</v>
      </c>
      <c r="Q76" s="802">
        <f t="shared" si="53"/>
        <v>0</v>
      </c>
      <c r="R76" s="662">
        <f t="shared" si="53"/>
        <v>0</v>
      </c>
      <c r="S76" s="662">
        <f t="shared" si="53"/>
        <v>0</v>
      </c>
      <c r="T76" s="662">
        <f t="shared" si="53"/>
        <v>0</v>
      </c>
      <c r="U76" s="662">
        <f t="shared" si="53"/>
        <v>0</v>
      </c>
      <c r="V76" s="662">
        <f t="shared" si="53"/>
        <v>0</v>
      </c>
      <c r="W76" s="802">
        <f t="shared" si="53"/>
        <v>977</v>
      </c>
      <c r="X76" s="662">
        <f t="shared" si="53"/>
        <v>0</v>
      </c>
      <c r="Y76" s="662">
        <f t="shared" si="53"/>
        <v>977</v>
      </c>
      <c r="Z76" s="662">
        <f t="shared" si="53"/>
        <v>0</v>
      </c>
      <c r="AA76" s="662">
        <f t="shared" si="53"/>
        <v>128</v>
      </c>
      <c r="AB76" s="662">
        <f t="shared" si="53"/>
        <v>0</v>
      </c>
      <c r="AC76" s="662">
        <f t="shared" si="53"/>
        <v>0</v>
      </c>
      <c r="AD76" s="802">
        <f t="shared" si="53"/>
        <v>420367</v>
      </c>
      <c r="AE76" s="662">
        <f t="shared" si="53"/>
        <v>0</v>
      </c>
      <c r="AF76" s="662">
        <f t="shared" si="53"/>
        <v>420367</v>
      </c>
      <c r="AG76" s="662">
        <f t="shared" si="53"/>
        <v>0</v>
      </c>
      <c r="AH76" s="662">
        <f t="shared" si="53"/>
        <v>183483</v>
      </c>
      <c r="AI76" s="662">
        <f t="shared" si="53"/>
        <v>0</v>
      </c>
      <c r="AJ76" s="662">
        <f t="shared" si="53"/>
        <v>0</v>
      </c>
      <c r="AK76" s="802">
        <f t="shared" si="53"/>
        <v>4292</v>
      </c>
      <c r="AL76" s="662">
        <f t="shared" si="53"/>
        <v>4292</v>
      </c>
      <c r="AM76" s="662">
        <f t="shared" si="53"/>
        <v>0</v>
      </c>
      <c r="AN76" s="662">
        <f t="shared" si="53"/>
        <v>2473</v>
      </c>
      <c r="AO76" s="662">
        <f t="shared" si="53"/>
        <v>0</v>
      </c>
      <c r="AP76" s="662">
        <f t="shared" si="53"/>
        <v>0</v>
      </c>
      <c r="AQ76" s="802">
        <f t="shared" si="53"/>
        <v>82385</v>
      </c>
      <c r="AR76" s="662">
        <f t="shared" si="53"/>
        <v>0</v>
      </c>
      <c r="AS76" s="662">
        <f t="shared" si="53"/>
        <v>82385</v>
      </c>
      <c r="AT76" s="662">
        <f t="shared" si="53"/>
        <v>0</v>
      </c>
      <c r="AU76" s="662">
        <f t="shared" si="53"/>
        <v>25385</v>
      </c>
      <c r="AV76" s="662">
        <f t="shared" si="53"/>
        <v>0</v>
      </c>
      <c r="AW76" s="662">
        <f t="shared" si="53"/>
        <v>0</v>
      </c>
      <c r="AX76" s="662">
        <f t="shared" si="53"/>
        <v>34600</v>
      </c>
      <c r="AY76" s="662">
        <f t="shared" si="53"/>
        <v>0</v>
      </c>
      <c r="AZ76" s="662">
        <f t="shared" si="53"/>
        <v>34421</v>
      </c>
      <c r="BA76" s="662">
        <f t="shared" si="53"/>
        <v>0</v>
      </c>
      <c r="BB76" s="662">
        <f t="shared" si="53"/>
        <v>6516</v>
      </c>
      <c r="BC76" s="662">
        <f t="shared" si="53"/>
        <v>0</v>
      </c>
      <c r="BD76" s="662">
        <f t="shared" si="53"/>
        <v>0</v>
      </c>
      <c r="BE76" s="802">
        <f t="shared" si="53"/>
        <v>338308</v>
      </c>
      <c r="BF76" s="662">
        <f t="shared" si="53"/>
        <v>0</v>
      </c>
      <c r="BG76" s="662">
        <f t="shared" si="53"/>
        <v>338308</v>
      </c>
      <c r="BH76" s="662">
        <f t="shared" si="53"/>
        <v>0</v>
      </c>
      <c r="BI76" s="662">
        <f t="shared" si="53"/>
        <v>142887</v>
      </c>
      <c r="BJ76" s="662">
        <f t="shared" si="53"/>
        <v>0</v>
      </c>
      <c r="BK76" s="662">
        <f t="shared" si="53"/>
        <v>0</v>
      </c>
      <c r="BL76" s="662">
        <f t="shared" si="53"/>
        <v>147633</v>
      </c>
      <c r="BM76" s="662">
        <f t="shared" si="53"/>
        <v>0</v>
      </c>
      <c r="BN76" s="662">
        <f t="shared" si="53"/>
        <v>147558</v>
      </c>
      <c r="BO76" s="662">
        <f t="shared" ref="BO76:DZ76" si="54">BO77</f>
        <v>0</v>
      </c>
      <c r="BP76" s="662">
        <f t="shared" si="54"/>
        <v>35434</v>
      </c>
      <c r="BQ76" s="662">
        <f t="shared" si="54"/>
        <v>0</v>
      </c>
      <c r="BR76" s="662">
        <f t="shared" si="54"/>
        <v>0</v>
      </c>
      <c r="BS76" s="662">
        <f t="shared" si="54"/>
        <v>75450</v>
      </c>
      <c r="BT76" s="662">
        <f t="shared" si="54"/>
        <v>0</v>
      </c>
      <c r="BU76" s="662">
        <f t="shared" si="54"/>
        <v>75450</v>
      </c>
      <c r="BV76" s="662">
        <f t="shared" si="54"/>
        <v>0</v>
      </c>
      <c r="BW76" s="662">
        <f t="shared" si="54"/>
        <v>10799</v>
      </c>
      <c r="BX76" s="662">
        <f t="shared" si="54"/>
        <v>0</v>
      </c>
      <c r="BY76" s="662">
        <f t="shared" si="54"/>
        <v>0</v>
      </c>
      <c r="BZ76" s="662">
        <f t="shared" si="54"/>
        <v>85251</v>
      </c>
      <c r="CA76" s="662">
        <f t="shared" si="54"/>
        <v>0</v>
      </c>
      <c r="CB76" s="662">
        <f t="shared" si="54"/>
        <v>84882</v>
      </c>
      <c r="CC76" s="662">
        <f t="shared" si="54"/>
        <v>0</v>
      </c>
      <c r="CD76" s="662">
        <f t="shared" si="54"/>
        <v>9555</v>
      </c>
      <c r="CE76" s="662">
        <f t="shared" si="54"/>
        <v>0</v>
      </c>
      <c r="CF76" s="662">
        <f t="shared" si="54"/>
        <v>0</v>
      </c>
      <c r="CG76" s="662">
        <f t="shared" si="54"/>
        <v>192868</v>
      </c>
      <c r="CH76" s="662">
        <f t="shared" si="54"/>
        <v>0</v>
      </c>
      <c r="CI76" s="662">
        <f t="shared" si="54"/>
        <v>190673</v>
      </c>
      <c r="CJ76" s="662">
        <f t="shared" si="54"/>
        <v>0</v>
      </c>
      <c r="CK76" s="662">
        <f t="shared" si="54"/>
        <v>32978</v>
      </c>
      <c r="CL76" s="662">
        <f t="shared" si="54"/>
        <v>0</v>
      </c>
      <c r="CM76" s="662">
        <f t="shared" si="54"/>
        <v>0</v>
      </c>
      <c r="CN76" s="662">
        <f t="shared" si="54"/>
        <v>43720</v>
      </c>
      <c r="CO76" s="662">
        <f t="shared" si="54"/>
        <v>0</v>
      </c>
      <c r="CP76" s="662">
        <f t="shared" si="54"/>
        <v>43577</v>
      </c>
      <c r="CQ76" s="662">
        <f t="shared" si="54"/>
        <v>0</v>
      </c>
      <c r="CR76" s="662">
        <f t="shared" si="54"/>
        <v>5971</v>
      </c>
      <c r="CS76" s="662">
        <f t="shared" si="54"/>
        <v>0</v>
      </c>
      <c r="CT76" s="662">
        <f t="shared" si="54"/>
        <v>0</v>
      </c>
      <c r="CU76" s="662">
        <f t="shared" si="54"/>
        <v>21510</v>
      </c>
      <c r="CV76" s="662">
        <f t="shared" si="54"/>
        <v>0</v>
      </c>
      <c r="CW76" s="662">
        <f t="shared" si="54"/>
        <v>21510</v>
      </c>
      <c r="CX76" s="662">
        <f t="shared" si="54"/>
        <v>0</v>
      </c>
      <c r="CY76" s="662">
        <f t="shared" si="54"/>
        <v>2927</v>
      </c>
      <c r="CZ76" s="662">
        <f t="shared" si="54"/>
        <v>0</v>
      </c>
      <c r="DA76" s="662">
        <f t="shared" si="54"/>
        <v>0</v>
      </c>
      <c r="DB76" s="662">
        <f t="shared" si="54"/>
        <v>97966</v>
      </c>
      <c r="DC76" s="662">
        <f t="shared" si="54"/>
        <v>0</v>
      </c>
      <c r="DD76" s="662">
        <f t="shared" si="54"/>
        <v>97166</v>
      </c>
      <c r="DE76" s="662">
        <f t="shared" si="54"/>
        <v>0</v>
      </c>
      <c r="DF76" s="662">
        <f t="shared" si="54"/>
        <v>34044</v>
      </c>
      <c r="DG76" s="662">
        <f t="shared" si="54"/>
        <v>0</v>
      </c>
      <c r="DH76" s="662">
        <f t="shared" si="54"/>
        <v>0</v>
      </c>
      <c r="DI76" s="662">
        <f t="shared" si="54"/>
        <v>244272</v>
      </c>
      <c r="DJ76" s="662">
        <f t="shared" si="54"/>
        <v>0</v>
      </c>
      <c r="DK76" s="662">
        <f t="shared" si="54"/>
        <v>244272</v>
      </c>
      <c r="DL76" s="662">
        <f t="shared" si="54"/>
        <v>0</v>
      </c>
      <c r="DM76" s="662">
        <f t="shared" si="54"/>
        <v>10825</v>
      </c>
      <c r="DN76" s="662">
        <f t="shared" si="54"/>
        <v>0</v>
      </c>
      <c r="DO76" s="662">
        <f t="shared" si="54"/>
        <v>0</v>
      </c>
      <c r="DP76" s="662">
        <f t="shared" si="54"/>
        <v>39594</v>
      </c>
      <c r="DQ76" s="662">
        <f t="shared" si="54"/>
        <v>0</v>
      </c>
      <c r="DR76" s="662">
        <f t="shared" si="54"/>
        <v>39297</v>
      </c>
      <c r="DS76" s="662">
        <f t="shared" si="54"/>
        <v>0</v>
      </c>
      <c r="DT76" s="662">
        <f t="shared" si="54"/>
        <v>4549</v>
      </c>
      <c r="DU76" s="662">
        <f t="shared" si="54"/>
        <v>0</v>
      </c>
      <c r="DV76" s="662">
        <f t="shared" si="54"/>
        <v>0</v>
      </c>
      <c r="DW76" s="662">
        <f t="shared" si="54"/>
        <v>31644</v>
      </c>
      <c r="DX76" s="662">
        <f t="shared" si="54"/>
        <v>0</v>
      </c>
      <c r="DY76" s="662">
        <f t="shared" si="54"/>
        <v>31600</v>
      </c>
      <c r="DZ76" s="662">
        <f t="shared" si="54"/>
        <v>0</v>
      </c>
      <c r="EA76" s="662">
        <f t="shared" ref="EA76:EQ76" si="55">EA77</f>
        <v>5104</v>
      </c>
      <c r="EB76" s="662">
        <f t="shared" si="55"/>
        <v>0</v>
      </c>
      <c r="EC76" s="662">
        <f t="shared" si="55"/>
        <v>0</v>
      </c>
      <c r="ED76" s="662">
        <f t="shared" si="55"/>
        <v>214574</v>
      </c>
      <c r="EE76" s="662">
        <f t="shared" si="55"/>
        <v>0</v>
      </c>
      <c r="EF76" s="662">
        <f t="shared" si="55"/>
        <v>204873</v>
      </c>
      <c r="EG76" s="662">
        <f t="shared" si="55"/>
        <v>0</v>
      </c>
      <c r="EH76" s="662">
        <f t="shared" si="55"/>
        <v>12060</v>
      </c>
      <c r="EI76" s="662">
        <f t="shared" si="55"/>
        <v>0</v>
      </c>
      <c r="EJ76" s="662">
        <f t="shared" si="55"/>
        <v>0</v>
      </c>
      <c r="EK76" s="662">
        <f t="shared" si="55"/>
        <v>234191</v>
      </c>
      <c r="EL76" s="662">
        <f t="shared" si="55"/>
        <v>0</v>
      </c>
      <c r="EM76" s="662">
        <f t="shared" si="55"/>
        <v>234031</v>
      </c>
      <c r="EN76" s="662">
        <f t="shared" si="55"/>
        <v>0</v>
      </c>
      <c r="EO76" s="662">
        <f t="shared" si="55"/>
        <v>37354</v>
      </c>
      <c r="EP76" s="662">
        <f t="shared" si="55"/>
        <v>0</v>
      </c>
      <c r="EQ76" s="662">
        <f t="shared" si="55"/>
        <v>0</v>
      </c>
    </row>
    <row r="77" spans="1:147" ht="20.7" customHeight="1" x14ac:dyDescent="0.3">
      <c r="A77" s="660" t="s">
        <v>1733</v>
      </c>
      <c r="B77" s="661" t="s">
        <v>269</v>
      </c>
      <c r="C77" s="662">
        <f t="shared" ref="C77:BN77" si="56">C79+C80+C81+C82+C83+C84+C85+C86+C87+C88+C89+C90+C91</f>
        <v>2473113</v>
      </c>
      <c r="D77" s="662">
        <f t="shared" si="56"/>
        <v>0</v>
      </c>
      <c r="E77" s="662">
        <f t="shared" si="56"/>
        <v>2459150</v>
      </c>
      <c r="F77" s="662">
        <f t="shared" si="56"/>
        <v>0</v>
      </c>
      <c r="G77" s="662">
        <f t="shared" si="56"/>
        <v>590346</v>
      </c>
      <c r="H77" s="662">
        <f t="shared" si="56"/>
        <v>0</v>
      </c>
      <c r="I77" s="662">
        <f t="shared" si="56"/>
        <v>0</v>
      </c>
      <c r="J77" s="802">
        <f t="shared" si="56"/>
        <v>163511</v>
      </c>
      <c r="K77" s="662">
        <f t="shared" si="56"/>
        <v>0</v>
      </c>
      <c r="L77" s="662">
        <f t="shared" si="56"/>
        <v>163511</v>
      </c>
      <c r="M77" s="662">
        <f t="shared" si="56"/>
        <v>0</v>
      </c>
      <c r="N77" s="662">
        <f t="shared" si="56"/>
        <v>27874</v>
      </c>
      <c r="O77" s="662">
        <f t="shared" si="56"/>
        <v>0</v>
      </c>
      <c r="P77" s="662">
        <f t="shared" si="56"/>
        <v>0</v>
      </c>
      <c r="Q77" s="802">
        <f t="shared" si="56"/>
        <v>0</v>
      </c>
      <c r="R77" s="662">
        <f t="shared" si="56"/>
        <v>0</v>
      </c>
      <c r="S77" s="662">
        <f t="shared" si="56"/>
        <v>0</v>
      </c>
      <c r="T77" s="662">
        <f t="shared" si="56"/>
        <v>0</v>
      </c>
      <c r="U77" s="662">
        <f t="shared" si="56"/>
        <v>0</v>
      </c>
      <c r="V77" s="662">
        <f t="shared" si="56"/>
        <v>0</v>
      </c>
      <c r="W77" s="802">
        <f t="shared" si="56"/>
        <v>977</v>
      </c>
      <c r="X77" s="662">
        <f t="shared" si="56"/>
        <v>0</v>
      </c>
      <c r="Y77" s="662">
        <f t="shared" si="56"/>
        <v>977</v>
      </c>
      <c r="Z77" s="662">
        <f t="shared" si="56"/>
        <v>0</v>
      </c>
      <c r="AA77" s="662">
        <f t="shared" si="56"/>
        <v>128</v>
      </c>
      <c r="AB77" s="662">
        <f t="shared" si="56"/>
        <v>0</v>
      </c>
      <c r="AC77" s="662">
        <f t="shared" si="56"/>
        <v>0</v>
      </c>
      <c r="AD77" s="802">
        <f t="shared" si="56"/>
        <v>420367</v>
      </c>
      <c r="AE77" s="662">
        <f t="shared" si="56"/>
        <v>0</v>
      </c>
      <c r="AF77" s="662">
        <f t="shared" si="56"/>
        <v>420367</v>
      </c>
      <c r="AG77" s="662">
        <f t="shared" si="56"/>
        <v>0</v>
      </c>
      <c r="AH77" s="662">
        <f t="shared" si="56"/>
        <v>183483</v>
      </c>
      <c r="AI77" s="662">
        <f t="shared" si="56"/>
        <v>0</v>
      </c>
      <c r="AJ77" s="662">
        <f t="shared" si="56"/>
        <v>0</v>
      </c>
      <c r="AK77" s="802">
        <f t="shared" si="56"/>
        <v>4292</v>
      </c>
      <c r="AL77" s="662">
        <f t="shared" si="56"/>
        <v>4292</v>
      </c>
      <c r="AM77" s="662">
        <f t="shared" si="56"/>
        <v>0</v>
      </c>
      <c r="AN77" s="662">
        <f t="shared" si="56"/>
        <v>2473</v>
      </c>
      <c r="AO77" s="662">
        <f t="shared" si="56"/>
        <v>0</v>
      </c>
      <c r="AP77" s="662">
        <f t="shared" si="56"/>
        <v>0</v>
      </c>
      <c r="AQ77" s="802">
        <f t="shared" si="56"/>
        <v>82385</v>
      </c>
      <c r="AR77" s="662">
        <f t="shared" si="56"/>
        <v>0</v>
      </c>
      <c r="AS77" s="662">
        <f t="shared" si="56"/>
        <v>82385</v>
      </c>
      <c r="AT77" s="662">
        <f t="shared" si="56"/>
        <v>0</v>
      </c>
      <c r="AU77" s="662">
        <f t="shared" si="56"/>
        <v>25385</v>
      </c>
      <c r="AV77" s="662">
        <f t="shared" si="56"/>
        <v>0</v>
      </c>
      <c r="AW77" s="662">
        <f t="shared" si="56"/>
        <v>0</v>
      </c>
      <c r="AX77" s="662">
        <f t="shared" si="56"/>
        <v>34600</v>
      </c>
      <c r="AY77" s="662">
        <f t="shared" si="56"/>
        <v>0</v>
      </c>
      <c r="AZ77" s="662">
        <f t="shared" si="56"/>
        <v>34421</v>
      </c>
      <c r="BA77" s="662">
        <f t="shared" si="56"/>
        <v>0</v>
      </c>
      <c r="BB77" s="662">
        <f t="shared" si="56"/>
        <v>6516</v>
      </c>
      <c r="BC77" s="662">
        <f t="shared" si="56"/>
        <v>0</v>
      </c>
      <c r="BD77" s="662">
        <f t="shared" si="56"/>
        <v>0</v>
      </c>
      <c r="BE77" s="802">
        <f t="shared" si="56"/>
        <v>338308</v>
      </c>
      <c r="BF77" s="662">
        <f t="shared" si="56"/>
        <v>0</v>
      </c>
      <c r="BG77" s="662">
        <f t="shared" si="56"/>
        <v>338308</v>
      </c>
      <c r="BH77" s="662">
        <f t="shared" si="56"/>
        <v>0</v>
      </c>
      <c r="BI77" s="662">
        <f t="shared" si="56"/>
        <v>142887</v>
      </c>
      <c r="BJ77" s="662">
        <f t="shared" si="56"/>
        <v>0</v>
      </c>
      <c r="BK77" s="662">
        <f t="shared" si="56"/>
        <v>0</v>
      </c>
      <c r="BL77" s="662">
        <f t="shared" si="56"/>
        <v>147633</v>
      </c>
      <c r="BM77" s="662">
        <f t="shared" si="56"/>
        <v>0</v>
      </c>
      <c r="BN77" s="662">
        <f t="shared" si="56"/>
        <v>147558</v>
      </c>
      <c r="BO77" s="662">
        <f t="shared" ref="BO77:DZ77" si="57">BO79+BO80+BO81+BO82+BO83+BO84+BO85+BO86+BO87+BO88+BO89+BO90+BO91</f>
        <v>0</v>
      </c>
      <c r="BP77" s="662">
        <f t="shared" si="57"/>
        <v>35434</v>
      </c>
      <c r="BQ77" s="662">
        <f t="shared" si="57"/>
        <v>0</v>
      </c>
      <c r="BR77" s="662">
        <f t="shared" si="57"/>
        <v>0</v>
      </c>
      <c r="BS77" s="662">
        <f t="shared" si="57"/>
        <v>75450</v>
      </c>
      <c r="BT77" s="662">
        <f t="shared" si="57"/>
        <v>0</v>
      </c>
      <c r="BU77" s="662">
        <f t="shared" si="57"/>
        <v>75450</v>
      </c>
      <c r="BV77" s="662">
        <f t="shared" si="57"/>
        <v>0</v>
      </c>
      <c r="BW77" s="662">
        <f t="shared" si="57"/>
        <v>10799</v>
      </c>
      <c r="BX77" s="662">
        <f t="shared" si="57"/>
        <v>0</v>
      </c>
      <c r="BY77" s="662">
        <f t="shared" si="57"/>
        <v>0</v>
      </c>
      <c r="BZ77" s="662">
        <f t="shared" si="57"/>
        <v>85251</v>
      </c>
      <c r="CA77" s="662">
        <f t="shared" si="57"/>
        <v>0</v>
      </c>
      <c r="CB77" s="662">
        <f t="shared" si="57"/>
        <v>84882</v>
      </c>
      <c r="CC77" s="662">
        <f t="shared" si="57"/>
        <v>0</v>
      </c>
      <c r="CD77" s="662">
        <f t="shared" si="57"/>
        <v>9555</v>
      </c>
      <c r="CE77" s="662">
        <f t="shared" si="57"/>
        <v>0</v>
      </c>
      <c r="CF77" s="662">
        <f t="shared" si="57"/>
        <v>0</v>
      </c>
      <c r="CG77" s="662">
        <f t="shared" si="57"/>
        <v>192868</v>
      </c>
      <c r="CH77" s="662">
        <f t="shared" si="57"/>
        <v>0</v>
      </c>
      <c r="CI77" s="662">
        <f t="shared" si="57"/>
        <v>190673</v>
      </c>
      <c r="CJ77" s="662">
        <f t="shared" si="57"/>
        <v>0</v>
      </c>
      <c r="CK77" s="662">
        <f t="shared" si="57"/>
        <v>32978</v>
      </c>
      <c r="CL77" s="662">
        <f t="shared" si="57"/>
        <v>0</v>
      </c>
      <c r="CM77" s="662">
        <f t="shared" si="57"/>
        <v>0</v>
      </c>
      <c r="CN77" s="662">
        <f t="shared" si="57"/>
        <v>43720</v>
      </c>
      <c r="CO77" s="662">
        <f t="shared" si="57"/>
        <v>0</v>
      </c>
      <c r="CP77" s="662">
        <f t="shared" si="57"/>
        <v>43577</v>
      </c>
      <c r="CQ77" s="662">
        <f t="shared" si="57"/>
        <v>0</v>
      </c>
      <c r="CR77" s="662">
        <f t="shared" si="57"/>
        <v>5971</v>
      </c>
      <c r="CS77" s="662">
        <f t="shared" si="57"/>
        <v>0</v>
      </c>
      <c r="CT77" s="662">
        <f t="shared" si="57"/>
        <v>0</v>
      </c>
      <c r="CU77" s="662">
        <f t="shared" si="57"/>
        <v>21510</v>
      </c>
      <c r="CV77" s="662">
        <f t="shared" si="57"/>
        <v>0</v>
      </c>
      <c r="CW77" s="662">
        <f t="shared" si="57"/>
        <v>21510</v>
      </c>
      <c r="CX77" s="662">
        <f t="shared" si="57"/>
        <v>0</v>
      </c>
      <c r="CY77" s="662">
        <f t="shared" si="57"/>
        <v>2927</v>
      </c>
      <c r="CZ77" s="662">
        <f t="shared" si="57"/>
        <v>0</v>
      </c>
      <c r="DA77" s="662">
        <f t="shared" si="57"/>
        <v>0</v>
      </c>
      <c r="DB77" s="662">
        <f t="shared" si="57"/>
        <v>97966</v>
      </c>
      <c r="DC77" s="662">
        <f t="shared" si="57"/>
        <v>0</v>
      </c>
      <c r="DD77" s="662">
        <f t="shared" si="57"/>
        <v>97166</v>
      </c>
      <c r="DE77" s="662">
        <f t="shared" si="57"/>
        <v>0</v>
      </c>
      <c r="DF77" s="662">
        <f t="shared" si="57"/>
        <v>34044</v>
      </c>
      <c r="DG77" s="662">
        <f t="shared" si="57"/>
        <v>0</v>
      </c>
      <c r="DH77" s="662">
        <f t="shared" si="57"/>
        <v>0</v>
      </c>
      <c r="DI77" s="662">
        <f t="shared" si="57"/>
        <v>244272</v>
      </c>
      <c r="DJ77" s="662">
        <f t="shared" si="57"/>
        <v>0</v>
      </c>
      <c r="DK77" s="662">
        <f t="shared" si="57"/>
        <v>244272</v>
      </c>
      <c r="DL77" s="662">
        <f t="shared" si="57"/>
        <v>0</v>
      </c>
      <c r="DM77" s="662">
        <f t="shared" si="57"/>
        <v>10825</v>
      </c>
      <c r="DN77" s="662">
        <f t="shared" si="57"/>
        <v>0</v>
      </c>
      <c r="DO77" s="662">
        <f t="shared" si="57"/>
        <v>0</v>
      </c>
      <c r="DP77" s="662">
        <f t="shared" si="57"/>
        <v>39594</v>
      </c>
      <c r="DQ77" s="662">
        <f t="shared" si="57"/>
        <v>0</v>
      </c>
      <c r="DR77" s="662">
        <f t="shared" si="57"/>
        <v>39297</v>
      </c>
      <c r="DS77" s="662">
        <f t="shared" si="57"/>
        <v>0</v>
      </c>
      <c r="DT77" s="662">
        <f t="shared" si="57"/>
        <v>4549</v>
      </c>
      <c r="DU77" s="662">
        <f t="shared" si="57"/>
        <v>0</v>
      </c>
      <c r="DV77" s="662">
        <f t="shared" si="57"/>
        <v>0</v>
      </c>
      <c r="DW77" s="662">
        <f t="shared" si="57"/>
        <v>31644</v>
      </c>
      <c r="DX77" s="662">
        <f t="shared" si="57"/>
        <v>0</v>
      </c>
      <c r="DY77" s="662">
        <f t="shared" si="57"/>
        <v>31600</v>
      </c>
      <c r="DZ77" s="662">
        <f t="shared" si="57"/>
        <v>0</v>
      </c>
      <c r="EA77" s="662">
        <f t="shared" ref="EA77:EQ77" si="58">EA79+EA80+EA81+EA82+EA83+EA84+EA85+EA86+EA87+EA88+EA89+EA90+EA91</f>
        <v>5104</v>
      </c>
      <c r="EB77" s="662">
        <f t="shared" si="58"/>
        <v>0</v>
      </c>
      <c r="EC77" s="662">
        <f t="shared" si="58"/>
        <v>0</v>
      </c>
      <c r="ED77" s="662">
        <f t="shared" si="58"/>
        <v>214574</v>
      </c>
      <c r="EE77" s="662">
        <f t="shared" si="58"/>
        <v>0</v>
      </c>
      <c r="EF77" s="662">
        <f t="shared" si="58"/>
        <v>204873</v>
      </c>
      <c r="EG77" s="662">
        <f t="shared" si="58"/>
        <v>0</v>
      </c>
      <c r="EH77" s="662">
        <f t="shared" si="58"/>
        <v>12060</v>
      </c>
      <c r="EI77" s="662">
        <f t="shared" si="58"/>
        <v>0</v>
      </c>
      <c r="EJ77" s="662">
        <f t="shared" si="58"/>
        <v>0</v>
      </c>
      <c r="EK77" s="662">
        <f t="shared" si="58"/>
        <v>234191</v>
      </c>
      <c r="EL77" s="662">
        <f t="shared" si="58"/>
        <v>0</v>
      </c>
      <c r="EM77" s="662">
        <f t="shared" si="58"/>
        <v>234031</v>
      </c>
      <c r="EN77" s="662">
        <f t="shared" si="58"/>
        <v>0</v>
      </c>
      <c r="EO77" s="662">
        <f t="shared" si="58"/>
        <v>37354</v>
      </c>
      <c r="EP77" s="662">
        <f t="shared" si="58"/>
        <v>0</v>
      </c>
      <c r="EQ77" s="662">
        <f t="shared" si="58"/>
        <v>0</v>
      </c>
    </row>
    <row r="78" spans="1:147" ht="20.7" customHeight="1" x14ac:dyDescent="0.3">
      <c r="A78" s="660" t="s">
        <v>1734</v>
      </c>
      <c r="B78" s="661" t="s">
        <v>269</v>
      </c>
      <c r="C78" s="662">
        <v>0</v>
      </c>
      <c r="D78" s="662">
        <v>0</v>
      </c>
      <c r="E78" s="662">
        <v>0</v>
      </c>
      <c r="F78" s="662">
        <v>0</v>
      </c>
      <c r="G78" s="662">
        <v>0</v>
      </c>
      <c r="H78" s="662">
        <v>0</v>
      </c>
      <c r="I78" s="662">
        <v>0</v>
      </c>
      <c r="J78" s="802">
        <v>0</v>
      </c>
      <c r="K78" s="662">
        <v>0</v>
      </c>
      <c r="L78" s="662">
        <v>0</v>
      </c>
      <c r="M78" s="662">
        <v>0</v>
      </c>
      <c r="N78" s="662">
        <v>0</v>
      </c>
      <c r="O78" s="662">
        <v>0</v>
      </c>
      <c r="P78" s="662">
        <v>0</v>
      </c>
      <c r="Q78" s="802">
        <v>0</v>
      </c>
      <c r="R78" s="662">
        <v>0</v>
      </c>
      <c r="S78" s="662">
        <v>0</v>
      </c>
      <c r="T78" s="662">
        <v>0</v>
      </c>
      <c r="U78" s="662">
        <v>0</v>
      </c>
      <c r="V78" s="662">
        <v>0</v>
      </c>
      <c r="W78" s="802">
        <v>0</v>
      </c>
      <c r="X78" s="662">
        <v>0</v>
      </c>
      <c r="Y78" s="662">
        <v>0</v>
      </c>
      <c r="Z78" s="662">
        <v>0</v>
      </c>
      <c r="AA78" s="662">
        <v>0</v>
      </c>
      <c r="AB78" s="662">
        <v>0</v>
      </c>
      <c r="AC78" s="662">
        <v>0</v>
      </c>
      <c r="AD78" s="802">
        <v>0</v>
      </c>
      <c r="AE78" s="662">
        <v>0</v>
      </c>
      <c r="AF78" s="662">
        <v>0</v>
      </c>
      <c r="AG78" s="662">
        <v>0</v>
      </c>
      <c r="AH78" s="662">
        <v>0</v>
      </c>
      <c r="AI78" s="662">
        <v>0</v>
      </c>
      <c r="AJ78" s="662">
        <v>0</v>
      </c>
      <c r="AK78" s="802">
        <v>0</v>
      </c>
      <c r="AL78" s="662">
        <v>0</v>
      </c>
      <c r="AM78" s="662">
        <v>0</v>
      </c>
      <c r="AN78" s="662">
        <v>0</v>
      </c>
      <c r="AO78" s="662">
        <v>0</v>
      </c>
      <c r="AP78" s="662">
        <v>0</v>
      </c>
      <c r="AQ78" s="802">
        <v>0</v>
      </c>
      <c r="AR78" s="662">
        <v>0</v>
      </c>
      <c r="AS78" s="662">
        <v>0</v>
      </c>
      <c r="AT78" s="662">
        <v>0</v>
      </c>
      <c r="AU78" s="662">
        <v>0</v>
      </c>
      <c r="AV78" s="662">
        <v>0</v>
      </c>
      <c r="AW78" s="662">
        <v>0</v>
      </c>
      <c r="AX78" s="662">
        <v>0</v>
      </c>
      <c r="AY78" s="662">
        <v>0</v>
      </c>
      <c r="AZ78" s="662">
        <v>0</v>
      </c>
      <c r="BA78" s="662">
        <v>0</v>
      </c>
      <c r="BB78" s="662">
        <v>0</v>
      </c>
      <c r="BC78" s="662">
        <v>0</v>
      </c>
      <c r="BD78" s="662">
        <v>0</v>
      </c>
      <c r="BE78" s="802">
        <v>0</v>
      </c>
      <c r="BF78" s="662">
        <v>0</v>
      </c>
      <c r="BG78" s="662">
        <v>0</v>
      </c>
      <c r="BH78" s="662">
        <v>0</v>
      </c>
      <c r="BI78" s="662">
        <v>0</v>
      </c>
      <c r="BJ78" s="662">
        <v>0</v>
      </c>
      <c r="BK78" s="662">
        <v>0</v>
      </c>
      <c r="BL78" s="662">
        <v>0</v>
      </c>
      <c r="BM78" s="662">
        <v>0</v>
      </c>
      <c r="BN78" s="662">
        <v>0</v>
      </c>
      <c r="BO78" s="662">
        <v>0</v>
      </c>
      <c r="BP78" s="662">
        <v>0</v>
      </c>
      <c r="BQ78" s="662">
        <v>0</v>
      </c>
      <c r="BR78" s="662">
        <v>0</v>
      </c>
      <c r="BS78" s="662">
        <v>0</v>
      </c>
      <c r="BT78" s="662">
        <v>0</v>
      </c>
      <c r="BU78" s="662">
        <v>0</v>
      </c>
      <c r="BV78" s="662">
        <v>0</v>
      </c>
      <c r="BW78" s="662">
        <v>0</v>
      </c>
      <c r="BX78" s="662">
        <v>0</v>
      </c>
      <c r="BY78" s="662">
        <v>0</v>
      </c>
      <c r="BZ78" s="662">
        <v>0</v>
      </c>
      <c r="CA78" s="662">
        <v>0</v>
      </c>
      <c r="CB78" s="662">
        <v>0</v>
      </c>
      <c r="CC78" s="662">
        <v>0</v>
      </c>
      <c r="CD78" s="662">
        <v>0</v>
      </c>
      <c r="CE78" s="662">
        <v>0</v>
      </c>
      <c r="CF78" s="662">
        <v>0</v>
      </c>
      <c r="CG78" s="662">
        <v>0</v>
      </c>
      <c r="CH78" s="662">
        <v>0</v>
      </c>
      <c r="CI78" s="662">
        <v>0</v>
      </c>
      <c r="CJ78" s="662">
        <v>0</v>
      </c>
      <c r="CK78" s="662">
        <v>0</v>
      </c>
      <c r="CL78" s="662">
        <v>0</v>
      </c>
      <c r="CM78" s="662">
        <v>0</v>
      </c>
      <c r="CN78" s="662">
        <v>0</v>
      </c>
      <c r="CO78" s="662">
        <v>0</v>
      </c>
      <c r="CP78" s="662">
        <v>0</v>
      </c>
      <c r="CQ78" s="662">
        <v>0</v>
      </c>
      <c r="CR78" s="662">
        <v>0</v>
      </c>
      <c r="CS78" s="662">
        <v>0</v>
      </c>
      <c r="CT78" s="662">
        <v>0</v>
      </c>
      <c r="CU78" s="662">
        <v>0</v>
      </c>
      <c r="CV78" s="662">
        <v>0</v>
      </c>
      <c r="CW78" s="662">
        <v>0</v>
      </c>
      <c r="CX78" s="662">
        <v>0</v>
      </c>
      <c r="CY78" s="662">
        <v>0</v>
      </c>
      <c r="CZ78" s="662">
        <v>0</v>
      </c>
      <c r="DA78" s="662">
        <v>0</v>
      </c>
      <c r="DB78" s="662">
        <v>0</v>
      </c>
      <c r="DC78" s="662">
        <v>0</v>
      </c>
      <c r="DD78" s="662">
        <v>0</v>
      </c>
      <c r="DE78" s="662">
        <v>0</v>
      </c>
      <c r="DF78" s="662">
        <v>0</v>
      </c>
      <c r="DG78" s="662">
        <v>0</v>
      </c>
      <c r="DH78" s="662">
        <v>0</v>
      </c>
      <c r="DI78" s="662">
        <v>0</v>
      </c>
      <c r="DJ78" s="662">
        <v>0</v>
      </c>
      <c r="DK78" s="662">
        <v>0</v>
      </c>
      <c r="DL78" s="662">
        <v>0</v>
      </c>
      <c r="DM78" s="662">
        <v>0</v>
      </c>
      <c r="DN78" s="662">
        <v>0</v>
      </c>
      <c r="DO78" s="662">
        <v>0</v>
      </c>
      <c r="DP78" s="662">
        <v>0</v>
      </c>
      <c r="DQ78" s="662">
        <v>0</v>
      </c>
      <c r="DR78" s="662">
        <v>0</v>
      </c>
      <c r="DS78" s="662">
        <v>0</v>
      </c>
      <c r="DT78" s="662">
        <v>0</v>
      </c>
      <c r="DU78" s="662">
        <v>0</v>
      </c>
      <c r="DV78" s="662">
        <v>0</v>
      </c>
      <c r="DW78" s="662">
        <v>0</v>
      </c>
      <c r="DX78" s="662">
        <v>0</v>
      </c>
      <c r="DY78" s="662">
        <v>0</v>
      </c>
      <c r="DZ78" s="662">
        <v>0</v>
      </c>
      <c r="EA78" s="662">
        <v>0</v>
      </c>
      <c r="EB78" s="662">
        <v>0</v>
      </c>
      <c r="EC78" s="662">
        <v>0</v>
      </c>
      <c r="ED78" s="662">
        <v>0</v>
      </c>
      <c r="EE78" s="662">
        <v>0</v>
      </c>
      <c r="EF78" s="662">
        <v>0</v>
      </c>
      <c r="EG78" s="662">
        <v>0</v>
      </c>
      <c r="EH78" s="662">
        <v>0</v>
      </c>
      <c r="EI78" s="662">
        <v>0</v>
      </c>
      <c r="EJ78" s="662">
        <v>0</v>
      </c>
      <c r="EK78" s="662">
        <v>0</v>
      </c>
      <c r="EL78" s="662">
        <v>0</v>
      </c>
      <c r="EM78" s="662">
        <v>0</v>
      </c>
      <c r="EN78" s="662">
        <v>0</v>
      </c>
      <c r="EO78" s="662">
        <v>0</v>
      </c>
      <c r="EP78" s="662">
        <v>0</v>
      </c>
      <c r="EQ78" s="662">
        <v>0</v>
      </c>
    </row>
    <row r="79" spans="1:147" ht="13.95" customHeight="1" x14ac:dyDescent="0.3">
      <c r="A79" s="660" t="s">
        <v>1735</v>
      </c>
      <c r="B79" s="661" t="s">
        <v>269</v>
      </c>
      <c r="C79" s="662">
        <v>367422</v>
      </c>
      <c r="D79" s="662">
        <v>0</v>
      </c>
      <c r="E79" s="662">
        <v>367322</v>
      </c>
      <c r="F79" s="662">
        <v>0</v>
      </c>
      <c r="G79" s="662">
        <v>186914</v>
      </c>
      <c r="H79" s="662">
        <v>0</v>
      </c>
      <c r="I79" s="662">
        <v>0</v>
      </c>
      <c r="J79" s="802">
        <v>20752</v>
      </c>
      <c r="K79" s="662">
        <v>0</v>
      </c>
      <c r="L79" s="662">
        <v>20752</v>
      </c>
      <c r="M79" s="662">
        <v>0</v>
      </c>
      <c r="N79" s="662">
        <v>10059</v>
      </c>
      <c r="O79" s="662">
        <v>0</v>
      </c>
      <c r="P79" s="662">
        <v>0</v>
      </c>
      <c r="Q79" s="802">
        <v>0</v>
      </c>
      <c r="R79" s="662">
        <v>0</v>
      </c>
      <c r="S79" s="662">
        <v>0</v>
      </c>
      <c r="T79" s="662">
        <v>0</v>
      </c>
      <c r="U79" s="662">
        <v>0</v>
      </c>
      <c r="V79" s="662">
        <v>0</v>
      </c>
      <c r="W79" s="802">
        <v>21</v>
      </c>
      <c r="X79" s="662">
        <v>0</v>
      </c>
      <c r="Y79" s="662">
        <v>21</v>
      </c>
      <c r="Z79" s="662">
        <v>0</v>
      </c>
      <c r="AA79" s="662">
        <v>8</v>
      </c>
      <c r="AB79" s="662">
        <v>0</v>
      </c>
      <c r="AC79" s="662">
        <v>0</v>
      </c>
      <c r="AD79" s="802">
        <v>189995</v>
      </c>
      <c r="AE79" s="662">
        <v>0</v>
      </c>
      <c r="AF79" s="662">
        <v>189995</v>
      </c>
      <c r="AG79" s="662">
        <v>0</v>
      </c>
      <c r="AH79" s="662">
        <v>102368</v>
      </c>
      <c r="AI79" s="662">
        <v>0</v>
      </c>
      <c r="AJ79" s="662">
        <v>0</v>
      </c>
      <c r="AK79" s="802">
        <v>2618</v>
      </c>
      <c r="AL79" s="662">
        <v>2618</v>
      </c>
      <c r="AM79" s="662">
        <v>0</v>
      </c>
      <c r="AN79" s="662">
        <v>1703</v>
      </c>
      <c r="AO79" s="662">
        <v>0</v>
      </c>
      <c r="AP79" s="662">
        <v>0</v>
      </c>
      <c r="AQ79" s="802">
        <v>33392</v>
      </c>
      <c r="AR79" s="662">
        <v>0</v>
      </c>
      <c r="AS79" s="662">
        <v>33392</v>
      </c>
      <c r="AT79" s="662">
        <v>0</v>
      </c>
      <c r="AU79" s="662">
        <v>18003</v>
      </c>
      <c r="AV79" s="662">
        <v>0</v>
      </c>
      <c r="AW79" s="662">
        <v>0</v>
      </c>
      <c r="AX79" s="662">
        <v>7150</v>
      </c>
      <c r="AY79" s="662">
        <v>0</v>
      </c>
      <c r="AZ79" s="662">
        <v>7130</v>
      </c>
      <c r="BA79" s="662">
        <v>0</v>
      </c>
      <c r="BB79" s="662">
        <v>3135</v>
      </c>
      <c r="BC79" s="662">
        <v>0</v>
      </c>
      <c r="BD79" s="662">
        <v>0</v>
      </c>
      <c r="BE79" s="802">
        <v>45735</v>
      </c>
      <c r="BF79" s="662">
        <v>0</v>
      </c>
      <c r="BG79" s="662">
        <v>45735</v>
      </c>
      <c r="BH79" s="662">
        <v>0</v>
      </c>
      <c r="BI79" s="662">
        <v>24161</v>
      </c>
      <c r="BJ79" s="662">
        <v>0</v>
      </c>
      <c r="BK79" s="662">
        <v>0</v>
      </c>
      <c r="BL79" s="662">
        <v>3986</v>
      </c>
      <c r="BM79" s="662">
        <v>0</v>
      </c>
      <c r="BN79" s="662">
        <v>3986</v>
      </c>
      <c r="BO79" s="662">
        <v>0</v>
      </c>
      <c r="BP79" s="662">
        <v>1866</v>
      </c>
      <c r="BQ79" s="662">
        <v>0</v>
      </c>
      <c r="BR79" s="662">
        <v>0</v>
      </c>
      <c r="BS79" s="662">
        <v>3450</v>
      </c>
      <c r="BT79" s="662">
        <v>0</v>
      </c>
      <c r="BU79" s="662">
        <v>3450</v>
      </c>
      <c r="BV79" s="662">
        <v>0</v>
      </c>
      <c r="BW79" s="662">
        <v>1003</v>
      </c>
      <c r="BX79" s="662">
        <v>0</v>
      </c>
      <c r="BY79" s="662">
        <v>0</v>
      </c>
      <c r="BZ79" s="662">
        <v>2858</v>
      </c>
      <c r="CA79" s="662">
        <v>0</v>
      </c>
      <c r="CB79" s="662">
        <v>2811</v>
      </c>
      <c r="CC79" s="662">
        <v>0</v>
      </c>
      <c r="CD79" s="662">
        <v>1092</v>
      </c>
      <c r="CE79" s="662">
        <v>0</v>
      </c>
      <c r="CF79" s="662">
        <v>0</v>
      </c>
      <c r="CG79" s="662">
        <v>23700</v>
      </c>
      <c r="CH79" s="662">
        <v>0</v>
      </c>
      <c r="CI79" s="662">
        <v>23690</v>
      </c>
      <c r="CJ79" s="662">
        <v>0</v>
      </c>
      <c r="CK79" s="662">
        <v>9236</v>
      </c>
      <c r="CL79" s="662">
        <v>0</v>
      </c>
      <c r="CM79" s="662">
        <v>0</v>
      </c>
      <c r="CN79" s="662">
        <v>704</v>
      </c>
      <c r="CO79" s="662">
        <v>0</v>
      </c>
      <c r="CP79" s="662">
        <v>703</v>
      </c>
      <c r="CQ79" s="662">
        <v>0</v>
      </c>
      <c r="CR79" s="662">
        <v>337</v>
      </c>
      <c r="CS79" s="662">
        <v>0</v>
      </c>
      <c r="CT79" s="662">
        <v>0</v>
      </c>
      <c r="CU79" s="662">
        <v>1700</v>
      </c>
      <c r="CV79" s="662">
        <v>0</v>
      </c>
      <c r="CW79" s="662">
        <v>1700</v>
      </c>
      <c r="CX79" s="662">
        <v>0</v>
      </c>
      <c r="CY79" s="662">
        <v>745</v>
      </c>
      <c r="CZ79" s="662">
        <v>0</v>
      </c>
      <c r="DA79" s="662">
        <v>0</v>
      </c>
      <c r="DB79" s="662">
        <v>17829</v>
      </c>
      <c r="DC79" s="662">
        <v>0</v>
      </c>
      <c r="DD79" s="662">
        <v>17829</v>
      </c>
      <c r="DE79" s="662">
        <v>0</v>
      </c>
      <c r="DF79" s="662">
        <v>9100</v>
      </c>
      <c r="DG79" s="662">
        <v>0</v>
      </c>
      <c r="DH79" s="662">
        <v>0</v>
      </c>
      <c r="DI79" s="662">
        <v>2445</v>
      </c>
      <c r="DJ79" s="662">
        <v>0</v>
      </c>
      <c r="DK79" s="662">
        <v>2445</v>
      </c>
      <c r="DL79" s="662">
        <v>0</v>
      </c>
      <c r="DM79" s="662">
        <v>886</v>
      </c>
      <c r="DN79" s="662">
        <v>0</v>
      </c>
      <c r="DO79" s="662">
        <v>0</v>
      </c>
      <c r="DP79" s="662">
        <v>691</v>
      </c>
      <c r="DQ79" s="662">
        <v>0</v>
      </c>
      <c r="DR79" s="662">
        <v>684</v>
      </c>
      <c r="DS79" s="662">
        <v>0</v>
      </c>
      <c r="DT79" s="662">
        <v>186</v>
      </c>
      <c r="DU79" s="662">
        <v>0</v>
      </c>
      <c r="DV79" s="662">
        <v>0</v>
      </c>
      <c r="DW79" s="662">
        <v>2285</v>
      </c>
      <c r="DX79" s="662">
        <v>0</v>
      </c>
      <c r="DY79" s="662">
        <v>2285</v>
      </c>
      <c r="DZ79" s="662">
        <v>0</v>
      </c>
      <c r="EA79" s="662">
        <v>822</v>
      </c>
      <c r="EB79" s="662">
        <v>0</v>
      </c>
      <c r="EC79" s="662">
        <v>0</v>
      </c>
      <c r="ED79" s="662">
        <v>570</v>
      </c>
      <c r="EE79" s="662">
        <v>0</v>
      </c>
      <c r="EF79" s="662">
        <v>570</v>
      </c>
      <c r="EG79" s="662">
        <v>0</v>
      </c>
      <c r="EH79" s="662">
        <v>92</v>
      </c>
      <c r="EI79" s="662">
        <v>0</v>
      </c>
      <c r="EJ79" s="662">
        <v>0</v>
      </c>
      <c r="EK79" s="662">
        <v>7541</v>
      </c>
      <c r="EL79" s="662">
        <v>0</v>
      </c>
      <c r="EM79" s="662">
        <v>7526</v>
      </c>
      <c r="EN79" s="662">
        <v>0</v>
      </c>
      <c r="EO79" s="662">
        <v>2112</v>
      </c>
      <c r="EP79" s="662">
        <v>0</v>
      </c>
      <c r="EQ79" s="662">
        <v>0</v>
      </c>
    </row>
    <row r="80" spans="1:147" ht="13.95" customHeight="1" x14ac:dyDescent="0.3">
      <c r="A80" s="660" t="s">
        <v>1736</v>
      </c>
      <c r="B80" s="661" t="s">
        <v>269</v>
      </c>
      <c r="C80" s="662">
        <v>52884</v>
      </c>
      <c r="D80" s="662">
        <v>0</v>
      </c>
      <c r="E80" s="662">
        <v>52760</v>
      </c>
      <c r="F80" s="662">
        <v>0</v>
      </c>
      <c r="G80" s="662">
        <v>7673</v>
      </c>
      <c r="H80" s="662">
        <v>0</v>
      </c>
      <c r="I80" s="662">
        <v>0</v>
      </c>
      <c r="J80" s="802">
        <v>1026</v>
      </c>
      <c r="K80" s="662">
        <v>0</v>
      </c>
      <c r="L80" s="662">
        <v>1026</v>
      </c>
      <c r="M80" s="662">
        <v>0</v>
      </c>
      <c r="N80" s="662">
        <v>260</v>
      </c>
      <c r="O80" s="662">
        <v>0</v>
      </c>
      <c r="P80" s="662">
        <v>0</v>
      </c>
      <c r="Q80" s="802">
        <v>0</v>
      </c>
      <c r="R80" s="662">
        <v>0</v>
      </c>
      <c r="S80" s="662">
        <v>0</v>
      </c>
      <c r="T80" s="662">
        <v>0</v>
      </c>
      <c r="U80" s="662">
        <v>0</v>
      </c>
      <c r="V80" s="662">
        <v>0</v>
      </c>
      <c r="W80" s="802">
        <v>0</v>
      </c>
      <c r="X80" s="662">
        <v>0</v>
      </c>
      <c r="Y80" s="662">
        <v>0</v>
      </c>
      <c r="Z80" s="662">
        <v>0</v>
      </c>
      <c r="AA80" s="662">
        <v>0</v>
      </c>
      <c r="AB80" s="662">
        <v>0</v>
      </c>
      <c r="AC80" s="662">
        <v>0</v>
      </c>
      <c r="AD80" s="802">
        <v>0</v>
      </c>
      <c r="AE80" s="662">
        <v>0</v>
      </c>
      <c r="AF80" s="662">
        <v>0</v>
      </c>
      <c r="AG80" s="662">
        <v>0</v>
      </c>
      <c r="AH80" s="662">
        <v>0</v>
      </c>
      <c r="AI80" s="662">
        <v>0</v>
      </c>
      <c r="AJ80" s="662">
        <v>0</v>
      </c>
      <c r="AK80" s="802">
        <v>6</v>
      </c>
      <c r="AL80" s="662">
        <v>6</v>
      </c>
      <c r="AM80" s="662">
        <v>0</v>
      </c>
      <c r="AN80" s="662">
        <v>1</v>
      </c>
      <c r="AO80" s="662">
        <v>0</v>
      </c>
      <c r="AP80" s="662">
        <v>0</v>
      </c>
      <c r="AQ80" s="802">
        <v>175</v>
      </c>
      <c r="AR80" s="662">
        <v>0</v>
      </c>
      <c r="AS80" s="662">
        <v>175</v>
      </c>
      <c r="AT80" s="662">
        <v>0</v>
      </c>
      <c r="AU80" s="662">
        <v>30</v>
      </c>
      <c r="AV80" s="662">
        <v>0</v>
      </c>
      <c r="AW80" s="662">
        <v>0</v>
      </c>
      <c r="AX80" s="662">
        <v>55</v>
      </c>
      <c r="AY80" s="662">
        <v>0</v>
      </c>
      <c r="AZ80" s="662">
        <v>54</v>
      </c>
      <c r="BA80" s="662">
        <v>0</v>
      </c>
      <c r="BB80" s="662">
        <v>2</v>
      </c>
      <c r="BC80" s="662">
        <v>0</v>
      </c>
      <c r="BD80" s="662">
        <v>0</v>
      </c>
      <c r="BE80" s="802">
        <v>790</v>
      </c>
      <c r="BF80" s="662">
        <v>0</v>
      </c>
      <c r="BG80" s="662">
        <v>790</v>
      </c>
      <c r="BH80" s="662">
        <v>0</v>
      </c>
      <c r="BI80" s="662">
        <v>187</v>
      </c>
      <c r="BJ80" s="662">
        <v>0</v>
      </c>
      <c r="BK80" s="662">
        <v>0</v>
      </c>
      <c r="BL80" s="662">
        <v>440</v>
      </c>
      <c r="BM80" s="662">
        <v>0</v>
      </c>
      <c r="BN80" s="662">
        <v>440</v>
      </c>
      <c r="BO80" s="662">
        <v>0</v>
      </c>
      <c r="BP80" s="662">
        <v>107</v>
      </c>
      <c r="BQ80" s="662">
        <v>0</v>
      </c>
      <c r="BR80" s="662">
        <v>0</v>
      </c>
      <c r="BS80" s="662">
        <v>0</v>
      </c>
      <c r="BT80" s="662">
        <v>0</v>
      </c>
      <c r="BU80" s="662">
        <v>0</v>
      </c>
      <c r="BV80" s="662">
        <v>0</v>
      </c>
      <c r="BW80" s="662">
        <v>0</v>
      </c>
      <c r="BX80" s="662">
        <v>0</v>
      </c>
      <c r="BY80" s="662">
        <v>0</v>
      </c>
      <c r="BZ80" s="662">
        <v>54</v>
      </c>
      <c r="CA80" s="662">
        <v>0</v>
      </c>
      <c r="CB80" s="662">
        <v>51</v>
      </c>
      <c r="CC80" s="662">
        <v>0</v>
      </c>
      <c r="CD80" s="662">
        <v>3</v>
      </c>
      <c r="CE80" s="662">
        <v>0</v>
      </c>
      <c r="CF80" s="662">
        <v>0</v>
      </c>
      <c r="CG80" s="662">
        <v>607</v>
      </c>
      <c r="CH80" s="662">
        <v>0</v>
      </c>
      <c r="CI80" s="662">
        <v>587</v>
      </c>
      <c r="CJ80" s="662">
        <v>0</v>
      </c>
      <c r="CK80" s="662">
        <v>63</v>
      </c>
      <c r="CL80" s="662">
        <v>0</v>
      </c>
      <c r="CM80" s="662">
        <v>0</v>
      </c>
      <c r="CN80" s="662">
        <v>0</v>
      </c>
      <c r="CO80" s="662">
        <v>0</v>
      </c>
      <c r="CP80" s="662">
        <v>0</v>
      </c>
      <c r="CQ80" s="662">
        <v>0</v>
      </c>
      <c r="CR80" s="662">
        <v>0</v>
      </c>
      <c r="CS80" s="662">
        <v>0</v>
      </c>
      <c r="CT80" s="662">
        <v>0</v>
      </c>
      <c r="CU80" s="662">
        <v>100</v>
      </c>
      <c r="CV80" s="662">
        <v>0</v>
      </c>
      <c r="CW80" s="662">
        <v>100</v>
      </c>
      <c r="CX80" s="662">
        <v>0</v>
      </c>
      <c r="CY80" s="662">
        <v>20</v>
      </c>
      <c r="CZ80" s="662">
        <v>0</v>
      </c>
      <c r="DA80" s="662">
        <v>0</v>
      </c>
      <c r="DB80" s="662">
        <v>589</v>
      </c>
      <c r="DC80" s="662">
        <v>0</v>
      </c>
      <c r="DD80" s="662">
        <v>589</v>
      </c>
      <c r="DE80" s="662">
        <v>0</v>
      </c>
      <c r="DF80" s="662">
        <v>121</v>
      </c>
      <c r="DG80" s="662">
        <v>0</v>
      </c>
      <c r="DH80" s="662">
        <v>0</v>
      </c>
      <c r="DI80" s="662">
        <v>10805</v>
      </c>
      <c r="DJ80" s="662">
        <v>0</v>
      </c>
      <c r="DK80" s="662">
        <v>10805</v>
      </c>
      <c r="DL80" s="662">
        <v>0</v>
      </c>
      <c r="DM80" s="662">
        <v>1619</v>
      </c>
      <c r="DN80" s="662">
        <v>0</v>
      </c>
      <c r="DO80" s="662">
        <v>0</v>
      </c>
      <c r="DP80" s="662">
        <v>0</v>
      </c>
      <c r="DQ80" s="662">
        <v>0</v>
      </c>
      <c r="DR80" s="662">
        <v>0</v>
      </c>
      <c r="DS80" s="662">
        <v>0</v>
      </c>
      <c r="DT80" s="662">
        <v>0</v>
      </c>
      <c r="DU80" s="662">
        <v>0</v>
      </c>
      <c r="DV80" s="662">
        <v>0</v>
      </c>
      <c r="DW80" s="662">
        <v>2226</v>
      </c>
      <c r="DX80" s="662">
        <v>0</v>
      </c>
      <c r="DY80" s="662">
        <v>2226</v>
      </c>
      <c r="DZ80" s="662">
        <v>0</v>
      </c>
      <c r="EA80" s="662">
        <v>445</v>
      </c>
      <c r="EB80" s="662">
        <v>0</v>
      </c>
      <c r="EC80" s="662">
        <v>0</v>
      </c>
      <c r="ED80" s="662">
        <v>2745</v>
      </c>
      <c r="EE80" s="662">
        <v>0</v>
      </c>
      <c r="EF80" s="662">
        <v>2645</v>
      </c>
      <c r="EG80" s="662">
        <v>0</v>
      </c>
      <c r="EH80" s="662">
        <v>221</v>
      </c>
      <c r="EI80" s="662">
        <v>0</v>
      </c>
      <c r="EJ80" s="662">
        <v>0</v>
      </c>
      <c r="EK80" s="662">
        <v>33266</v>
      </c>
      <c r="EL80" s="662">
        <v>0</v>
      </c>
      <c r="EM80" s="662">
        <v>33266</v>
      </c>
      <c r="EN80" s="662">
        <v>0</v>
      </c>
      <c r="EO80" s="662">
        <v>4594</v>
      </c>
      <c r="EP80" s="662">
        <v>0</v>
      </c>
      <c r="EQ80" s="662">
        <v>0</v>
      </c>
    </row>
    <row r="81" spans="1:147" ht="13.95" customHeight="1" x14ac:dyDescent="0.3">
      <c r="A81" s="660" t="s">
        <v>1737</v>
      </c>
      <c r="B81" s="661" t="s">
        <v>269</v>
      </c>
      <c r="C81" s="662">
        <v>13564</v>
      </c>
      <c r="D81" s="662">
        <v>0</v>
      </c>
      <c r="E81" s="662">
        <v>13553</v>
      </c>
      <c r="F81" s="662">
        <v>0</v>
      </c>
      <c r="G81" s="662">
        <v>3572</v>
      </c>
      <c r="H81" s="662">
        <v>0</v>
      </c>
      <c r="I81" s="662">
        <v>0</v>
      </c>
      <c r="J81" s="802">
        <v>138</v>
      </c>
      <c r="K81" s="662">
        <v>0</v>
      </c>
      <c r="L81" s="662">
        <v>138</v>
      </c>
      <c r="M81" s="662">
        <v>0</v>
      </c>
      <c r="N81" s="662">
        <v>34</v>
      </c>
      <c r="O81" s="662">
        <v>0</v>
      </c>
      <c r="P81" s="662">
        <v>0</v>
      </c>
      <c r="Q81" s="802">
        <v>0</v>
      </c>
      <c r="R81" s="662">
        <v>0</v>
      </c>
      <c r="S81" s="662">
        <v>0</v>
      </c>
      <c r="T81" s="662">
        <v>0</v>
      </c>
      <c r="U81" s="662">
        <v>0</v>
      </c>
      <c r="V81" s="662">
        <v>0</v>
      </c>
      <c r="W81" s="802">
        <v>0</v>
      </c>
      <c r="X81" s="662">
        <v>0</v>
      </c>
      <c r="Y81" s="662">
        <v>0</v>
      </c>
      <c r="Z81" s="662">
        <v>0</v>
      </c>
      <c r="AA81" s="662">
        <v>0</v>
      </c>
      <c r="AB81" s="662">
        <v>0</v>
      </c>
      <c r="AC81" s="662">
        <v>0</v>
      </c>
      <c r="AD81" s="802">
        <v>5316</v>
      </c>
      <c r="AE81" s="662">
        <v>0</v>
      </c>
      <c r="AF81" s="662">
        <v>5316</v>
      </c>
      <c r="AG81" s="662">
        <v>0</v>
      </c>
      <c r="AH81" s="662">
        <v>1492</v>
      </c>
      <c r="AI81" s="662">
        <v>0</v>
      </c>
      <c r="AJ81" s="662">
        <v>0</v>
      </c>
      <c r="AK81" s="802">
        <v>0</v>
      </c>
      <c r="AL81" s="662">
        <v>0</v>
      </c>
      <c r="AM81" s="662">
        <v>0</v>
      </c>
      <c r="AN81" s="662">
        <v>0</v>
      </c>
      <c r="AO81" s="662">
        <v>0</v>
      </c>
      <c r="AP81" s="662">
        <v>0</v>
      </c>
      <c r="AQ81" s="802">
        <v>0</v>
      </c>
      <c r="AR81" s="662">
        <v>0</v>
      </c>
      <c r="AS81" s="662">
        <v>0</v>
      </c>
      <c r="AT81" s="662">
        <v>0</v>
      </c>
      <c r="AU81" s="662">
        <v>0</v>
      </c>
      <c r="AV81" s="662">
        <v>0</v>
      </c>
      <c r="AW81" s="662">
        <v>0</v>
      </c>
      <c r="AX81" s="662">
        <v>0</v>
      </c>
      <c r="AY81" s="662">
        <v>0</v>
      </c>
      <c r="AZ81" s="662">
        <v>0</v>
      </c>
      <c r="BA81" s="662">
        <v>0</v>
      </c>
      <c r="BB81" s="662">
        <v>0</v>
      </c>
      <c r="BC81" s="662">
        <v>0</v>
      </c>
      <c r="BD81" s="662">
        <v>0</v>
      </c>
      <c r="BE81" s="802">
        <v>1872</v>
      </c>
      <c r="BF81" s="662">
        <v>0</v>
      </c>
      <c r="BG81" s="662">
        <v>1872</v>
      </c>
      <c r="BH81" s="662">
        <v>0</v>
      </c>
      <c r="BI81" s="662">
        <v>687</v>
      </c>
      <c r="BJ81" s="662">
        <v>0</v>
      </c>
      <c r="BK81" s="662">
        <v>0</v>
      </c>
      <c r="BL81" s="662">
        <v>395</v>
      </c>
      <c r="BM81" s="662">
        <v>0</v>
      </c>
      <c r="BN81" s="662">
        <v>395</v>
      </c>
      <c r="BO81" s="662">
        <v>0</v>
      </c>
      <c r="BP81" s="662">
        <v>77</v>
      </c>
      <c r="BQ81" s="662">
        <v>0</v>
      </c>
      <c r="BR81" s="662">
        <v>0</v>
      </c>
      <c r="BS81" s="662">
        <v>0</v>
      </c>
      <c r="BT81" s="662">
        <v>0</v>
      </c>
      <c r="BU81" s="662">
        <v>0</v>
      </c>
      <c r="BV81" s="662">
        <v>0</v>
      </c>
      <c r="BW81" s="662">
        <v>0</v>
      </c>
      <c r="BX81" s="662">
        <v>0</v>
      </c>
      <c r="BY81" s="662">
        <v>0</v>
      </c>
      <c r="BZ81" s="662">
        <v>12</v>
      </c>
      <c r="CA81" s="662">
        <v>0</v>
      </c>
      <c r="CB81" s="662">
        <v>11</v>
      </c>
      <c r="CC81" s="662">
        <v>0</v>
      </c>
      <c r="CD81" s="662">
        <v>1</v>
      </c>
      <c r="CE81" s="662">
        <v>0</v>
      </c>
      <c r="CF81" s="662">
        <v>0</v>
      </c>
      <c r="CG81" s="662">
        <v>650</v>
      </c>
      <c r="CH81" s="662">
        <v>0</v>
      </c>
      <c r="CI81" s="662">
        <v>650</v>
      </c>
      <c r="CJ81" s="662">
        <v>0</v>
      </c>
      <c r="CK81" s="662">
        <v>128</v>
      </c>
      <c r="CL81" s="662">
        <v>0</v>
      </c>
      <c r="CM81" s="662">
        <v>0</v>
      </c>
      <c r="CN81" s="662">
        <v>10</v>
      </c>
      <c r="CO81" s="662">
        <v>0</v>
      </c>
      <c r="CP81" s="662">
        <v>10</v>
      </c>
      <c r="CQ81" s="662">
        <v>0</v>
      </c>
      <c r="CR81" s="662">
        <v>3</v>
      </c>
      <c r="CS81" s="662">
        <v>0</v>
      </c>
      <c r="CT81" s="662">
        <v>0</v>
      </c>
      <c r="CU81" s="662">
        <v>200</v>
      </c>
      <c r="CV81" s="662">
        <v>0</v>
      </c>
      <c r="CW81" s="662">
        <v>200</v>
      </c>
      <c r="CX81" s="662">
        <v>0</v>
      </c>
      <c r="CY81" s="662">
        <v>40</v>
      </c>
      <c r="CZ81" s="662">
        <v>0</v>
      </c>
      <c r="DA81" s="662">
        <v>0</v>
      </c>
      <c r="DB81" s="662">
        <v>1423</v>
      </c>
      <c r="DC81" s="662">
        <v>0</v>
      </c>
      <c r="DD81" s="662">
        <v>1423</v>
      </c>
      <c r="DE81" s="662">
        <v>0</v>
      </c>
      <c r="DF81" s="662">
        <v>414</v>
      </c>
      <c r="DG81" s="662">
        <v>0</v>
      </c>
      <c r="DH81" s="662">
        <v>0</v>
      </c>
      <c r="DI81" s="662">
        <v>1720</v>
      </c>
      <c r="DJ81" s="662">
        <v>0</v>
      </c>
      <c r="DK81" s="662">
        <v>1720</v>
      </c>
      <c r="DL81" s="662">
        <v>0</v>
      </c>
      <c r="DM81" s="662">
        <v>397</v>
      </c>
      <c r="DN81" s="662">
        <v>0</v>
      </c>
      <c r="DO81" s="662">
        <v>0</v>
      </c>
      <c r="DP81" s="662">
        <v>1093</v>
      </c>
      <c r="DQ81" s="662">
        <v>0</v>
      </c>
      <c r="DR81" s="662">
        <v>1083</v>
      </c>
      <c r="DS81" s="662">
        <v>0</v>
      </c>
      <c r="DT81" s="662">
        <v>218</v>
      </c>
      <c r="DU81" s="662">
        <v>0</v>
      </c>
      <c r="DV81" s="662">
        <v>0</v>
      </c>
      <c r="DW81" s="662">
        <v>207</v>
      </c>
      <c r="DX81" s="662">
        <v>0</v>
      </c>
      <c r="DY81" s="662">
        <v>207</v>
      </c>
      <c r="DZ81" s="662">
        <v>0</v>
      </c>
      <c r="EA81" s="662">
        <v>23</v>
      </c>
      <c r="EB81" s="662">
        <v>0</v>
      </c>
      <c r="EC81" s="662">
        <v>0</v>
      </c>
      <c r="ED81" s="662">
        <v>318</v>
      </c>
      <c r="EE81" s="662">
        <v>0</v>
      </c>
      <c r="EF81" s="662">
        <v>318</v>
      </c>
      <c r="EG81" s="662">
        <v>0</v>
      </c>
      <c r="EH81" s="662">
        <v>27</v>
      </c>
      <c r="EI81" s="662">
        <v>0</v>
      </c>
      <c r="EJ81" s="662">
        <v>0</v>
      </c>
      <c r="EK81" s="662">
        <v>210</v>
      </c>
      <c r="EL81" s="662">
        <v>0</v>
      </c>
      <c r="EM81" s="662">
        <v>210</v>
      </c>
      <c r="EN81" s="662">
        <v>0</v>
      </c>
      <c r="EO81" s="662">
        <v>31</v>
      </c>
      <c r="EP81" s="662">
        <v>0</v>
      </c>
      <c r="EQ81" s="662">
        <v>0</v>
      </c>
    </row>
    <row r="82" spans="1:147" ht="13.95" customHeight="1" x14ac:dyDescent="0.3">
      <c r="A82" s="660" t="s">
        <v>1738</v>
      </c>
      <c r="B82" s="661" t="s">
        <v>269</v>
      </c>
      <c r="C82" s="662">
        <v>94628</v>
      </c>
      <c r="D82" s="662">
        <v>0</v>
      </c>
      <c r="E82" s="662">
        <v>94490</v>
      </c>
      <c r="F82" s="662">
        <v>0</v>
      </c>
      <c r="G82" s="662">
        <v>21167</v>
      </c>
      <c r="H82" s="662">
        <v>0</v>
      </c>
      <c r="I82" s="662">
        <v>0</v>
      </c>
      <c r="J82" s="802">
        <v>27023</v>
      </c>
      <c r="K82" s="662">
        <v>0</v>
      </c>
      <c r="L82" s="662">
        <v>27023</v>
      </c>
      <c r="M82" s="662">
        <v>0</v>
      </c>
      <c r="N82" s="662">
        <v>3043</v>
      </c>
      <c r="O82" s="662">
        <v>0</v>
      </c>
      <c r="P82" s="662">
        <v>0</v>
      </c>
      <c r="Q82" s="802">
        <v>0</v>
      </c>
      <c r="R82" s="662">
        <v>0</v>
      </c>
      <c r="S82" s="662">
        <v>0</v>
      </c>
      <c r="T82" s="662">
        <v>0</v>
      </c>
      <c r="U82" s="662">
        <v>0</v>
      </c>
      <c r="V82" s="662">
        <v>0</v>
      </c>
      <c r="W82" s="802">
        <v>35</v>
      </c>
      <c r="X82" s="662">
        <v>0</v>
      </c>
      <c r="Y82" s="662">
        <v>35</v>
      </c>
      <c r="Z82" s="662">
        <v>0</v>
      </c>
      <c r="AA82" s="662">
        <v>5</v>
      </c>
      <c r="AB82" s="662">
        <v>0</v>
      </c>
      <c r="AC82" s="662">
        <v>0</v>
      </c>
      <c r="AD82" s="802">
        <v>31729</v>
      </c>
      <c r="AE82" s="662">
        <v>0</v>
      </c>
      <c r="AF82" s="662">
        <v>31729</v>
      </c>
      <c r="AG82" s="662">
        <v>0</v>
      </c>
      <c r="AH82" s="662">
        <v>11638</v>
      </c>
      <c r="AI82" s="662">
        <v>0</v>
      </c>
      <c r="AJ82" s="662">
        <v>0</v>
      </c>
      <c r="AK82" s="802">
        <v>236</v>
      </c>
      <c r="AL82" s="662">
        <v>236</v>
      </c>
      <c r="AM82" s="662">
        <v>0</v>
      </c>
      <c r="AN82" s="662">
        <v>100</v>
      </c>
      <c r="AO82" s="662">
        <v>0</v>
      </c>
      <c r="AP82" s="662">
        <v>0</v>
      </c>
      <c r="AQ82" s="802">
        <v>3609</v>
      </c>
      <c r="AR82" s="662">
        <v>0</v>
      </c>
      <c r="AS82" s="662">
        <v>3609</v>
      </c>
      <c r="AT82" s="662">
        <v>0</v>
      </c>
      <c r="AU82" s="662">
        <v>485</v>
      </c>
      <c r="AV82" s="662">
        <v>0</v>
      </c>
      <c r="AW82" s="662">
        <v>0</v>
      </c>
      <c r="AX82" s="662">
        <v>1272</v>
      </c>
      <c r="AY82" s="662">
        <v>0</v>
      </c>
      <c r="AZ82" s="662">
        <v>1269</v>
      </c>
      <c r="BA82" s="662">
        <v>0</v>
      </c>
      <c r="BB82" s="662">
        <v>205</v>
      </c>
      <c r="BC82" s="662">
        <v>0</v>
      </c>
      <c r="BD82" s="662">
        <v>0</v>
      </c>
      <c r="BE82" s="802">
        <v>4709</v>
      </c>
      <c r="BF82" s="662">
        <v>0</v>
      </c>
      <c r="BG82" s="662">
        <v>4709</v>
      </c>
      <c r="BH82" s="662">
        <v>0</v>
      </c>
      <c r="BI82" s="662">
        <v>869</v>
      </c>
      <c r="BJ82" s="662">
        <v>0</v>
      </c>
      <c r="BK82" s="662">
        <v>0</v>
      </c>
      <c r="BL82" s="662">
        <v>2576</v>
      </c>
      <c r="BM82" s="662">
        <v>0</v>
      </c>
      <c r="BN82" s="662">
        <v>2576</v>
      </c>
      <c r="BO82" s="662">
        <v>0</v>
      </c>
      <c r="BP82" s="662">
        <v>610</v>
      </c>
      <c r="BQ82" s="662">
        <v>0</v>
      </c>
      <c r="BR82" s="662">
        <v>0</v>
      </c>
      <c r="BS82" s="662">
        <v>80</v>
      </c>
      <c r="BT82" s="662">
        <v>0</v>
      </c>
      <c r="BU82" s="662">
        <v>80</v>
      </c>
      <c r="BV82" s="662">
        <v>0</v>
      </c>
      <c r="BW82" s="662">
        <v>7</v>
      </c>
      <c r="BX82" s="662">
        <v>0</v>
      </c>
      <c r="BY82" s="662">
        <v>0</v>
      </c>
      <c r="BZ82" s="662">
        <v>641</v>
      </c>
      <c r="CA82" s="662">
        <v>0</v>
      </c>
      <c r="CB82" s="662">
        <v>625</v>
      </c>
      <c r="CC82" s="662">
        <v>0</v>
      </c>
      <c r="CD82" s="662">
        <v>118</v>
      </c>
      <c r="CE82" s="662">
        <v>0</v>
      </c>
      <c r="CF82" s="662">
        <v>0</v>
      </c>
      <c r="CG82" s="662">
        <v>4890</v>
      </c>
      <c r="CH82" s="662">
        <v>0</v>
      </c>
      <c r="CI82" s="662">
        <v>4890</v>
      </c>
      <c r="CJ82" s="662">
        <v>0</v>
      </c>
      <c r="CK82" s="662">
        <v>1289</v>
      </c>
      <c r="CL82" s="662">
        <v>0</v>
      </c>
      <c r="CM82" s="662">
        <v>0</v>
      </c>
      <c r="CN82" s="662">
        <v>6</v>
      </c>
      <c r="CO82" s="662">
        <v>0</v>
      </c>
      <c r="CP82" s="662">
        <v>6</v>
      </c>
      <c r="CQ82" s="662">
        <v>0</v>
      </c>
      <c r="CR82" s="662">
        <v>2</v>
      </c>
      <c r="CS82" s="662">
        <v>0</v>
      </c>
      <c r="CT82" s="662">
        <v>0</v>
      </c>
      <c r="CU82" s="662">
        <v>60</v>
      </c>
      <c r="CV82" s="662">
        <v>0</v>
      </c>
      <c r="CW82" s="662">
        <v>60</v>
      </c>
      <c r="CX82" s="662">
        <v>0</v>
      </c>
      <c r="CY82" s="662">
        <v>5</v>
      </c>
      <c r="CZ82" s="662">
        <v>0</v>
      </c>
      <c r="DA82" s="662">
        <v>0</v>
      </c>
      <c r="DB82" s="662">
        <v>3534</v>
      </c>
      <c r="DC82" s="662">
        <v>0</v>
      </c>
      <c r="DD82" s="662">
        <v>3534</v>
      </c>
      <c r="DE82" s="662">
        <v>0</v>
      </c>
      <c r="DF82" s="662">
        <v>1100</v>
      </c>
      <c r="DG82" s="662">
        <v>0</v>
      </c>
      <c r="DH82" s="662">
        <v>0</v>
      </c>
      <c r="DI82" s="662">
        <v>585</v>
      </c>
      <c r="DJ82" s="662">
        <v>0</v>
      </c>
      <c r="DK82" s="662">
        <v>585</v>
      </c>
      <c r="DL82" s="662">
        <v>0</v>
      </c>
      <c r="DM82" s="662">
        <v>91</v>
      </c>
      <c r="DN82" s="662">
        <v>0</v>
      </c>
      <c r="DO82" s="662">
        <v>0</v>
      </c>
      <c r="DP82" s="662">
        <v>720</v>
      </c>
      <c r="DQ82" s="662">
        <v>0</v>
      </c>
      <c r="DR82" s="662">
        <v>701</v>
      </c>
      <c r="DS82" s="662">
        <v>0</v>
      </c>
      <c r="DT82" s="662">
        <v>115</v>
      </c>
      <c r="DU82" s="662">
        <v>0</v>
      </c>
      <c r="DV82" s="662">
        <v>0</v>
      </c>
      <c r="DW82" s="662">
        <v>1130</v>
      </c>
      <c r="DX82" s="662">
        <v>0</v>
      </c>
      <c r="DY82" s="662">
        <v>1130</v>
      </c>
      <c r="DZ82" s="662">
        <v>0</v>
      </c>
      <c r="EA82" s="662">
        <v>217</v>
      </c>
      <c r="EB82" s="662">
        <v>0</v>
      </c>
      <c r="EC82" s="662">
        <v>0</v>
      </c>
      <c r="ED82" s="662">
        <v>7364</v>
      </c>
      <c r="EE82" s="662">
        <v>0</v>
      </c>
      <c r="EF82" s="662">
        <v>7264</v>
      </c>
      <c r="EG82" s="662">
        <v>0</v>
      </c>
      <c r="EH82" s="662">
        <v>547</v>
      </c>
      <c r="EI82" s="662">
        <v>0</v>
      </c>
      <c r="EJ82" s="662">
        <v>0</v>
      </c>
      <c r="EK82" s="662">
        <v>4429</v>
      </c>
      <c r="EL82" s="662">
        <v>0</v>
      </c>
      <c r="EM82" s="662">
        <v>4429</v>
      </c>
      <c r="EN82" s="662">
        <v>0</v>
      </c>
      <c r="EO82" s="662">
        <v>721</v>
      </c>
      <c r="EP82" s="662">
        <v>0</v>
      </c>
      <c r="EQ82" s="662">
        <v>0</v>
      </c>
    </row>
    <row r="83" spans="1:147" ht="13.95" customHeight="1" x14ac:dyDescent="0.3">
      <c r="A83" s="660" t="s">
        <v>1739</v>
      </c>
      <c r="B83" s="661" t="s">
        <v>269</v>
      </c>
      <c r="C83" s="662">
        <v>266200</v>
      </c>
      <c r="D83" s="662">
        <v>0</v>
      </c>
      <c r="E83" s="662">
        <v>266063</v>
      </c>
      <c r="F83" s="662">
        <v>0</v>
      </c>
      <c r="G83" s="662">
        <v>44838</v>
      </c>
      <c r="H83" s="662">
        <v>0</v>
      </c>
      <c r="I83" s="662">
        <v>0</v>
      </c>
      <c r="J83" s="802">
        <v>9251</v>
      </c>
      <c r="K83" s="662">
        <v>0</v>
      </c>
      <c r="L83" s="662">
        <v>9251</v>
      </c>
      <c r="M83" s="662">
        <v>0</v>
      </c>
      <c r="N83" s="662">
        <v>2761</v>
      </c>
      <c r="O83" s="662">
        <v>0</v>
      </c>
      <c r="P83" s="662">
        <v>0</v>
      </c>
      <c r="Q83" s="802">
        <v>0</v>
      </c>
      <c r="R83" s="662">
        <v>0</v>
      </c>
      <c r="S83" s="662">
        <v>0</v>
      </c>
      <c r="T83" s="662">
        <v>0</v>
      </c>
      <c r="U83" s="662">
        <v>0</v>
      </c>
      <c r="V83" s="662">
        <v>0</v>
      </c>
      <c r="W83" s="802">
        <v>22</v>
      </c>
      <c r="X83" s="662">
        <v>0</v>
      </c>
      <c r="Y83" s="662">
        <v>22</v>
      </c>
      <c r="Z83" s="662">
        <v>0</v>
      </c>
      <c r="AA83" s="662">
        <v>2</v>
      </c>
      <c r="AB83" s="662">
        <v>0</v>
      </c>
      <c r="AC83" s="662">
        <v>0</v>
      </c>
      <c r="AD83" s="802">
        <v>47230</v>
      </c>
      <c r="AE83" s="662">
        <v>0</v>
      </c>
      <c r="AF83" s="662">
        <v>47230</v>
      </c>
      <c r="AG83" s="662">
        <v>0</v>
      </c>
      <c r="AH83" s="662">
        <v>15353</v>
      </c>
      <c r="AI83" s="662">
        <v>0</v>
      </c>
      <c r="AJ83" s="662">
        <v>0</v>
      </c>
      <c r="AK83" s="802">
        <v>97</v>
      </c>
      <c r="AL83" s="662">
        <v>97</v>
      </c>
      <c r="AM83" s="662">
        <v>0</v>
      </c>
      <c r="AN83" s="662">
        <v>32</v>
      </c>
      <c r="AO83" s="662">
        <v>0</v>
      </c>
      <c r="AP83" s="662">
        <v>0</v>
      </c>
      <c r="AQ83" s="802">
        <v>2637</v>
      </c>
      <c r="AR83" s="662">
        <v>0</v>
      </c>
      <c r="AS83" s="662">
        <v>2637</v>
      </c>
      <c r="AT83" s="662">
        <v>0</v>
      </c>
      <c r="AU83" s="662">
        <v>399</v>
      </c>
      <c r="AV83" s="662">
        <v>0</v>
      </c>
      <c r="AW83" s="662">
        <v>0</v>
      </c>
      <c r="AX83" s="662">
        <v>1102</v>
      </c>
      <c r="AY83" s="662">
        <v>0</v>
      </c>
      <c r="AZ83" s="662">
        <v>1095</v>
      </c>
      <c r="BA83" s="662">
        <v>0</v>
      </c>
      <c r="BB83" s="662">
        <v>181</v>
      </c>
      <c r="BC83" s="662">
        <v>0</v>
      </c>
      <c r="BD83" s="662">
        <v>0</v>
      </c>
      <c r="BE83" s="802">
        <v>6804</v>
      </c>
      <c r="BF83" s="662">
        <v>0</v>
      </c>
      <c r="BG83" s="662">
        <v>6804</v>
      </c>
      <c r="BH83" s="662">
        <v>0</v>
      </c>
      <c r="BI83" s="662">
        <v>1814</v>
      </c>
      <c r="BJ83" s="662">
        <v>0</v>
      </c>
      <c r="BK83" s="662">
        <v>0</v>
      </c>
      <c r="BL83" s="662">
        <v>3594</v>
      </c>
      <c r="BM83" s="662">
        <v>0</v>
      </c>
      <c r="BN83" s="662">
        <v>3594</v>
      </c>
      <c r="BO83" s="662">
        <v>0</v>
      </c>
      <c r="BP83" s="662">
        <v>701</v>
      </c>
      <c r="BQ83" s="662">
        <v>0</v>
      </c>
      <c r="BR83" s="662">
        <v>0</v>
      </c>
      <c r="BS83" s="662">
        <v>450</v>
      </c>
      <c r="BT83" s="662">
        <v>0</v>
      </c>
      <c r="BU83" s="662">
        <v>450</v>
      </c>
      <c r="BV83" s="662">
        <v>0</v>
      </c>
      <c r="BW83" s="662">
        <v>57</v>
      </c>
      <c r="BX83" s="662">
        <v>0</v>
      </c>
      <c r="BY83" s="662">
        <v>0</v>
      </c>
      <c r="BZ83" s="662">
        <v>796</v>
      </c>
      <c r="CA83" s="662">
        <v>0</v>
      </c>
      <c r="CB83" s="662">
        <v>790</v>
      </c>
      <c r="CC83" s="662">
        <v>0</v>
      </c>
      <c r="CD83" s="662">
        <v>121</v>
      </c>
      <c r="CE83" s="662">
        <v>0</v>
      </c>
      <c r="CF83" s="662">
        <v>0</v>
      </c>
      <c r="CG83" s="662">
        <v>4060</v>
      </c>
      <c r="CH83" s="662">
        <v>0</v>
      </c>
      <c r="CI83" s="662">
        <v>4055</v>
      </c>
      <c r="CJ83" s="662">
        <v>0</v>
      </c>
      <c r="CK83" s="662">
        <v>334</v>
      </c>
      <c r="CL83" s="662">
        <v>0</v>
      </c>
      <c r="CM83" s="662">
        <v>0</v>
      </c>
      <c r="CN83" s="662">
        <v>2016</v>
      </c>
      <c r="CO83" s="662">
        <v>0</v>
      </c>
      <c r="CP83" s="662">
        <v>2015</v>
      </c>
      <c r="CQ83" s="662">
        <v>0</v>
      </c>
      <c r="CR83" s="662">
        <v>604</v>
      </c>
      <c r="CS83" s="662">
        <v>0</v>
      </c>
      <c r="CT83" s="662">
        <v>0</v>
      </c>
      <c r="CU83" s="662">
        <v>550</v>
      </c>
      <c r="CV83" s="662">
        <v>0</v>
      </c>
      <c r="CW83" s="662">
        <v>550</v>
      </c>
      <c r="CX83" s="662">
        <v>0</v>
      </c>
      <c r="CY83" s="662">
        <v>92</v>
      </c>
      <c r="CZ83" s="662">
        <v>0</v>
      </c>
      <c r="DA83" s="662">
        <v>0</v>
      </c>
      <c r="DB83" s="662">
        <v>12865</v>
      </c>
      <c r="DC83" s="662">
        <v>0</v>
      </c>
      <c r="DD83" s="662">
        <v>12865</v>
      </c>
      <c r="DE83" s="662">
        <v>0</v>
      </c>
      <c r="DF83" s="662">
        <v>1849</v>
      </c>
      <c r="DG83" s="662">
        <v>0</v>
      </c>
      <c r="DH83" s="662">
        <v>0</v>
      </c>
      <c r="DI83" s="662">
        <v>19595</v>
      </c>
      <c r="DJ83" s="662">
        <v>0</v>
      </c>
      <c r="DK83" s="662">
        <v>19595</v>
      </c>
      <c r="DL83" s="662">
        <v>0</v>
      </c>
      <c r="DM83" s="662">
        <v>775</v>
      </c>
      <c r="DN83" s="662">
        <v>0</v>
      </c>
      <c r="DO83" s="662">
        <v>0</v>
      </c>
      <c r="DP83" s="662">
        <v>4490</v>
      </c>
      <c r="DQ83" s="662">
        <v>0</v>
      </c>
      <c r="DR83" s="662">
        <v>4472</v>
      </c>
      <c r="DS83" s="662">
        <v>0</v>
      </c>
      <c r="DT83" s="662">
        <v>351</v>
      </c>
      <c r="DU83" s="662">
        <v>0</v>
      </c>
      <c r="DV83" s="662">
        <v>0</v>
      </c>
      <c r="DW83" s="662">
        <v>1404</v>
      </c>
      <c r="DX83" s="662">
        <v>0</v>
      </c>
      <c r="DY83" s="662">
        <v>1404</v>
      </c>
      <c r="DZ83" s="662">
        <v>0</v>
      </c>
      <c r="EA83" s="662">
        <v>152</v>
      </c>
      <c r="EB83" s="662">
        <v>0</v>
      </c>
      <c r="EC83" s="662">
        <v>0</v>
      </c>
      <c r="ED83" s="662">
        <v>18548</v>
      </c>
      <c r="EE83" s="662">
        <v>0</v>
      </c>
      <c r="EF83" s="662">
        <v>18448</v>
      </c>
      <c r="EG83" s="662">
        <v>0</v>
      </c>
      <c r="EH83" s="662">
        <v>1565</v>
      </c>
      <c r="EI83" s="662">
        <v>0</v>
      </c>
      <c r="EJ83" s="662">
        <v>0</v>
      </c>
      <c r="EK83" s="662">
        <v>130689</v>
      </c>
      <c r="EL83" s="662">
        <v>0</v>
      </c>
      <c r="EM83" s="662">
        <v>130689</v>
      </c>
      <c r="EN83" s="662">
        <v>0</v>
      </c>
      <c r="EO83" s="662">
        <v>17695</v>
      </c>
      <c r="EP83" s="662">
        <v>0</v>
      </c>
      <c r="EQ83" s="662">
        <v>0</v>
      </c>
    </row>
    <row r="84" spans="1:147" ht="13.95" customHeight="1" x14ac:dyDescent="0.3">
      <c r="A84" s="660" t="s">
        <v>1740</v>
      </c>
      <c r="B84" s="661" t="s">
        <v>269</v>
      </c>
      <c r="C84" s="662">
        <v>84596</v>
      </c>
      <c r="D84" s="662">
        <v>0</v>
      </c>
      <c r="E84" s="662">
        <v>84505</v>
      </c>
      <c r="F84" s="662">
        <v>0</v>
      </c>
      <c r="G84" s="662">
        <v>7007</v>
      </c>
      <c r="H84" s="662">
        <v>0</v>
      </c>
      <c r="I84" s="662">
        <v>0</v>
      </c>
      <c r="J84" s="802">
        <v>3850</v>
      </c>
      <c r="K84" s="662">
        <v>0</v>
      </c>
      <c r="L84" s="662">
        <v>3850</v>
      </c>
      <c r="M84" s="662">
        <v>0</v>
      </c>
      <c r="N84" s="662">
        <v>700</v>
      </c>
      <c r="O84" s="662">
        <v>0</v>
      </c>
      <c r="P84" s="662">
        <v>0</v>
      </c>
      <c r="Q84" s="802">
        <v>0</v>
      </c>
      <c r="R84" s="662">
        <v>0</v>
      </c>
      <c r="S84" s="662">
        <v>0</v>
      </c>
      <c r="T84" s="662">
        <v>0</v>
      </c>
      <c r="U84" s="662">
        <v>0</v>
      </c>
      <c r="V84" s="662">
        <v>0</v>
      </c>
      <c r="W84" s="802">
        <v>0</v>
      </c>
      <c r="X84" s="662">
        <v>0</v>
      </c>
      <c r="Y84" s="662">
        <v>0</v>
      </c>
      <c r="Z84" s="662">
        <v>0</v>
      </c>
      <c r="AA84" s="662">
        <v>0</v>
      </c>
      <c r="AB84" s="662">
        <v>0</v>
      </c>
      <c r="AC84" s="662">
        <v>0</v>
      </c>
      <c r="AD84" s="802">
        <v>8302</v>
      </c>
      <c r="AE84" s="662">
        <v>0</v>
      </c>
      <c r="AF84" s="662">
        <v>8302</v>
      </c>
      <c r="AG84" s="662">
        <v>0</v>
      </c>
      <c r="AH84" s="662">
        <v>2152</v>
      </c>
      <c r="AI84" s="662">
        <v>0</v>
      </c>
      <c r="AJ84" s="662">
        <v>0</v>
      </c>
      <c r="AK84" s="802">
        <v>31</v>
      </c>
      <c r="AL84" s="662">
        <v>31</v>
      </c>
      <c r="AM84" s="662">
        <v>0</v>
      </c>
      <c r="AN84" s="662">
        <v>15</v>
      </c>
      <c r="AO84" s="662">
        <v>0</v>
      </c>
      <c r="AP84" s="662">
        <v>0</v>
      </c>
      <c r="AQ84" s="802">
        <v>2028</v>
      </c>
      <c r="AR84" s="662">
        <v>0</v>
      </c>
      <c r="AS84" s="662">
        <v>2028</v>
      </c>
      <c r="AT84" s="662">
        <v>0</v>
      </c>
      <c r="AU84" s="662">
        <v>328</v>
      </c>
      <c r="AV84" s="662">
        <v>0</v>
      </c>
      <c r="AW84" s="662">
        <v>0</v>
      </c>
      <c r="AX84" s="662">
        <v>1072</v>
      </c>
      <c r="AY84" s="662">
        <v>0</v>
      </c>
      <c r="AZ84" s="662">
        <v>1061</v>
      </c>
      <c r="BA84" s="662">
        <v>0</v>
      </c>
      <c r="BB84" s="662">
        <v>153</v>
      </c>
      <c r="BC84" s="662">
        <v>0</v>
      </c>
      <c r="BD84" s="662">
        <v>0</v>
      </c>
      <c r="BE84" s="802">
        <v>998</v>
      </c>
      <c r="BF84" s="662">
        <v>0</v>
      </c>
      <c r="BG84" s="662">
        <v>998</v>
      </c>
      <c r="BH84" s="662">
        <v>0</v>
      </c>
      <c r="BI84" s="662">
        <v>174</v>
      </c>
      <c r="BJ84" s="662">
        <v>0</v>
      </c>
      <c r="BK84" s="662">
        <v>0</v>
      </c>
      <c r="BL84" s="662">
        <v>1862</v>
      </c>
      <c r="BM84" s="662">
        <v>0</v>
      </c>
      <c r="BN84" s="662">
        <v>1862</v>
      </c>
      <c r="BO84" s="662">
        <v>0</v>
      </c>
      <c r="BP84" s="662">
        <v>406</v>
      </c>
      <c r="BQ84" s="662">
        <v>0</v>
      </c>
      <c r="BR84" s="662">
        <v>0</v>
      </c>
      <c r="BS84" s="662">
        <v>750</v>
      </c>
      <c r="BT84" s="662">
        <v>0</v>
      </c>
      <c r="BU84" s="662">
        <v>750</v>
      </c>
      <c r="BV84" s="662">
        <v>0</v>
      </c>
      <c r="BW84" s="662">
        <v>114</v>
      </c>
      <c r="BX84" s="662">
        <v>0</v>
      </c>
      <c r="BY84" s="662">
        <v>0</v>
      </c>
      <c r="BZ84" s="662">
        <v>774</v>
      </c>
      <c r="CA84" s="662">
        <v>0</v>
      </c>
      <c r="CB84" s="662">
        <v>769</v>
      </c>
      <c r="CC84" s="662">
        <v>0</v>
      </c>
      <c r="CD84" s="662">
        <v>176</v>
      </c>
      <c r="CE84" s="662">
        <v>0</v>
      </c>
      <c r="CF84" s="662">
        <v>0</v>
      </c>
      <c r="CG84" s="662">
        <v>2370</v>
      </c>
      <c r="CH84" s="662">
        <v>0</v>
      </c>
      <c r="CI84" s="662">
        <v>2360</v>
      </c>
      <c r="CJ84" s="662">
        <v>0</v>
      </c>
      <c r="CK84" s="662">
        <v>222</v>
      </c>
      <c r="CL84" s="662">
        <v>0</v>
      </c>
      <c r="CM84" s="662">
        <v>0</v>
      </c>
      <c r="CN84" s="662">
        <v>400</v>
      </c>
      <c r="CO84" s="662">
        <v>0</v>
      </c>
      <c r="CP84" s="662">
        <v>395</v>
      </c>
      <c r="CQ84" s="662">
        <v>0</v>
      </c>
      <c r="CR84" s="662">
        <v>71</v>
      </c>
      <c r="CS84" s="662">
        <v>0</v>
      </c>
      <c r="CT84" s="662">
        <v>0</v>
      </c>
      <c r="CU84" s="662">
        <v>890</v>
      </c>
      <c r="CV84" s="662">
        <v>0</v>
      </c>
      <c r="CW84" s="662">
        <v>890</v>
      </c>
      <c r="CX84" s="662">
        <v>0</v>
      </c>
      <c r="CY84" s="662">
        <v>134</v>
      </c>
      <c r="CZ84" s="662">
        <v>0</v>
      </c>
      <c r="DA84" s="662">
        <v>0</v>
      </c>
      <c r="DB84" s="662">
        <v>1163</v>
      </c>
      <c r="DC84" s="662">
        <v>0</v>
      </c>
      <c r="DD84" s="662">
        <v>1113</v>
      </c>
      <c r="DE84" s="662">
        <v>0</v>
      </c>
      <c r="DF84" s="662">
        <v>226</v>
      </c>
      <c r="DG84" s="662">
        <v>0</v>
      </c>
      <c r="DH84" s="662">
        <v>0</v>
      </c>
      <c r="DI84" s="662">
        <v>38455</v>
      </c>
      <c r="DJ84" s="662">
        <v>0</v>
      </c>
      <c r="DK84" s="662">
        <v>38455</v>
      </c>
      <c r="DL84" s="662">
        <v>0</v>
      </c>
      <c r="DM84" s="662">
        <v>887</v>
      </c>
      <c r="DN84" s="662">
        <v>0</v>
      </c>
      <c r="DO84" s="662">
        <v>0</v>
      </c>
      <c r="DP84" s="662">
        <v>425</v>
      </c>
      <c r="DQ84" s="662">
        <v>0</v>
      </c>
      <c r="DR84" s="662">
        <v>423</v>
      </c>
      <c r="DS84" s="662">
        <v>0</v>
      </c>
      <c r="DT84" s="662">
        <v>24</v>
      </c>
      <c r="DU84" s="662">
        <v>0</v>
      </c>
      <c r="DV84" s="662">
        <v>0</v>
      </c>
      <c r="DW84" s="662">
        <v>3381</v>
      </c>
      <c r="DX84" s="662">
        <v>0</v>
      </c>
      <c r="DY84" s="662">
        <v>3373</v>
      </c>
      <c r="DZ84" s="662">
        <v>0</v>
      </c>
      <c r="EA84" s="662">
        <v>418</v>
      </c>
      <c r="EB84" s="662">
        <v>0</v>
      </c>
      <c r="EC84" s="662">
        <v>0</v>
      </c>
      <c r="ED84" s="662">
        <v>17845</v>
      </c>
      <c r="EE84" s="662">
        <v>0</v>
      </c>
      <c r="EF84" s="662">
        <v>17845</v>
      </c>
      <c r="EG84" s="662">
        <v>0</v>
      </c>
      <c r="EH84" s="662">
        <v>807</v>
      </c>
      <c r="EI84" s="662">
        <v>0</v>
      </c>
      <c r="EJ84" s="662">
        <v>0</v>
      </c>
      <c r="EK84" s="662">
        <v>0</v>
      </c>
      <c r="EL84" s="662">
        <v>0</v>
      </c>
      <c r="EM84" s="662">
        <v>0</v>
      </c>
      <c r="EN84" s="662">
        <v>0</v>
      </c>
      <c r="EO84" s="662">
        <v>0</v>
      </c>
      <c r="EP84" s="662">
        <v>0</v>
      </c>
      <c r="EQ84" s="662">
        <v>0</v>
      </c>
    </row>
    <row r="85" spans="1:147" ht="13.95" customHeight="1" x14ac:dyDescent="0.3">
      <c r="A85" s="660" t="s">
        <v>1741</v>
      </c>
      <c r="B85" s="661" t="s">
        <v>269</v>
      </c>
      <c r="C85" s="662">
        <v>81915</v>
      </c>
      <c r="D85" s="662">
        <v>0</v>
      </c>
      <c r="E85" s="662">
        <v>81716</v>
      </c>
      <c r="F85" s="662">
        <v>0</v>
      </c>
      <c r="G85" s="662">
        <v>8604</v>
      </c>
      <c r="H85" s="662">
        <v>0</v>
      </c>
      <c r="I85" s="662">
        <v>0</v>
      </c>
      <c r="J85" s="802">
        <v>0</v>
      </c>
      <c r="K85" s="662">
        <v>0</v>
      </c>
      <c r="L85" s="662">
        <v>0</v>
      </c>
      <c r="M85" s="662">
        <v>0</v>
      </c>
      <c r="N85" s="662">
        <v>0</v>
      </c>
      <c r="O85" s="662">
        <v>0</v>
      </c>
      <c r="P85" s="662">
        <v>0</v>
      </c>
      <c r="Q85" s="802">
        <v>0</v>
      </c>
      <c r="R85" s="662">
        <v>0</v>
      </c>
      <c r="S85" s="662">
        <v>0</v>
      </c>
      <c r="T85" s="662">
        <v>0</v>
      </c>
      <c r="U85" s="662">
        <v>0</v>
      </c>
      <c r="V85" s="662">
        <v>0</v>
      </c>
      <c r="W85" s="802">
        <v>0</v>
      </c>
      <c r="X85" s="662">
        <v>0</v>
      </c>
      <c r="Y85" s="662">
        <v>0</v>
      </c>
      <c r="Z85" s="662">
        <v>0</v>
      </c>
      <c r="AA85" s="662">
        <v>0</v>
      </c>
      <c r="AB85" s="662">
        <v>0</v>
      </c>
      <c r="AC85" s="662">
        <v>0</v>
      </c>
      <c r="AD85" s="802">
        <v>13847</v>
      </c>
      <c r="AE85" s="662">
        <v>0</v>
      </c>
      <c r="AF85" s="662">
        <v>13847</v>
      </c>
      <c r="AG85" s="662">
        <v>0</v>
      </c>
      <c r="AH85" s="662">
        <v>3292</v>
      </c>
      <c r="AI85" s="662">
        <v>0</v>
      </c>
      <c r="AJ85" s="662">
        <v>0</v>
      </c>
      <c r="AK85" s="802">
        <v>15</v>
      </c>
      <c r="AL85" s="662">
        <v>15</v>
      </c>
      <c r="AM85" s="662">
        <v>0</v>
      </c>
      <c r="AN85" s="662">
        <v>6</v>
      </c>
      <c r="AO85" s="662">
        <v>0</v>
      </c>
      <c r="AP85" s="662">
        <v>0</v>
      </c>
      <c r="AQ85" s="802">
        <v>124</v>
      </c>
      <c r="AR85" s="662">
        <v>0</v>
      </c>
      <c r="AS85" s="662">
        <v>124</v>
      </c>
      <c r="AT85" s="662">
        <v>0</v>
      </c>
      <c r="AU85" s="662">
        <v>11</v>
      </c>
      <c r="AV85" s="662">
        <v>0</v>
      </c>
      <c r="AW85" s="662">
        <v>0</v>
      </c>
      <c r="AX85" s="662">
        <v>37</v>
      </c>
      <c r="AY85" s="662">
        <v>0</v>
      </c>
      <c r="AZ85" s="662">
        <v>36</v>
      </c>
      <c r="BA85" s="662">
        <v>0</v>
      </c>
      <c r="BB85" s="662">
        <v>5</v>
      </c>
      <c r="BC85" s="662">
        <v>0</v>
      </c>
      <c r="BD85" s="662">
        <v>0</v>
      </c>
      <c r="BE85" s="802">
        <v>891</v>
      </c>
      <c r="BF85" s="662">
        <v>0</v>
      </c>
      <c r="BG85" s="662">
        <v>891</v>
      </c>
      <c r="BH85" s="662">
        <v>0</v>
      </c>
      <c r="BI85" s="662">
        <v>191</v>
      </c>
      <c r="BJ85" s="662">
        <v>0</v>
      </c>
      <c r="BK85" s="662">
        <v>0</v>
      </c>
      <c r="BL85" s="662">
        <v>1495</v>
      </c>
      <c r="BM85" s="662">
        <v>0</v>
      </c>
      <c r="BN85" s="662">
        <v>1495</v>
      </c>
      <c r="BO85" s="662">
        <v>0</v>
      </c>
      <c r="BP85" s="662">
        <v>312</v>
      </c>
      <c r="BQ85" s="662">
        <v>0</v>
      </c>
      <c r="BR85" s="662">
        <v>0</v>
      </c>
      <c r="BS85" s="662">
        <v>100</v>
      </c>
      <c r="BT85" s="662">
        <v>0</v>
      </c>
      <c r="BU85" s="662">
        <v>100</v>
      </c>
      <c r="BV85" s="662">
        <v>0</v>
      </c>
      <c r="BW85" s="662">
        <v>8</v>
      </c>
      <c r="BX85" s="662">
        <v>0</v>
      </c>
      <c r="BY85" s="662">
        <v>0</v>
      </c>
      <c r="BZ85" s="662">
        <v>1052</v>
      </c>
      <c r="CA85" s="662">
        <v>0</v>
      </c>
      <c r="CB85" s="662">
        <v>1028</v>
      </c>
      <c r="CC85" s="662">
        <v>0</v>
      </c>
      <c r="CD85" s="662">
        <v>224</v>
      </c>
      <c r="CE85" s="662">
        <v>0</v>
      </c>
      <c r="CF85" s="662">
        <v>0</v>
      </c>
      <c r="CG85" s="662">
        <v>9395</v>
      </c>
      <c r="CH85" s="662">
        <v>0</v>
      </c>
      <c r="CI85" s="662">
        <v>9345</v>
      </c>
      <c r="CJ85" s="662">
        <v>0</v>
      </c>
      <c r="CK85" s="662">
        <v>965</v>
      </c>
      <c r="CL85" s="662">
        <v>0</v>
      </c>
      <c r="CM85" s="662">
        <v>0</v>
      </c>
      <c r="CN85" s="662">
        <v>670</v>
      </c>
      <c r="CO85" s="662">
        <v>0</v>
      </c>
      <c r="CP85" s="662">
        <v>668</v>
      </c>
      <c r="CQ85" s="662">
        <v>0</v>
      </c>
      <c r="CR85" s="662">
        <v>77</v>
      </c>
      <c r="CS85" s="662">
        <v>0</v>
      </c>
      <c r="CT85" s="662">
        <v>0</v>
      </c>
      <c r="CU85" s="662">
        <v>860</v>
      </c>
      <c r="CV85" s="662">
        <v>0</v>
      </c>
      <c r="CW85" s="662">
        <v>860</v>
      </c>
      <c r="CX85" s="662">
        <v>0</v>
      </c>
      <c r="CY85" s="662">
        <v>127</v>
      </c>
      <c r="CZ85" s="662">
        <v>0</v>
      </c>
      <c r="DA85" s="662">
        <v>0</v>
      </c>
      <c r="DB85" s="662">
        <v>985</v>
      </c>
      <c r="DC85" s="662">
        <v>0</v>
      </c>
      <c r="DD85" s="662">
        <v>935</v>
      </c>
      <c r="DE85" s="662">
        <v>0</v>
      </c>
      <c r="DF85" s="662">
        <v>198</v>
      </c>
      <c r="DG85" s="662">
        <v>0</v>
      </c>
      <c r="DH85" s="662">
        <v>0</v>
      </c>
      <c r="DI85" s="662">
        <v>20365</v>
      </c>
      <c r="DJ85" s="662">
        <v>0</v>
      </c>
      <c r="DK85" s="662">
        <v>20365</v>
      </c>
      <c r="DL85" s="662">
        <v>0</v>
      </c>
      <c r="DM85" s="662">
        <v>967</v>
      </c>
      <c r="DN85" s="662">
        <v>0</v>
      </c>
      <c r="DO85" s="662">
        <v>0</v>
      </c>
      <c r="DP85" s="662">
        <v>5794</v>
      </c>
      <c r="DQ85" s="662">
        <v>0</v>
      </c>
      <c r="DR85" s="662">
        <v>5722</v>
      </c>
      <c r="DS85" s="662">
        <v>0</v>
      </c>
      <c r="DT85" s="662">
        <v>951</v>
      </c>
      <c r="DU85" s="662">
        <v>0</v>
      </c>
      <c r="DV85" s="662">
        <v>0</v>
      </c>
      <c r="DW85" s="662">
        <v>3344</v>
      </c>
      <c r="DX85" s="662">
        <v>0</v>
      </c>
      <c r="DY85" s="662">
        <v>3344</v>
      </c>
      <c r="DZ85" s="662">
        <v>0</v>
      </c>
      <c r="EA85" s="662">
        <v>415</v>
      </c>
      <c r="EB85" s="662">
        <v>0</v>
      </c>
      <c r="EC85" s="662">
        <v>0</v>
      </c>
      <c r="ED85" s="662">
        <v>22786</v>
      </c>
      <c r="EE85" s="662">
        <v>0</v>
      </c>
      <c r="EF85" s="662">
        <v>22786</v>
      </c>
      <c r="EG85" s="662">
        <v>0</v>
      </c>
      <c r="EH85" s="662">
        <v>833</v>
      </c>
      <c r="EI85" s="662">
        <v>0</v>
      </c>
      <c r="EJ85" s="662">
        <v>0</v>
      </c>
      <c r="EK85" s="662">
        <v>155</v>
      </c>
      <c r="EL85" s="662">
        <v>0</v>
      </c>
      <c r="EM85" s="662">
        <v>155</v>
      </c>
      <c r="EN85" s="662">
        <v>0</v>
      </c>
      <c r="EO85" s="662">
        <v>22</v>
      </c>
      <c r="EP85" s="662">
        <v>0</v>
      </c>
      <c r="EQ85" s="662">
        <v>0</v>
      </c>
    </row>
    <row r="86" spans="1:147" ht="13.95" customHeight="1" x14ac:dyDescent="0.3">
      <c r="A86" s="660" t="s">
        <v>1742</v>
      </c>
      <c r="B86" s="661" t="s">
        <v>269</v>
      </c>
      <c r="C86" s="662">
        <v>279826</v>
      </c>
      <c r="D86" s="662">
        <v>0</v>
      </c>
      <c r="E86" s="662">
        <v>279284</v>
      </c>
      <c r="F86" s="662">
        <v>0</v>
      </c>
      <c r="G86" s="662">
        <v>42313</v>
      </c>
      <c r="H86" s="662">
        <v>0</v>
      </c>
      <c r="I86" s="662">
        <v>0</v>
      </c>
      <c r="J86" s="802">
        <v>0</v>
      </c>
      <c r="K86" s="662">
        <v>0</v>
      </c>
      <c r="L86" s="662">
        <v>0</v>
      </c>
      <c r="M86" s="662">
        <v>0</v>
      </c>
      <c r="N86" s="662">
        <v>0</v>
      </c>
      <c r="O86" s="662">
        <v>0</v>
      </c>
      <c r="P86" s="662">
        <v>0</v>
      </c>
      <c r="Q86" s="802">
        <v>0</v>
      </c>
      <c r="R86" s="662">
        <v>0</v>
      </c>
      <c r="S86" s="662">
        <v>0</v>
      </c>
      <c r="T86" s="662">
        <v>0</v>
      </c>
      <c r="U86" s="662">
        <v>0</v>
      </c>
      <c r="V86" s="662">
        <v>0</v>
      </c>
      <c r="W86" s="802">
        <v>79</v>
      </c>
      <c r="X86" s="662">
        <v>0</v>
      </c>
      <c r="Y86" s="662">
        <v>79</v>
      </c>
      <c r="Z86" s="662">
        <v>0</v>
      </c>
      <c r="AA86" s="662">
        <v>7</v>
      </c>
      <c r="AB86" s="662">
        <v>0</v>
      </c>
      <c r="AC86" s="662">
        <v>0</v>
      </c>
      <c r="AD86" s="802">
        <v>33226</v>
      </c>
      <c r="AE86" s="662">
        <v>0</v>
      </c>
      <c r="AF86" s="662">
        <v>33226</v>
      </c>
      <c r="AG86" s="662">
        <v>0</v>
      </c>
      <c r="AH86" s="662">
        <v>8353</v>
      </c>
      <c r="AI86" s="662">
        <v>0</v>
      </c>
      <c r="AJ86" s="662">
        <v>0</v>
      </c>
      <c r="AK86" s="802">
        <v>133</v>
      </c>
      <c r="AL86" s="662">
        <v>133</v>
      </c>
      <c r="AM86" s="662">
        <v>0</v>
      </c>
      <c r="AN86" s="662">
        <v>18</v>
      </c>
      <c r="AO86" s="662">
        <v>0</v>
      </c>
      <c r="AP86" s="662">
        <v>0</v>
      </c>
      <c r="AQ86" s="802">
        <v>2874</v>
      </c>
      <c r="AR86" s="662">
        <v>0</v>
      </c>
      <c r="AS86" s="662">
        <v>2874</v>
      </c>
      <c r="AT86" s="662">
        <v>0</v>
      </c>
      <c r="AU86" s="662">
        <v>424</v>
      </c>
      <c r="AV86" s="662">
        <v>0</v>
      </c>
      <c r="AW86" s="662">
        <v>0</v>
      </c>
      <c r="AX86" s="662">
        <v>1124</v>
      </c>
      <c r="AY86" s="662">
        <v>0</v>
      </c>
      <c r="AZ86" s="662">
        <v>1114</v>
      </c>
      <c r="BA86" s="662">
        <v>0</v>
      </c>
      <c r="BB86" s="662">
        <v>102</v>
      </c>
      <c r="BC86" s="662">
        <v>0</v>
      </c>
      <c r="BD86" s="662">
        <v>0</v>
      </c>
      <c r="BE86" s="802">
        <v>3198</v>
      </c>
      <c r="BF86" s="662">
        <v>0</v>
      </c>
      <c r="BG86" s="662">
        <v>3198</v>
      </c>
      <c r="BH86" s="662">
        <v>0</v>
      </c>
      <c r="BI86" s="662">
        <v>665</v>
      </c>
      <c r="BJ86" s="662">
        <v>0</v>
      </c>
      <c r="BK86" s="662">
        <v>0</v>
      </c>
      <c r="BL86" s="662">
        <v>55938</v>
      </c>
      <c r="BM86" s="662">
        <v>0</v>
      </c>
      <c r="BN86" s="662">
        <v>55938</v>
      </c>
      <c r="BO86" s="662">
        <v>0</v>
      </c>
      <c r="BP86" s="662">
        <v>13653</v>
      </c>
      <c r="BQ86" s="662">
        <v>0</v>
      </c>
      <c r="BR86" s="662">
        <v>0</v>
      </c>
      <c r="BS86" s="662">
        <v>470</v>
      </c>
      <c r="BT86" s="662">
        <v>0</v>
      </c>
      <c r="BU86" s="662">
        <v>470</v>
      </c>
      <c r="BV86" s="662">
        <v>0</v>
      </c>
      <c r="BW86" s="662">
        <v>73</v>
      </c>
      <c r="BX86" s="662">
        <v>0</v>
      </c>
      <c r="BY86" s="662">
        <v>0</v>
      </c>
      <c r="BZ86" s="662">
        <v>1</v>
      </c>
      <c r="CA86" s="662">
        <v>0</v>
      </c>
      <c r="CB86" s="662">
        <v>1</v>
      </c>
      <c r="CC86" s="662">
        <v>0</v>
      </c>
      <c r="CD86" s="662">
        <v>1</v>
      </c>
      <c r="CE86" s="662">
        <v>0</v>
      </c>
      <c r="CF86" s="662">
        <v>0</v>
      </c>
      <c r="CG86" s="662">
        <v>63700</v>
      </c>
      <c r="CH86" s="662">
        <v>0</v>
      </c>
      <c r="CI86" s="662">
        <v>63400</v>
      </c>
      <c r="CJ86" s="662">
        <v>0</v>
      </c>
      <c r="CK86" s="662">
        <v>8745</v>
      </c>
      <c r="CL86" s="662">
        <v>0</v>
      </c>
      <c r="CM86" s="662">
        <v>0</v>
      </c>
      <c r="CN86" s="662">
        <v>2015</v>
      </c>
      <c r="CO86" s="662">
        <v>0</v>
      </c>
      <c r="CP86" s="662">
        <v>2013</v>
      </c>
      <c r="CQ86" s="662">
        <v>0</v>
      </c>
      <c r="CR86" s="662">
        <v>479</v>
      </c>
      <c r="CS86" s="662">
        <v>0</v>
      </c>
      <c r="CT86" s="662">
        <v>0</v>
      </c>
      <c r="CU86" s="662">
        <v>1030</v>
      </c>
      <c r="CV86" s="662">
        <v>0</v>
      </c>
      <c r="CW86" s="662">
        <v>1030</v>
      </c>
      <c r="CX86" s="662">
        <v>0</v>
      </c>
      <c r="CY86" s="662">
        <v>184</v>
      </c>
      <c r="CZ86" s="662">
        <v>0</v>
      </c>
      <c r="DA86" s="662">
        <v>0</v>
      </c>
      <c r="DB86" s="662">
        <v>15300</v>
      </c>
      <c r="DC86" s="662">
        <v>0</v>
      </c>
      <c r="DD86" s="662">
        <v>15100</v>
      </c>
      <c r="DE86" s="662">
        <v>0</v>
      </c>
      <c r="DF86" s="662">
        <v>4334</v>
      </c>
      <c r="DG86" s="662">
        <v>0</v>
      </c>
      <c r="DH86" s="662">
        <v>0</v>
      </c>
      <c r="DI86" s="662">
        <v>55025</v>
      </c>
      <c r="DJ86" s="662">
        <v>0</v>
      </c>
      <c r="DK86" s="662">
        <v>55025</v>
      </c>
      <c r="DL86" s="662">
        <v>0</v>
      </c>
      <c r="DM86" s="662">
        <v>2050</v>
      </c>
      <c r="DN86" s="662">
        <v>0</v>
      </c>
      <c r="DO86" s="662">
        <v>0</v>
      </c>
      <c r="DP86" s="662">
        <v>7893</v>
      </c>
      <c r="DQ86" s="662">
        <v>0</v>
      </c>
      <c r="DR86" s="662">
        <v>7868</v>
      </c>
      <c r="DS86" s="662">
        <v>0</v>
      </c>
      <c r="DT86" s="662">
        <v>1123</v>
      </c>
      <c r="DU86" s="662">
        <v>0</v>
      </c>
      <c r="DV86" s="662">
        <v>0</v>
      </c>
      <c r="DW86" s="662">
        <v>3816</v>
      </c>
      <c r="DX86" s="662">
        <v>0</v>
      </c>
      <c r="DY86" s="662">
        <v>3811</v>
      </c>
      <c r="DZ86" s="662">
        <v>0</v>
      </c>
      <c r="EA86" s="662">
        <v>466</v>
      </c>
      <c r="EB86" s="662">
        <v>0</v>
      </c>
      <c r="EC86" s="662">
        <v>0</v>
      </c>
      <c r="ED86" s="662">
        <v>31000</v>
      </c>
      <c r="EE86" s="662">
        <v>0</v>
      </c>
      <c r="EF86" s="662">
        <v>31000</v>
      </c>
      <c r="EG86" s="662">
        <v>0</v>
      </c>
      <c r="EH86" s="662">
        <v>1275</v>
      </c>
      <c r="EI86" s="662">
        <v>0</v>
      </c>
      <c r="EJ86" s="662">
        <v>0</v>
      </c>
      <c r="EK86" s="662">
        <v>3004</v>
      </c>
      <c r="EL86" s="662">
        <v>0</v>
      </c>
      <c r="EM86" s="662">
        <v>3004</v>
      </c>
      <c r="EN86" s="662">
        <v>0</v>
      </c>
      <c r="EO86" s="662">
        <v>361</v>
      </c>
      <c r="EP86" s="662">
        <v>0</v>
      </c>
      <c r="EQ86" s="662">
        <v>0</v>
      </c>
    </row>
    <row r="87" spans="1:147" ht="13.95" customHeight="1" x14ac:dyDescent="0.3">
      <c r="A87" s="660" t="s">
        <v>1743</v>
      </c>
      <c r="B87" s="661" t="s">
        <v>269</v>
      </c>
      <c r="C87" s="662">
        <v>721044</v>
      </c>
      <c r="D87" s="662">
        <v>0</v>
      </c>
      <c r="E87" s="662">
        <v>719073</v>
      </c>
      <c r="F87" s="662">
        <v>0</v>
      </c>
      <c r="G87" s="662">
        <v>209316</v>
      </c>
      <c r="H87" s="662">
        <v>0</v>
      </c>
      <c r="I87" s="662">
        <v>0</v>
      </c>
      <c r="J87" s="802">
        <v>24344</v>
      </c>
      <c r="K87" s="662">
        <v>0</v>
      </c>
      <c r="L87" s="662">
        <v>24344</v>
      </c>
      <c r="M87" s="662">
        <v>0</v>
      </c>
      <c r="N87" s="662">
        <v>2462</v>
      </c>
      <c r="O87" s="662">
        <v>0</v>
      </c>
      <c r="P87" s="662">
        <v>0</v>
      </c>
      <c r="Q87" s="802">
        <v>0</v>
      </c>
      <c r="R87" s="662">
        <v>0</v>
      </c>
      <c r="S87" s="662">
        <v>0</v>
      </c>
      <c r="T87" s="662">
        <v>0</v>
      </c>
      <c r="U87" s="662">
        <v>0</v>
      </c>
      <c r="V87" s="662">
        <v>0</v>
      </c>
      <c r="W87" s="802">
        <v>785</v>
      </c>
      <c r="X87" s="662">
        <v>0</v>
      </c>
      <c r="Y87" s="662">
        <v>785</v>
      </c>
      <c r="Z87" s="662">
        <v>0</v>
      </c>
      <c r="AA87" s="662">
        <v>99</v>
      </c>
      <c r="AB87" s="662">
        <v>0</v>
      </c>
      <c r="AC87" s="662">
        <v>0</v>
      </c>
      <c r="AD87" s="802">
        <v>74715</v>
      </c>
      <c r="AE87" s="662">
        <v>0</v>
      </c>
      <c r="AF87" s="662">
        <v>74715</v>
      </c>
      <c r="AG87" s="662">
        <v>0</v>
      </c>
      <c r="AH87" s="662">
        <v>33148</v>
      </c>
      <c r="AI87" s="662">
        <v>0</v>
      </c>
      <c r="AJ87" s="662">
        <v>0</v>
      </c>
      <c r="AK87" s="802">
        <v>232</v>
      </c>
      <c r="AL87" s="662">
        <v>232</v>
      </c>
      <c r="AM87" s="662">
        <v>0</v>
      </c>
      <c r="AN87" s="662">
        <v>96</v>
      </c>
      <c r="AO87" s="662">
        <v>0</v>
      </c>
      <c r="AP87" s="662">
        <v>0</v>
      </c>
      <c r="AQ87" s="802">
        <v>23306</v>
      </c>
      <c r="AR87" s="662">
        <v>0</v>
      </c>
      <c r="AS87" s="662">
        <v>23306</v>
      </c>
      <c r="AT87" s="662">
        <v>0</v>
      </c>
      <c r="AU87" s="662">
        <v>2972</v>
      </c>
      <c r="AV87" s="662">
        <v>0</v>
      </c>
      <c r="AW87" s="662">
        <v>0</v>
      </c>
      <c r="AX87" s="662">
        <v>21195</v>
      </c>
      <c r="AY87" s="662">
        <v>0</v>
      </c>
      <c r="AZ87" s="662">
        <v>21080</v>
      </c>
      <c r="BA87" s="662">
        <v>0</v>
      </c>
      <c r="BB87" s="662">
        <v>2524</v>
      </c>
      <c r="BC87" s="662">
        <v>0</v>
      </c>
      <c r="BD87" s="662">
        <v>0</v>
      </c>
      <c r="BE87" s="802">
        <v>258278</v>
      </c>
      <c r="BF87" s="662">
        <v>0</v>
      </c>
      <c r="BG87" s="662">
        <v>258278</v>
      </c>
      <c r="BH87" s="662">
        <v>0</v>
      </c>
      <c r="BI87" s="662">
        <v>110316</v>
      </c>
      <c r="BJ87" s="662">
        <v>0</v>
      </c>
      <c r="BK87" s="662">
        <v>0</v>
      </c>
      <c r="BL87" s="662">
        <v>43393</v>
      </c>
      <c r="BM87" s="662">
        <v>0</v>
      </c>
      <c r="BN87" s="662">
        <v>43373</v>
      </c>
      <c r="BO87" s="662">
        <v>0</v>
      </c>
      <c r="BP87" s="662">
        <v>11088</v>
      </c>
      <c r="BQ87" s="662">
        <v>0</v>
      </c>
      <c r="BR87" s="662">
        <v>0</v>
      </c>
      <c r="BS87" s="662">
        <v>59000</v>
      </c>
      <c r="BT87" s="662">
        <v>0</v>
      </c>
      <c r="BU87" s="662">
        <v>59000</v>
      </c>
      <c r="BV87" s="662">
        <v>0</v>
      </c>
      <c r="BW87" s="662">
        <v>8160</v>
      </c>
      <c r="BX87" s="662">
        <v>0</v>
      </c>
      <c r="BY87" s="662">
        <v>0</v>
      </c>
      <c r="BZ87" s="662">
        <v>70166</v>
      </c>
      <c r="CA87" s="662">
        <v>0</v>
      </c>
      <c r="CB87" s="662">
        <v>70014</v>
      </c>
      <c r="CC87" s="662">
        <v>0</v>
      </c>
      <c r="CD87" s="662">
        <v>7095</v>
      </c>
      <c r="CE87" s="662">
        <v>0</v>
      </c>
      <c r="CF87" s="662">
        <v>0</v>
      </c>
      <c r="CG87" s="662">
        <v>57100</v>
      </c>
      <c r="CH87" s="662">
        <v>0</v>
      </c>
      <c r="CI87" s="662">
        <v>56100</v>
      </c>
      <c r="CJ87" s="662">
        <v>0</v>
      </c>
      <c r="CK87" s="662">
        <v>9374</v>
      </c>
      <c r="CL87" s="662">
        <v>0</v>
      </c>
      <c r="CM87" s="662">
        <v>0</v>
      </c>
      <c r="CN87" s="662">
        <v>24045</v>
      </c>
      <c r="CO87" s="662">
        <v>0</v>
      </c>
      <c r="CP87" s="662">
        <v>24015</v>
      </c>
      <c r="CQ87" s="662">
        <v>0</v>
      </c>
      <c r="CR87" s="662">
        <v>2928</v>
      </c>
      <c r="CS87" s="662">
        <v>0</v>
      </c>
      <c r="CT87" s="662">
        <v>0</v>
      </c>
      <c r="CU87" s="662">
        <v>9800</v>
      </c>
      <c r="CV87" s="662">
        <v>0</v>
      </c>
      <c r="CW87" s="662">
        <v>9800</v>
      </c>
      <c r="CX87" s="662">
        <v>0</v>
      </c>
      <c r="CY87" s="662">
        <v>1040</v>
      </c>
      <c r="CZ87" s="662">
        <v>0</v>
      </c>
      <c r="DA87" s="662">
        <v>0</v>
      </c>
      <c r="DB87" s="662">
        <v>24333</v>
      </c>
      <c r="DC87" s="662">
        <v>0</v>
      </c>
      <c r="DD87" s="662">
        <v>23833</v>
      </c>
      <c r="DE87" s="662">
        <v>0</v>
      </c>
      <c r="DF87" s="662">
        <v>11923</v>
      </c>
      <c r="DG87" s="662">
        <v>0</v>
      </c>
      <c r="DH87" s="662">
        <v>0</v>
      </c>
      <c r="DI87" s="662">
        <v>2649</v>
      </c>
      <c r="DJ87" s="662">
        <v>0</v>
      </c>
      <c r="DK87" s="662">
        <v>2649</v>
      </c>
      <c r="DL87" s="662">
        <v>0</v>
      </c>
      <c r="DM87" s="662">
        <v>866</v>
      </c>
      <c r="DN87" s="662">
        <v>0</v>
      </c>
      <c r="DO87" s="662">
        <v>0</v>
      </c>
      <c r="DP87" s="662">
        <v>4903</v>
      </c>
      <c r="DQ87" s="662">
        <v>0</v>
      </c>
      <c r="DR87" s="662">
        <v>4890</v>
      </c>
      <c r="DS87" s="662">
        <v>0</v>
      </c>
      <c r="DT87" s="662">
        <v>410</v>
      </c>
      <c r="DU87" s="662">
        <v>0</v>
      </c>
      <c r="DV87" s="662">
        <v>0</v>
      </c>
      <c r="DW87" s="662">
        <v>5780</v>
      </c>
      <c r="DX87" s="662">
        <v>0</v>
      </c>
      <c r="DY87" s="662">
        <v>5764</v>
      </c>
      <c r="DZ87" s="662">
        <v>0</v>
      </c>
      <c r="EA87" s="662">
        <v>983</v>
      </c>
      <c r="EB87" s="662">
        <v>0</v>
      </c>
      <c r="EC87" s="662">
        <v>0</v>
      </c>
      <c r="ED87" s="662">
        <v>3830</v>
      </c>
      <c r="EE87" s="662">
        <v>0</v>
      </c>
      <c r="EF87" s="662">
        <v>3730</v>
      </c>
      <c r="EG87" s="662">
        <v>0</v>
      </c>
      <c r="EH87" s="662">
        <v>415</v>
      </c>
      <c r="EI87" s="662">
        <v>0</v>
      </c>
      <c r="EJ87" s="662">
        <v>0</v>
      </c>
      <c r="EK87" s="662">
        <v>13190</v>
      </c>
      <c r="EL87" s="662">
        <v>0</v>
      </c>
      <c r="EM87" s="662">
        <v>13165</v>
      </c>
      <c r="EN87" s="662">
        <v>0</v>
      </c>
      <c r="EO87" s="662">
        <v>3417</v>
      </c>
      <c r="EP87" s="662">
        <v>0</v>
      </c>
      <c r="EQ87" s="662">
        <v>0</v>
      </c>
    </row>
    <row r="88" spans="1:147" ht="13.95" customHeight="1" x14ac:dyDescent="0.3">
      <c r="A88" s="660" t="s">
        <v>1744</v>
      </c>
      <c r="B88" s="661" t="s">
        <v>269</v>
      </c>
      <c r="C88" s="662">
        <v>14754</v>
      </c>
      <c r="D88" s="662">
        <v>0</v>
      </c>
      <c r="E88" s="662">
        <v>14729</v>
      </c>
      <c r="F88" s="662">
        <v>0</v>
      </c>
      <c r="G88" s="662">
        <v>2073</v>
      </c>
      <c r="H88" s="662">
        <v>0</v>
      </c>
      <c r="I88" s="662">
        <v>0</v>
      </c>
      <c r="J88" s="802">
        <v>0</v>
      </c>
      <c r="K88" s="662">
        <v>0</v>
      </c>
      <c r="L88" s="662">
        <v>0</v>
      </c>
      <c r="M88" s="662">
        <v>0</v>
      </c>
      <c r="N88" s="662">
        <v>0</v>
      </c>
      <c r="O88" s="662">
        <v>0</v>
      </c>
      <c r="P88" s="662">
        <v>0</v>
      </c>
      <c r="Q88" s="802">
        <v>0</v>
      </c>
      <c r="R88" s="662">
        <v>0</v>
      </c>
      <c r="S88" s="662">
        <v>0</v>
      </c>
      <c r="T88" s="662">
        <v>0</v>
      </c>
      <c r="U88" s="662">
        <v>0</v>
      </c>
      <c r="V88" s="662">
        <v>0</v>
      </c>
      <c r="W88" s="802">
        <v>0</v>
      </c>
      <c r="X88" s="662">
        <v>0</v>
      </c>
      <c r="Y88" s="662">
        <v>0</v>
      </c>
      <c r="Z88" s="662">
        <v>0</v>
      </c>
      <c r="AA88" s="662">
        <v>0</v>
      </c>
      <c r="AB88" s="662">
        <v>0</v>
      </c>
      <c r="AC88" s="662">
        <v>0</v>
      </c>
      <c r="AD88" s="802">
        <v>0</v>
      </c>
      <c r="AE88" s="662">
        <v>0</v>
      </c>
      <c r="AF88" s="662">
        <v>0</v>
      </c>
      <c r="AG88" s="662">
        <v>0</v>
      </c>
      <c r="AH88" s="662">
        <v>0</v>
      </c>
      <c r="AI88" s="662">
        <v>0</v>
      </c>
      <c r="AJ88" s="662">
        <v>0</v>
      </c>
      <c r="AK88" s="802">
        <v>0</v>
      </c>
      <c r="AL88" s="662">
        <v>0</v>
      </c>
      <c r="AM88" s="662">
        <v>0</v>
      </c>
      <c r="AN88" s="662">
        <v>0</v>
      </c>
      <c r="AO88" s="662">
        <v>0</v>
      </c>
      <c r="AP88" s="662">
        <v>0</v>
      </c>
      <c r="AQ88" s="802">
        <v>6</v>
      </c>
      <c r="AR88" s="662">
        <v>0</v>
      </c>
      <c r="AS88" s="662">
        <v>6</v>
      </c>
      <c r="AT88" s="662">
        <v>0</v>
      </c>
      <c r="AU88" s="662">
        <v>4</v>
      </c>
      <c r="AV88" s="662">
        <v>0</v>
      </c>
      <c r="AW88" s="662">
        <v>0</v>
      </c>
      <c r="AX88" s="662">
        <v>0</v>
      </c>
      <c r="AY88" s="662">
        <v>0</v>
      </c>
      <c r="AZ88" s="662">
        <v>0</v>
      </c>
      <c r="BA88" s="662">
        <v>0</v>
      </c>
      <c r="BB88" s="662">
        <v>0</v>
      </c>
      <c r="BC88" s="662">
        <v>0</v>
      </c>
      <c r="BD88" s="662">
        <v>0</v>
      </c>
      <c r="BE88" s="802">
        <v>279</v>
      </c>
      <c r="BF88" s="662">
        <v>0</v>
      </c>
      <c r="BG88" s="662">
        <v>279</v>
      </c>
      <c r="BH88" s="662">
        <v>0</v>
      </c>
      <c r="BI88" s="662">
        <v>82</v>
      </c>
      <c r="BJ88" s="662">
        <v>0</v>
      </c>
      <c r="BK88" s="662">
        <v>0</v>
      </c>
      <c r="BL88" s="662">
        <v>2502</v>
      </c>
      <c r="BM88" s="662">
        <v>0</v>
      </c>
      <c r="BN88" s="662">
        <v>2500</v>
      </c>
      <c r="BO88" s="662">
        <v>0</v>
      </c>
      <c r="BP88" s="662">
        <v>512</v>
      </c>
      <c r="BQ88" s="662">
        <v>0</v>
      </c>
      <c r="BR88" s="662">
        <v>0</v>
      </c>
      <c r="BS88" s="662">
        <v>2900</v>
      </c>
      <c r="BT88" s="662">
        <v>0</v>
      </c>
      <c r="BU88" s="662">
        <v>2900</v>
      </c>
      <c r="BV88" s="662">
        <v>0</v>
      </c>
      <c r="BW88" s="662">
        <v>419</v>
      </c>
      <c r="BX88" s="662">
        <v>0</v>
      </c>
      <c r="BY88" s="662">
        <v>0</v>
      </c>
      <c r="BZ88" s="662">
        <v>140</v>
      </c>
      <c r="CA88" s="662">
        <v>0</v>
      </c>
      <c r="CB88" s="662">
        <v>128</v>
      </c>
      <c r="CC88" s="662">
        <v>0</v>
      </c>
      <c r="CD88" s="662">
        <v>21</v>
      </c>
      <c r="CE88" s="662">
        <v>0</v>
      </c>
      <c r="CF88" s="662">
        <v>0</v>
      </c>
      <c r="CG88" s="662">
        <v>136</v>
      </c>
      <c r="CH88" s="662">
        <v>0</v>
      </c>
      <c r="CI88" s="662">
        <v>136</v>
      </c>
      <c r="CJ88" s="662">
        <v>0</v>
      </c>
      <c r="CK88" s="662">
        <v>9</v>
      </c>
      <c r="CL88" s="662">
        <v>0</v>
      </c>
      <c r="CM88" s="662">
        <v>0</v>
      </c>
      <c r="CN88" s="662">
        <v>1634</v>
      </c>
      <c r="CO88" s="662">
        <v>0</v>
      </c>
      <c r="CP88" s="662">
        <v>1633</v>
      </c>
      <c r="CQ88" s="662">
        <v>0</v>
      </c>
      <c r="CR88" s="662">
        <v>136</v>
      </c>
      <c r="CS88" s="662">
        <v>0</v>
      </c>
      <c r="CT88" s="662">
        <v>0</v>
      </c>
      <c r="CU88" s="662">
        <v>650</v>
      </c>
      <c r="CV88" s="662">
        <v>0</v>
      </c>
      <c r="CW88" s="662">
        <v>650</v>
      </c>
      <c r="CX88" s="662">
        <v>0</v>
      </c>
      <c r="CY88" s="662">
        <v>62</v>
      </c>
      <c r="CZ88" s="662">
        <v>0</v>
      </c>
      <c r="DA88" s="662">
        <v>0</v>
      </c>
      <c r="DB88" s="662">
        <v>2200</v>
      </c>
      <c r="DC88" s="662">
        <v>0</v>
      </c>
      <c r="DD88" s="662">
        <v>2200</v>
      </c>
      <c r="DE88" s="662">
        <v>0</v>
      </c>
      <c r="DF88" s="662">
        <v>464</v>
      </c>
      <c r="DG88" s="662">
        <v>0</v>
      </c>
      <c r="DH88" s="662">
        <v>0</v>
      </c>
      <c r="DI88" s="662">
        <v>1023</v>
      </c>
      <c r="DJ88" s="662">
        <v>0</v>
      </c>
      <c r="DK88" s="662">
        <v>1023</v>
      </c>
      <c r="DL88" s="662">
        <v>0</v>
      </c>
      <c r="DM88" s="662">
        <v>50</v>
      </c>
      <c r="DN88" s="662">
        <v>0</v>
      </c>
      <c r="DO88" s="662">
        <v>0</v>
      </c>
      <c r="DP88" s="662">
        <v>2852</v>
      </c>
      <c r="DQ88" s="662">
        <v>0</v>
      </c>
      <c r="DR88" s="662">
        <v>2842</v>
      </c>
      <c r="DS88" s="662">
        <v>0</v>
      </c>
      <c r="DT88" s="662">
        <v>249</v>
      </c>
      <c r="DU88" s="662">
        <v>0</v>
      </c>
      <c r="DV88" s="662">
        <v>0</v>
      </c>
      <c r="DW88" s="662">
        <v>358</v>
      </c>
      <c r="DX88" s="662">
        <v>0</v>
      </c>
      <c r="DY88" s="662">
        <v>358</v>
      </c>
      <c r="DZ88" s="662">
        <v>0</v>
      </c>
      <c r="EA88" s="662">
        <v>63</v>
      </c>
      <c r="EB88" s="662">
        <v>0</v>
      </c>
      <c r="EC88" s="662">
        <v>0</v>
      </c>
      <c r="ED88" s="662">
        <v>74</v>
      </c>
      <c r="EE88" s="662">
        <v>0</v>
      </c>
      <c r="EF88" s="662">
        <v>74</v>
      </c>
      <c r="EG88" s="662">
        <v>0</v>
      </c>
      <c r="EH88" s="662">
        <v>2</v>
      </c>
      <c r="EI88" s="662">
        <v>0</v>
      </c>
      <c r="EJ88" s="662">
        <v>0</v>
      </c>
      <c r="EK88" s="662">
        <v>0</v>
      </c>
      <c r="EL88" s="662">
        <v>0</v>
      </c>
      <c r="EM88" s="662">
        <v>0</v>
      </c>
      <c r="EN88" s="662">
        <v>0</v>
      </c>
      <c r="EO88" s="662">
        <v>0</v>
      </c>
      <c r="EP88" s="662">
        <v>0</v>
      </c>
      <c r="EQ88" s="662">
        <v>0</v>
      </c>
    </row>
    <row r="89" spans="1:147" ht="13.95" customHeight="1" x14ac:dyDescent="0.3">
      <c r="A89" s="660" t="s">
        <v>1745</v>
      </c>
      <c r="B89" s="661" t="s">
        <v>269</v>
      </c>
      <c r="C89" s="662">
        <v>99360</v>
      </c>
      <c r="D89" s="662">
        <v>0</v>
      </c>
      <c r="E89" s="662">
        <v>94040</v>
      </c>
      <c r="F89" s="662">
        <v>0</v>
      </c>
      <c r="G89" s="662">
        <v>11653</v>
      </c>
      <c r="H89" s="662">
        <v>0</v>
      </c>
      <c r="I89" s="662">
        <v>0</v>
      </c>
      <c r="J89" s="802">
        <v>0</v>
      </c>
      <c r="K89" s="662">
        <v>0</v>
      </c>
      <c r="L89" s="662">
        <v>0</v>
      </c>
      <c r="M89" s="662">
        <v>0</v>
      </c>
      <c r="N89" s="662">
        <v>0</v>
      </c>
      <c r="O89" s="662">
        <v>0</v>
      </c>
      <c r="P89" s="662">
        <v>0</v>
      </c>
      <c r="Q89" s="802">
        <v>0</v>
      </c>
      <c r="R89" s="662">
        <v>0</v>
      </c>
      <c r="S89" s="662">
        <v>0</v>
      </c>
      <c r="T89" s="662">
        <v>0</v>
      </c>
      <c r="U89" s="662">
        <v>0</v>
      </c>
      <c r="V89" s="662">
        <v>0</v>
      </c>
      <c r="W89" s="802">
        <v>0</v>
      </c>
      <c r="X89" s="662">
        <v>0</v>
      </c>
      <c r="Y89" s="662">
        <v>0</v>
      </c>
      <c r="Z89" s="662">
        <v>0</v>
      </c>
      <c r="AA89" s="662">
        <v>0</v>
      </c>
      <c r="AB89" s="662">
        <v>0</v>
      </c>
      <c r="AC89" s="662">
        <v>0</v>
      </c>
      <c r="AD89" s="802">
        <v>0</v>
      </c>
      <c r="AE89" s="662">
        <v>0</v>
      </c>
      <c r="AF89" s="662">
        <v>0</v>
      </c>
      <c r="AG89" s="662">
        <v>0</v>
      </c>
      <c r="AH89" s="662">
        <v>0</v>
      </c>
      <c r="AI89" s="662">
        <v>0</v>
      </c>
      <c r="AJ89" s="662">
        <v>0</v>
      </c>
      <c r="AK89" s="802">
        <v>0</v>
      </c>
      <c r="AL89" s="662">
        <v>0</v>
      </c>
      <c r="AM89" s="662">
        <v>0</v>
      </c>
      <c r="AN89" s="662">
        <v>0</v>
      </c>
      <c r="AO89" s="662">
        <v>0</v>
      </c>
      <c r="AP89" s="662">
        <v>0</v>
      </c>
      <c r="AQ89" s="802">
        <v>0</v>
      </c>
      <c r="AR89" s="662">
        <v>0</v>
      </c>
      <c r="AS89" s="662">
        <v>0</v>
      </c>
      <c r="AT89" s="662">
        <v>0</v>
      </c>
      <c r="AU89" s="662">
        <v>0</v>
      </c>
      <c r="AV89" s="662">
        <v>0</v>
      </c>
      <c r="AW89" s="662">
        <v>0</v>
      </c>
      <c r="AX89" s="662">
        <v>0</v>
      </c>
      <c r="AY89" s="662">
        <v>0</v>
      </c>
      <c r="AZ89" s="662">
        <v>0</v>
      </c>
      <c r="BA89" s="662">
        <v>0</v>
      </c>
      <c r="BB89" s="662">
        <v>0</v>
      </c>
      <c r="BC89" s="662">
        <v>0</v>
      </c>
      <c r="BD89" s="662">
        <v>0</v>
      </c>
      <c r="BE89" s="802">
        <v>23</v>
      </c>
      <c r="BF89" s="662">
        <v>0</v>
      </c>
      <c r="BG89" s="662">
        <v>23</v>
      </c>
      <c r="BH89" s="662">
        <v>0</v>
      </c>
      <c r="BI89" s="662">
        <v>6</v>
      </c>
      <c r="BJ89" s="662">
        <v>0</v>
      </c>
      <c r="BK89" s="662">
        <v>0</v>
      </c>
      <c r="BL89" s="662">
        <v>4704</v>
      </c>
      <c r="BM89" s="662">
        <v>0</v>
      </c>
      <c r="BN89" s="662">
        <v>4704</v>
      </c>
      <c r="BO89" s="662">
        <v>0</v>
      </c>
      <c r="BP89" s="662">
        <v>953</v>
      </c>
      <c r="BQ89" s="662">
        <v>0</v>
      </c>
      <c r="BR89" s="662">
        <v>0</v>
      </c>
      <c r="BS89" s="662">
        <v>900</v>
      </c>
      <c r="BT89" s="662">
        <v>0</v>
      </c>
      <c r="BU89" s="662">
        <v>900</v>
      </c>
      <c r="BV89" s="662">
        <v>0</v>
      </c>
      <c r="BW89" s="662">
        <v>169</v>
      </c>
      <c r="BX89" s="662">
        <v>0</v>
      </c>
      <c r="BY89" s="662">
        <v>0</v>
      </c>
      <c r="BZ89" s="662">
        <v>22</v>
      </c>
      <c r="CA89" s="662">
        <v>0</v>
      </c>
      <c r="CB89" s="662">
        <v>21</v>
      </c>
      <c r="CC89" s="662">
        <v>0</v>
      </c>
      <c r="CD89" s="662">
        <v>5</v>
      </c>
      <c r="CE89" s="662">
        <v>0</v>
      </c>
      <c r="CF89" s="662">
        <v>0</v>
      </c>
      <c r="CG89" s="662">
        <v>0</v>
      </c>
      <c r="CH89" s="662">
        <v>0</v>
      </c>
      <c r="CI89" s="662">
        <v>0</v>
      </c>
      <c r="CJ89" s="662">
        <v>0</v>
      </c>
      <c r="CK89" s="662">
        <v>0</v>
      </c>
      <c r="CL89" s="662">
        <v>0</v>
      </c>
      <c r="CM89" s="662">
        <v>0</v>
      </c>
      <c r="CN89" s="662">
        <v>5158</v>
      </c>
      <c r="CO89" s="662">
        <v>0</v>
      </c>
      <c r="CP89" s="662">
        <v>5058</v>
      </c>
      <c r="CQ89" s="662">
        <v>0</v>
      </c>
      <c r="CR89" s="662">
        <v>664</v>
      </c>
      <c r="CS89" s="662">
        <v>0</v>
      </c>
      <c r="CT89" s="662">
        <v>0</v>
      </c>
      <c r="CU89" s="662">
        <v>1620</v>
      </c>
      <c r="CV89" s="662">
        <v>0</v>
      </c>
      <c r="CW89" s="662">
        <v>1620</v>
      </c>
      <c r="CX89" s="662">
        <v>0</v>
      </c>
      <c r="CY89" s="662">
        <v>161</v>
      </c>
      <c r="CZ89" s="662">
        <v>0</v>
      </c>
      <c r="DA89" s="662">
        <v>0</v>
      </c>
      <c r="DB89" s="662">
        <v>10500</v>
      </c>
      <c r="DC89" s="662">
        <v>0</v>
      </c>
      <c r="DD89" s="662">
        <v>10500</v>
      </c>
      <c r="DE89" s="662">
        <v>0</v>
      </c>
      <c r="DF89" s="662">
        <v>2507</v>
      </c>
      <c r="DG89" s="662">
        <v>0</v>
      </c>
      <c r="DH89" s="662">
        <v>0</v>
      </c>
      <c r="DI89" s="662">
        <v>95</v>
      </c>
      <c r="DJ89" s="662">
        <v>0</v>
      </c>
      <c r="DK89" s="662">
        <v>95</v>
      </c>
      <c r="DL89" s="662">
        <v>0</v>
      </c>
      <c r="DM89" s="662">
        <v>4</v>
      </c>
      <c r="DN89" s="662">
        <v>0</v>
      </c>
      <c r="DO89" s="662">
        <v>0</v>
      </c>
      <c r="DP89" s="662">
        <v>310</v>
      </c>
      <c r="DQ89" s="662">
        <v>0</v>
      </c>
      <c r="DR89" s="662">
        <v>306</v>
      </c>
      <c r="DS89" s="662">
        <v>0</v>
      </c>
      <c r="DT89" s="662">
        <v>33</v>
      </c>
      <c r="DU89" s="662">
        <v>0</v>
      </c>
      <c r="DV89" s="662">
        <v>0</v>
      </c>
      <c r="DW89" s="662">
        <v>3029</v>
      </c>
      <c r="DX89" s="662">
        <v>0</v>
      </c>
      <c r="DY89" s="662">
        <v>3024</v>
      </c>
      <c r="DZ89" s="662">
        <v>0</v>
      </c>
      <c r="EA89" s="662">
        <v>311</v>
      </c>
      <c r="EB89" s="662">
        <v>0</v>
      </c>
      <c r="EC89" s="662">
        <v>0</v>
      </c>
      <c r="ED89" s="662">
        <v>62272</v>
      </c>
      <c r="EE89" s="662">
        <v>0</v>
      </c>
      <c r="EF89" s="662">
        <v>57072</v>
      </c>
      <c r="EG89" s="662">
        <v>0</v>
      </c>
      <c r="EH89" s="662">
        <v>4278</v>
      </c>
      <c r="EI89" s="662">
        <v>0</v>
      </c>
      <c r="EJ89" s="662">
        <v>0</v>
      </c>
      <c r="EK89" s="662">
        <v>10727</v>
      </c>
      <c r="EL89" s="662">
        <v>0</v>
      </c>
      <c r="EM89" s="662">
        <v>10717</v>
      </c>
      <c r="EN89" s="662">
        <v>0</v>
      </c>
      <c r="EO89" s="662">
        <v>2562</v>
      </c>
      <c r="EP89" s="662">
        <v>0</v>
      </c>
      <c r="EQ89" s="662">
        <v>0</v>
      </c>
    </row>
    <row r="90" spans="1:147" ht="20.7" customHeight="1" x14ac:dyDescent="0.3">
      <c r="A90" s="660" t="s">
        <v>1746</v>
      </c>
      <c r="B90" s="661" t="s">
        <v>269</v>
      </c>
      <c r="C90" s="662">
        <v>83390</v>
      </c>
      <c r="D90" s="662">
        <v>0</v>
      </c>
      <c r="E90" s="662">
        <v>79087</v>
      </c>
      <c r="F90" s="662">
        <v>0</v>
      </c>
      <c r="G90" s="662">
        <v>12650</v>
      </c>
      <c r="H90" s="662">
        <v>0</v>
      </c>
      <c r="I90" s="662">
        <v>0</v>
      </c>
      <c r="J90" s="802">
        <v>1375</v>
      </c>
      <c r="K90" s="662">
        <v>0</v>
      </c>
      <c r="L90" s="662">
        <v>1375</v>
      </c>
      <c r="M90" s="662">
        <v>0</v>
      </c>
      <c r="N90" s="662">
        <v>150</v>
      </c>
      <c r="O90" s="662">
        <v>0</v>
      </c>
      <c r="P90" s="662">
        <v>0</v>
      </c>
      <c r="Q90" s="802">
        <v>0</v>
      </c>
      <c r="R90" s="662">
        <v>0</v>
      </c>
      <c r="S90" s="662">
        <v>0</v>
      </c>
      <c r="T90" s="662">
        <v>0</v>
      </c>
      <c r="U90" s="662">
        <v>0</v>
      </c>
      <c r="V90" s="662">
        <v>0</v>
      </c>
      <c r="W90" s="802">
        <v>35</v>
      </c>
      <c r="X90" s="662">
        <v>0</v>
      </c>
      <c r="Y90" s="662">
        <v>35</v>
      </c>
      <c r="Z90" s="662">
        <v>0</v>
      </c>
      <c r="AA90" s="662">
        <v>7</v>
      </c>
      <c r="AB90" s="662">
        <v>0</v>
      </c>
      <c r="AC90" s="662">
        <v>0</v>
      </c>
      <c r="AD90" s="802">
        <v>3892</v>
      </c>
      <c r="AE90" s="662">
        <v>0</v>
      </c>
      <c r="AF90" s="662">
        <v>3892</v>
      </c>
      <c r="AG90" s="662">
        <v>0</v>
      </c>
      <c r="AH90" s="662">
        <v>1388</v>
      </c>
      <c r="AI90" s="662">
        <v>0</v>
      </c>
      <c r="AJ90" s="662">
        <v>0</v>
      </c>
      <c r="AK90" s="802">
        <v>50</v>
      </c>
      <c r="AL90" s="662">
        <v>50</v>
      </c>
      <c r="AM90" s="662">
        <v>0</v>
      </c>
      <c r="AN90" s="662">
        <v>30</v>
      </c>
      <c r="AO90" s="662">
        <v>0</v>
      </c>
      <c r="AP90" s="662">
        <v>0</v>
      </c>
      <c r="AQ90" s="802">
        <v>2520</v>
      </c>
      <c r="AR90" s="662">
        <v>0</v>
      </c>
      <c r="AS90" s="662">
        <v>2520</v>
      </c>
      <c r="AT90" s="662">
        <v>0</v>
      </c>
      <c r="AU90" s="662">
        <v>311</v>
      </c>
      <c r="AV90" s="662">
        <v>0</v>
      </c>
      <c r="AW90" s="662">
        <v>0</v>
      </c>
      <c r="AX90" s="662">
        <v>236</v>
      </c>
      <c r="AY90" s="662">
        <v>0</v>
      </c>
      <c r="AZ90" s="662">
        <v>232</v>
      </c>
      <c r="BA90" s="662">
        <v>0</v>
      </c>
      <c r="BB90" s="662">
        <v>28</v>
      </c>
      <c r="BC90" s="662">
        <v>0</v>
      </c>
      <c r="BD90" s="662">
        <v>0</v>
      </c>
      <c r="BE90" s="802">
        <v>2402</v>
      </c>
      <c r="BF90" s="662">
        <v>0</v>
      </c>
      <c r="BG90" s="662">
        <v>2402</v>
      </c>
      <c r="BH90" s="662">
        <v>0</v>
      </c>
      <c r="BI90" s="662">
        <v>586</v>
      </c>
      <c r="BJ90" s="662">
        <v>0</v>
      </c>
      <c r="BK90" s="662">
        <v>0</v>
      </c>
      <c r="BL90" s="662">
        <v>14204</v>
      </c>
      <c r="BM90" s="662">
        <v>0</v>
      </c>
      <c r="BN90" s="662">
        <v>14183</v>
      </c>
      <c r="BO90" s="662">
        <v>0</v>
      </c>
      <c r="BP90" s="662">
        <v>2774</v>
      </c>
      <c r="BQ90" s="662">
        <v>0</v>
      </c>
      <c r="BR90" s="662">
        <v>0</v>
      </c>
      <c r="BS90" s="662">
        <v>7050</v>
      </c>
      <c r="BT90" s="662">
        <v>0</v>
      </c>
      <c r="BU90" s="662">
        <v>7050</v>
      </c>
      <c r="BV90" s="662">
        <v>0</v>
      </c>
      <c r="BW90" s="662">
        <v>769</v>
      </c>
      <c r="BX90" s="662">
        <v>0</v>
      </c>
      <c r="BY90" s="662">
        <v>0</v>
      </c>
      <c r="BZ90" s="662">
        <v>532</v>
      </c>
      <c r="CA90" s="662">
        <v>0</v>
      </c>
      <c r="CB90" s="662">
        <v>527</v>
      </c>
      <c r="CC90" s="662">
        <v>0</v>
      </c>
      <c r="CD90" s="662">
        <v>54</v>
      </c>
      <c r="CE90" s="662">
        <v>0</v>
      </c>
      <c r="CF90" s="662">
        <v>0</v>
      </c>
      <c r="CG90" s="662">
        <v>6180</v>
      </c>
      <c r="CH90" s="662">
        <v>0</v>
      </c>
      <c r="CI90" s="662">
        <v>6080</v>
      </c>
      <c r="CJ90" s="662">
        <v>0</v>
      </c>
      <c r="CK90" s="662">
        <v>925</v>
      </c>
      <c r="CL90" s="662">
        <v>0</v>
      </c>
      <c r="CM90" s="662">
        <v>0</v>
      </c>
      <c r="CN90" s="662">
        <v>2163</v>
      </c>
      <c r="CO90" s="662">
        <v>0</v>
      </c>
      <c r="CP90" s="662">
        <v>2162</v>
      </c>
      <c r="CQ90" s="662">
        <v>0</v>
      </c>
      <c r="CR90" s="662">
        <v>357</v>
      </c>
      <c r="CS90" s="662">
        <v>0</v>
      </c>
      <c r="CT90" s="662">
        <v>0</v>
      </c>
      <c r="CU90" s="662">
        <v>850</v>
      </c>
      <c r="CV90" s="662">
        <v>0</v>
      </c>
      <c r="CW90" s="662">
        <v>850</v>
      </c>
      <c r="CX90" s="662">
        <v>0</v>
      </c>
      <c r="CY90" s="662">
        <v>59</v>
      </c>
      <c r="CZ90" s="662">
        <v>0</v>
      </c>
      <c r="DA90" s="662">
        <v>0</v>
      </c>
      <c r="DB90" s="662">
        <v>6445</v>
      </c>
      <c r="DC90" s="662">
        <v>0</v>
      </c>
      <c r="DD90" s="662">
        <v>6445</v>
      </c>
      <c r="DE90" s="662">
        <v>0</v>
      </c>
      <c r="DF90" s="662">
        <v>1616</v>
      </c>
      <c r="DG90" s="662">
        <v>0</v>
      </c>
      <c r="DH90" s="662">
        <v>0</v>
      </c>
      <c r="DI90" s="662">
        <v>1490</v>
      </c>
      <c r="DJ90" s="662">
        <v>0</v>
      </c>
      <c r="DK90" s="662">
        <v>1490</v>
      </c>
      <c r="DL90" s="662">
        <v>0</v>
      </c>
      <c r="DM90" s="662">
        <v>132</v>
      </c>
      <c r="DN90" s="662">
        <v>0</v>
      </c>
      <c r="DO90" s="662">
        <v>0</v>
      </c>
      <c r="DP90" s="662">
        <v>7526</v>
      </c>
      <c r="DQ90" s="662">
        <v>0</v>
      </c>
      <c r="DR90" s="662">
        <v>7427</v>
      </c>
      <c r="DS90" s="662">
        <v>0</v>
      </c>
      <c r="DT90" s="662">
        <v>648</v>
      </c>
      <c r="DU90" s="662">
        <v>0</v>
      </c>
      <c r="DV90" s="662">
        <v>0</v>
      </c>
      <c r="DW90" s="662">
        <v>1443</v>
      </c>
      <c r="DX90" s="662">
        <v>0</v>
      </c>
      <c r="DY90" s="662">
        <v>1440</v>
      </c>
      <c r="DZ90" s="662">
        <v>0</v>
      </c>
      <c r="EA90" s="662">
        <v>149</v>
      </c>
      <c r="EB90" s="662">
        <v>0</v>
      </c>
      <c r="EC90" s="662">
        <v>0</v>
      </c>
      <c r="ED90" s="662">
        <v>12562</v>
      </c>
      <c r="EE90" s="662">
        <v>0</v>
      </c>
      <c r="EF90" s="662">
        <v>8562</v>
      </c>
      <c r="EG90" s="662">
        <v>0</v>
      </c>
      <c r="EH90" s="662">
        <v>328</v>
      </c>
      <c r="EI90" s="662">
        <v>0</v>
      </c>
      <c r="EJ90" s="662">
        <v>0</v>
      </c>
      <c r="EK90" s="662">
        <v>12435</v>
      </c>
      <c r="EL90" s="662">
        <v>0</v>
      </c>
      <c r="EM90" s="662">
        <v>12365</v>
      </c>
      <c r="EN90" s="662">
        <v>0</v>
      </c>
      <c r="EO90" s="662">
        <v>2339</v>
      </c>
      <c r="EP90" s="662">
        <v>0</v>
      </c>
      <c r="EQ90" s="662">
        <v>0</v>
      </c>
    </row>
    <row r="91" spans="1:147" ht="13.95" customHeight="1" x14ac:dyDescent="0.3">
      <c r="A91" s="660" t="s">
        <v>1747</v>
      </c>
      <c r="B91" s="661" t="s">
        <v>269</v>
      </c>
      <c r="C91" s="662">
        <v>313530</v>
      </c>
      <c r="D91" s="662">
        <v>0</v>
      </c>
      <c r="E91" s="662">
        <v>312528</v>
      </c>
      <c r="F91" s="662">
        <v>0</v>
      </c>
      <c r="G91" s="662">
        <v>32566</v>
      </c>
      <c r="H91" s="662">
        <v>0</v>
      </c>
      <c r="I91" s="662">
        <v>0</v>
      </c>
      <c r="J91" s="802">
        <v>75752</v>
      </c>
      <c r="K91" s="662">
        <v>0</v>
      </c>
      <c r="L91" s="662">
        <v>75752</v>
      </c>
      <c r="M91" s="662">
        <v>0</v>
      </c>
      <c r="N91" s="662">
        <v>8405</v>
      </c>
      <c r="O91" s="662">
        <v>0</v>
      </c>
      <c r="P91" s="662">
        <v>0</v>
      </c>
      <c r="Q91" s="802">
        <v>0</v>
      </c>
      <c r="R91" s="662">
        <v>0</v>
      </c>
      <c r="S91" s="662">
        <v>0</v>
      </c>
      <c r="T91" s="662">
        <v>0</v>
      </c>
      <c r="U91" s="662">
        <v>0</v>
      </c>
      <c r="V91" s="662">
        <v>0</v>
      </c>
      <c r="W91" s="802">
        <v>0</v>
      </c>
      <c r="X91" s="662">
        <v>0</v>
      </c>
      <c r="Y91" s="662">
        <v>0</v>
      </c>
      <c r="Z91" s="662">
        <v>0</v>
      </c>
      <c r="AA91" s="662">
        <v>0</v>
      </c>
      <c r="AB91" s="662">
        <v>0</v>
      </c>
      <c r="AC91" s="662">
        <v>0</v>
      </c>
      <c r="AD91" s="802">
        <v>12115</v>
      </c>
      <c r="AE91" s="662">
        <v>0</v>
      </c>
      <c r="AF91" s="662">
        <v>12115</v>
      </c>
      <c r="AG91" s="662">
        <v>0</v>
      </c>
      <c r="AH91" s="662">
        <v>4299</v>
      </c>
      <c r="AI91" s="662">
        <v>0</v>
      </c>
      <c r="AJ91" s="662">
        <v>0</v>
      </c>
      <c r="AK91" s="802">
        <v>874</v>
      </c>
      <c r="AL91" s="662">
        <v>874</v>
      </c>
      <c r="AM91" s="662">
        <v>0</v>
      </c>
      <c r="AN91" s="662">
        <v>472</v>
      </c>
      <c r="AO91" s="662">
        <v>0</v>
      </c>
      <c r="AP91" s="662">
        <v>0</v>
      </c>
      <c r="AQ91" s="802">
        <v>11714</v>
      </c>
      <c r="AR91" s="662">
        <v>0</v>
      </c>
      <c r="AS91" s="662">
        <v>11714</v>
      </c>
      <c r="AT91" s="662">
        <v>0</v>
      </c>
      <c r="AU91" s="662">
        <v>2418</v>
      </c>
      <c r="AV91" s="662">
        <v>0</v>
      </c>
      <c r="AW91" s="662">
        <v>0</v>
      </c>
      <c r="AX91" s="662">
        <v>1357</v>
      </c>
      <c r="AY91" s="662">
        <v>0</v>
      </c>
      <c r="AZ91" s="662">
        <v>1350</v>
      </c>
      <c r="BA91" s="662">
        <v>0</v>
      </c>
      <c r="BB91" s="662">
        <v>181</v>
      </c>
      <c r="BC91" s="662">
        <v>0</v>
      </c>
      <c r="BD91" s="662">
        <v>0</v>
      </c>
      <c r="BE91" s="802">
        <v>12329</v>
      </c>
      <c r="BF91" s="662">
        <v>0</v>
      </c>
      <c r="BG91" s="662">
        <v>12329</v>
      </c>
      <c r="BH91" s="662">
        <v>0</v>
      </c>
      <c r="BI91" s="662">
        <v>3149</v>
      </c>
      <c r="BJ91" s="662">
        <v>0</v>
      </c>
      <c r="BK91" s="662">
        <v>0</v>
      </c>
      <c r="BL91" s="662">
        <v>12544</v>
      </c>
      <c r="BM91" s="662">
        <v>0</v>
      </c>
      <c r="BN91" s="662">
        <v>12512</v>
      </c>
      <c r="BO91" s="662">
        <v>0</v>
      </c>
      <c r="BP91" s="662">
        <v>2375</v>
      </c>
      <c r="BQ91" s="662">
        <v>0</v>
      </c>
      <c r="BR91" s="662">
        <v>0</v>
      </c>
      <c r="BS91" s="662">
        <v>300</v>
      </c>
      <c r="BT91" s="662">
        <v>0</v>
      </c>
      <c r="BU91" s="662">
        <v>300</v>
      </c>
      <c r="BV91" s="662">
        <v>0</v>
      </c>
      <c r="BW91" s="662">
        <v>20</v>
      </c>
      <c r="BX91" s="662">
        <v>0</v>
      </c>
      <c r="BY91" s="662">
        <v>0</v>
      </c>
      <c r="BZ91" s="662">
        <v>8203</v>
      </c>
      <c r="CA91" s="662">
        <v>0</v>
      </c>
      <c r="CB91" s="662">
        <v>8106</v>
      </c>
      <c r="CC91" s="662">
        <v>0</v>
      </c>
      <c r="CD91" s="662">
        <v>644</v>
      </c>
      <c r="CE91" s="662">
        <v>0</v>
      </c>
      <c r="CF91" s="662">
        <v>0</v>
      </c>
      <c r="CG91" s="662">
        <v>20080</v>
      </c>
      <c r="CH91" s="662">
        <v>0</v>
      </c>
      <c r="CI91" s="662">
        <v>19380</v>
      </c>
      <c r="CJ91" s="662">
        <v>0</v>
      </c>
      <c r="CK91" s="662">
        <v>1688</v>
      </c>
      <c r="CL91" s="662">
        <v>0</v>
      </c>
      <c r="CM91" s="662">
        <v>0</v>
      </c>
      <c r="CN91" s="662">
        <v>4899</v>
      </c>
      <c r="CO91" s="662">
        <v>0</v>
      </c>
      <c r="CP91" s="662">
        <v>4899</v>
      </c>
      <c r="CQ91" s="662">
        <v>0</v>
      </c>
      <c r="CR91" s="662">
        <v>313</v>
      </c>
      <c r="CS91" s="662">
        <v>0</v>
      </c>
      <c r="CT91" s="662">
        <v>0</v>
      </c>
      <c r="CU91" s="662">
        <v>3200</v>
      </c>
      <c r="CV91" s="662">
        <v>0</v>
      </c>
      <c r="CW91" s="662">
        <v>3200</v>
      </c>
      <c r="CX91" s="662">
        <v>0</v>
      </c>
      <c r="CY91" s="662">
        <v>258</v>
      </c>
      <c r="CZ91" s="662">
        <v>0</v>
      </c>
      <c r="DA91" s="662">
        <v>0</v>
      </c>
      <c r="DB91" s="662">
        <v>800</v>
      </c>
      <c r="DC91" s="662">
        <v>0</v>
      </c>
      <c r="DD91" s="662">
        <v>800</v>
      </c>
      <c r="DE91" s="662">
        <v>0</v>
      </c>
      <c r="DF91" s="662">
        <v>192</v>
      </c>
      <c r="DG91" s="662">
        <v>0</v>
      </c>
      <c r="DH91" s="662">
        <v>0</v>
      </c>
      <c r="DI91" s="662">
        <v>90020</v>
      </c>
      <c r="DJ91" s="662">
        <v>0</v>
      </c>
      <c r="DK91" s="662">
        <v>90020</v>
      </c>
      <c r="DL91" s="662">
        <v>0</v>
      </c>
      <c r="DM91" s="662">
        <v>2101</v>
      </c>
      <c r="DN91" s="662">
        <v>0</v>
      </c>
      <c r="DO91" s="662">
        <v>0</v>
      </c>
      <c r="DP91" s="662">
        <v>2897</v>
      </c>
      <c r="DQ91" s="662">
        <v>0</v>
      </c>
      <c r="DR91" s="662">
        <v>2879</v>
      </c>
      <c r="DS91" s="662">
        <v>0</v>
      </c>
      <c r="DT91" s="662">
        <v>241</v>
      </c>
      <c r="DU91" s="662">
        <v>0</v>
      </c>
      <c r="DV91" s="662">
        <v>0</v>
      </c>
      <c r="DW91" s="662">
        <v>3241</v>
      </c>
      <c r="DX91" s="662">
        <v>0</v>
      </c>
      <c r="DY91" s="662">
        <v>3234</v>
      </c>
      <c r="DZ91" s="662">
        <v>0</v>
      </c>
      <c r="EA91" s="662">
        <v>640</v>
      </c>
      <c r="EB91" s="662">
        <v>0</v>
      </c>
      <c r="EC91" s="662">
        <v>0</v>
      </c>
      <c r="ED91" s="662">
        <v>34660</v>
      </c>
      <c r="EE91" s="662">
        <v>0</v>
      </c>
      <c r="EF91" s="662">
        <v>34559</v>
      </c>
      <c r="EG91" s="662">
        <v>0</v>
      </c>
      <c r="EH91" s="662">
        <v>1670</v>
      </c>
      <c r="EI91" s="662">
        <v>0</v>
      </c>
      <c r="EJ91" s="662">
        <v>0</v>
      </c>
      <c r="EK91" s="662">
        <v>18545</v>
      </c>
      <c r="EL91" s="662">
        <v>0</v>
      </c>
      <c r="EM91" s="662">
        <v>18505</v>
      </c>
      <c r="EN91" s="662">
        <v>0</v>
      </c>
      <c r="EO91" s="662">
        <v>3500</v>
      </c>
      <c r="EP91" s="662">
        <v>0</v>
      </c>
      <c r="EQ91" s="662">
        <v>0</v>
      </c>
    </row>
    <row r="92" spans="1:147" ht="13.95" customHeight="1" x14ac:dyDescent="0.3">
      <c r="A92" s="660" t="s">
        <v>1748</v>
      </c>
      <c r="B92" s="661" t="s">
        <v>269</v>
      </c>
      <c r="C92" s="662">
        <v>0</v>
      </c>
      <c r="D92" s="662">
        <v>0</v>
      </c>
      <c r="E92" s="662">
        <v>0</v>
      </c>
      <c r="F92" s="662">
        <v>0</v>
      </c>
      <c r="G92" s="662">
        <v>0</v>
      </c>
      <c r="H92" s="662">
        <v>0</v>
      </c>
      <c r="I92" s="662">
        <v>0</v>
      </c>
      <c r="J92" s="802">
        <v>0</v>
      </c>
      <c r="K92" s="662">
        <v>0</v>
      </c>
      <c r="L92" s="662">
        <v>0</v>
      </c>
      <c r="M92" s="662">
        <v>0</v>
      </c>
      <c r="N92" s="662">
        <v>0</v>
      </c>
      <c r="O92" s="662">
        <v>0</v>
      </c>
      <c r="P92" s="662">
        <v>0</v>
      </c>
      <c r="Q92" s="802">
        <v>0</v>
      </c>
      <c r="R92" s="662">
        <v>0</v>
      </c>
      <c r="S92" s="662">
        <v>0</v>
      </c>
      <c r="T92" s="662">
        <v>0</v>
      </c>
      <c r="U92" s="662">
        <v>0</v>
      </c>
      <c r="V92" s="662">
        <v>0</v>
      </c>
      <c r="W92" s="802">
        <v>0</v>
      </c>
      <c r="X92" s="662">
        <v>0</v>
      </c>
      <c r="Y92" s="662">
        <v>0</v>
      </c>
      <c r="Z92" s="662">
        <v>0</v>
      </c>
      <c r="AA92" s="662">
        <v>0</v>
      </c>
      <c r="AB92" s="662">
        <v>0</v>
      </c>
      <c r="AC92" s="662">
        <v>0</v>
      </c>
      <c r="AD92" s="802">
        <v>0</v>
      </c>
      <c r="AE92" s="662">
        <v>0</v>
      </c>
      <c r="AF92" s="662">
        <v>0</v>
      </c>
      <c r="AG92" s="662">
        <v>0</v>
      </c>
      <c r="AH92" s="662">
        <v>0</v>
      </c>
      <c r="AI92" s="662">
        <v>0</v>
      </c>
      <c r="AJ92" s="662">
        <v>0</v>
      </c>
      <c r="AK92" s="802">
        <v>0</v>
      </c>
      <c r="AL92" s="662">
        <v>0</v>
      </c>
      <c r="AM92" s="662">
        <v>0</v>
      </c>
      <c r="AN92" s="662">
        <v>0</v>
      </c>
      <c r="AO92" s="662">
        <v>0</v>
      </c>
      <c r="AP92" s="662">
        <v>0</v>
      </c>
      <c r="AQ92" s="802">
        <v>0</v>
      </c>
      <c r="AR92" s="662">
        <v>0</v>
      </c>
      <c r="AS92" s="662">
        <v>0</v>
      </c>
      <c r="AT92" s="662">
        <v>0</v>
      </c>
      <c r="AU92" s="662">
        <v>0</v>
      </c>
      <c r="AV92" s="662">
        <v>0</v>
      </c>
      <c r="AW92" s="662">
        <v>0</v>
      </c>
      <c r="AX92" s="662">
        <v>0</v>
      </c>
      <c r="AY92" s="662">
        <v>0</v>
      </c>
      <c r="AZ92" s="662">
        <v>0</v>
      </c>
      <c r="BA92" s="662">
        <v>0</v>
      </c>
      <c r="BB92" s="662">
        <v>0</v>
      </c>
      <c r="BC92" s="662">
        <v>0</v>
      </c>
      <c r="BD92" s="662">
        <v>0</v>
      </c>
      <c r="BE92" s="802">
        <v>0</v>
      </c>
      <c r="BF92" s="662">
        <v>0</v>
      </c>
      <c r="BG92" s="662">
        <v>0</v>
      </c>
      <c r="BH92" s="662">
        <v>0</v>
      </c>
      <c r="BI92" s="662">
        <v>0</v>
      </c>
      <c r="BJ92" s="662">
        <v>0</v>
      </c>
      <c r="BK92" s="662">
        <v>0</v>
      </c>
      <c r="BL92" s="662">
        <v>0</v>
      </c>
      <c r="BM92" s="662">
        <v>0</v>
      </c>
      <c r="BN92" s="662">
        <v>0</v>
      </c>
      <c r="BO92" s="662">
        <v>0</v>
      </c>
      <c r="BP92" s="662">
        <v>0</v>
      </c>
      <c r="BQ92" s="662">
        <v>0</v>
      </c>
      <c r="BR92" s="662">
        <v>0</v>
      </c>
      <c r="BS92" s="662">
        <v>0</v>
      </c>
      <c r="BT92" s="662">
        <v>0</v>
      </c>
      <c r="BU92" s="662">
        <v>0</v>
      </c>
      <c r="BV92" s="662">
        <v>0</v>
      </c>
      <c r="BW92" s="662">
        <v>0</v>
      </c>
      <c r="BX92" s="662">
        <v>0</v>
      </c>
      <c r="BY92" s="662">
        <v>0</v>
      </c>
      <c r="BZ92" s="662">
        <v>0</v>
      </c>
      <c r="CA92" s="662">
        <v>0</v>
      </c>
      <c r="CB92" s="662">
        <v>0</v>
      </c>
      <c r="CC92" s="662">
        <v>0</v>
      </c>
      <c r="CD92" s="662">
        <v>0</v>
      </c>
      <c r="CE92" s="662">
        <v>0</v>
      </c>
      <c r="CF92" s="662">
        <v>0</v>
      </c>
      <c r="CG92" s="662">
        <v>0</v>
      </c>
      <c r="CH92" s="662">
        <v>0</v>
      </c>
      <c r="CI92" s="662">
        <v>0</v>
      </c>
      <c r="CJ92" s="662">
        <v>0</v>
      </c>
      <c r="CK92" s="662">
        <v>0</v>
      </c>
      <c r="CL92" s="662">
        <v>0</v>
      </c>
      <c r="CM92" s="662">
        <v>0</v>
      </c>
      <c r="CN92" s="662">
        <v>0</v>
      </c>
      <c r="CO92" s="662">
        <v>0</v>
      </c>
      <c r="CP92" s="662">
        <v>0</v>
      </c>
      <c r="CQ92" s="662">
        <v>0</v>
      </c>
      <c r="CR92" s="662">
        <v>0</v>
      </c>
      <c r="CS92" s="662">
        <v>0</v>
      </c>
      <c r="CT92" s="662">
        <v>0</v>
      </c>
      <c r="CU92" s="662">
        <v>0</v>
      </c>
      <c r="CV92" s="662">
        <v>0</v>
      </c>
      <c r="CW92" s="662">
        <v>0</v>
      </c>
      <c r="CX92" s="662">
        <v>0</v>
      </c>
      <c r="CY92" s="662">
        <v>0</v>
      </c>
      <c r="CZ92" s="662">
        <v>0</v>
      </c>
      <c r="DA92" s="662">
        <v>0</v>
      </c>
      <c r="DB92" s="662">
        <v>0</v>
      </c>
      <c r="DC92" s="662">
        <v>0</v>
      </c>
      <c r="DD92" s="662">
        <v>0</v>
      </c>
      <c r="DE92" s="662">
        <v>0</v>
      </c>
      <c r="DF92" s="662">
        <v>0</v>
      </c>
      <c r="DG92" s="662">
        <v>0</v>
      </c>
      <c r="DH92" s="662">
        <v>0</v>
      </c>
      <c r="DI92" s="662">
        <v>0</v>
      </c>
      <c r="DJ92" s="662">
        <v>0</v>
      </c>
      <c r="DK92" s="662">
        <v>0</v>
      </c>
      <c r="DL92" s="662">
        <v>0</v>
      </c>
      <c r="DM92" s="662">
        <v>0</v>
      </c>
      <c r="DN92" s="662">
        <v>0</v>
      </c>
      <c r="DO92" s="662">
        <v>0</v>
      </c>
      <c r="DP92" s="662">
        <v>0</v>
      </c>
      <c r="DQ92" s="662">
        <v>0</v>
      </c>
      <c r="DR92" s="662">
        <v>0</v>
      </c>
      <c r="DS92" s="662">
        <v>0</v>
      </c>
      <c r="DT92" s="662">
        <v>0</v>
      </c>
      <c r="DU92" s="662">
        <v>0</v>
      </c>
      <c r="DV92" s="662">
        <v>0</v>
      </c>
      <c r="DW92" s="662">
        <v>0</v>
      </c>
      <c r="DX92" s="662">
        <v>0</v>
      </c>
      <c r="DY92" s="662">
        <v>0</v>
      </c>
      <c r="DZ92" s="662">
        <v>0</v>
      </c>
      <c r="EA92" s="662">
        <v>0</v>
      </c>
      <c r="EB92" s="662">
        <v>0</v>
      </c>
      <c r="EC92" s="662">
        <v>0</v>
      </c>
      <c r="ED92" s="662">
        <v>0</v>
      </c>
      <c r="EE92" s="662">
        <v>0</v>
      </c>
      <c r="EF92" s="662">
        <v>0</v>
      </c>
      <c r="EG92" s="662">
        <v>0</v>
      </c>
      <c r="EH92" s="662">
        <v>0</v>
      </c>
      <c r="EI92" s="662">
        <v>0</v>
      </c>
      <c r="EJ92" s="662">
        <v>0</v>
      </c>
      <c r="EK92" s="662">
        <v>0</v>
      </c>
      <c r="EL92" s="662">
        <v>0</v>
      </c>
      <c r="EM92" s="662">
        <v>0</v>
      </c>
      <c r="EN92" s="662">
        <v>0</v>
      </c>
      <c r="EO92" s="662">
        <v>0</v>
      </c>
      <c r="EP92" s="662">
        <v>0</v>
      </c>
      <c r="EQ92" s="662">
        <v>0</v>
      </c>
    </row>
    <row r="93" spans="1:147" ht="13.95" customHeight="1" x14ac:dyDescent="0.3">
      <c r="A93" s="660" t="s">
        <v>1749</v>
      </c>
      <c r="B93" s="661" t="s">
        <v>269</v>
      </c>
      <c r="C93" s="662">
        <v>0</v>
      </c>
      <c r="D93" s="662">
        <v>0</v>
      </c>
      <c r="E93" s="662">
        <v>0</v>
      </c>
      <c r="F93" s="662">
        <v>0</v>
      </c>
      <c r="G93" s="662">
        <v>0</v>
      </c>
      <c r="H93" s="662">
        <v>0</v>
      </c>
      <c r="I93" s="662">
        <v>0</v>
      </c>
      <c r="J93" s="802">
        <v>0</v>
      </c>
      <c r="K93" s="662">
        <v>0</v>
      </c>
      <c r="L93" s="662">
        <v>0</v>
      </c>
      <c r="M93" s="662">
        <v>0</v>
      </c>
      <c r="N93" s="662">
        <v>0</v>
      </c>
      <c r="O93" s="662">
        <v>0</v>
      </c>
      <c r="P93" s="662">
        <v>0</v>
      </c>
      <c r="Q93" s="802">
        <v>0</v>
      </c>
      <c r="R93" s="662">
        <v>0</v>
      </c>
      <c r="S93" s="662">
        <v>0</v>
      </c>
      <c r="T93" s="662">
        <v>0</v>
      </c>
      <c r="U93" s="662">
        <v>0</v>
      </c>
      <c r="V93" s="662">
        <v>0</v>
      </c>
      <c r="W93" s="802">
        <v>0</v>
      </c>
      <c r="X93" s="662">
        <v>0</v>
      </c>
      <c r="Y93" s="662">
        <v>0</v>
      </c>
      <c r="Z93" s="662">
        <v>0</v>
      </c>
      <c r="AA93" s="662">
        <v>0</v>
      </c>
      <c r="AB93" s="662">
        <v>0</v>
      </c>
      <c r="AC93" s="662">
        <v>0</v>
      </c>
      <c r="AD93" s="802">
        <v>0</v>
      </c>
      <c r="AE93" s="662">
        <v>0</v>
      </c>
      <c r="AF93" s="662">
        <v>0</v>
      </c>
      <c r="AG93" s="662">
        <v>0</v>
      </c>
      <c r="AH93" s="662">
        <v>0</v>
      </c>
      <c r="AI93" s="662">
        <v>0</v>
      </c>
      <c r="AJ93" s="662">
        <v>0</v>
      </c>
      <c r="AK93" s="802">
        <v>0</v>
      </c>
      <c r="AL93" s="662">
        <v>0</v>
      </c>
      <c r="AM93" s="662">
        <v>0</v>
      </c>
      <c r="AN93" s="662">
        <v>0</v>
      </c>
      <c r="AO93" s="662">
        <v>0</v>
      </c>
      <c r="AP93" s="662">
        <v>0</v>
      </c>
      <c r="AQ93" s="802">
        <v>0</v>
      </c>
      <c r="AR93" s="662">
        <v>0</v>
      </c>
      <c r="AS93" s="662">
        <v>0</v>
      </c>
      <c r="AT93" s="662">
        <v>0</v>
      </c>
      <c r="AU93" s="662">
        <v>0</v>
      </c>
      <c r="AV93" s="662">
        <v>0</v>
      </c>
      <c r="AW93" s="662">
        <v>0</v>
      </c>
      <c r="AX93" s="662">
        <v>0</v>
      </c>
      <c r="AY93" s="662">
        <v>0</v>
      </c>
      <c r="AZ93" s="662">
        <v>0</v>
      </c>
      <c r="BA93" s="662">
        <v>0</v>
      </c>
      <c r="BB93" s="662">
        <v>0</v>
      </c>
      <c r="BC93" s="662">
        <v>0</v>
      </c>
      <c r="BD93" s="662">
        <v>0</v>
      </c>
      <c r="BE93" s="802">
        <v>0</v>
      </c>
      <c r="BF93" s="662">
        <v>0</v>
      </c>
      <c r="BG93" s="662">
        <v>0</v>
      </c>
      <c r="BH93" s="662">
        <v>0</v>
      </c>
      <c r="BI93" s="662">
        <v>0</v>
      </c>
      <c r="BJ93" s="662">
        <v>0</v>
      </c>
      <c r="BK93" s="662">
        <v>0</v>
      </c>
      <c r="BL93" s="662">
        <v>0</v>
      </c>
      <c r="BM93" s="662">
        <v>0</v>
      </c>
      <c r="BN93" s="662">
        <v>0</v>
      </c>
      <c r="BO93" s="662">
        <v>0</v>
      </c>
      <c r="BP93" s="662">
        <v>0</v>
      </c>
      <c r="BQ93" s="662">
        <v>0</v>
      </c>
      <c r="BR93" s="662">
        <v>0</v>
      </c>
      <c r="BS93" s="662">
        <v>0</v>
      </c>
      <c r="BT93" s="662">
        <v>0</v>
      </c>
      <c r="BU93" s="662">
        <v>0</v>
      </c>
      <c r="BV93" s="662">
        <v>0</v>
      </c>
      <c r="BW93" s="662">
        <v>0</v>
      </c>
      <c r="BX93" s="662">
        <v>0</v>
      </c>
      <c r="BY93" s="662">
        <v>0</v>
      </c>
      <c r="BZ93" s="662">
        <v>0</v>
      </c>
      <c r="CA93" s="662">
        <v>0</v>
      </c>
      <c r="CB93" s="662">
        <v>0</v>
      </c>
      <c r="CC93" s="662">
        <v>0</v>
      </c>
      <c r="CD93" s="662">
        <v>0</v>
      </c>
      <c r="CE93" s="662">
        <v>0</v>
      </c>
      <c r="CF93" s="662">
        <v>0</v>
      </c>
      <c r="CG93" s="662">
        <v>0</v>
      </c>
      <c r="CH93" s="662">
        <v>0</v>
      </c>
      <c r="CI93" s="662">
        <v>0</v>
      </c>
      <c r="CJ93" s="662">
        <v>0</v>
      </c>
      <c r="CK93" s="662">
        <v>0</v>
      </c>
      <c r="CL93" s="662">
        <v>0</v>
      </c>
      <c r="CM93" s="662">
        <v>0</v>
      </c>
      <c r="CN93" s="662">
        <v>0</v>
      </c>
      <c r="CO93" s="662">
        <v>0</v>
      </c>
      <c r="CP93" s="662">
        <v>0</v>
      </c>
      <c r="CQ93" s="662">
        <v>0</v>
      </c>
      <c r="CR93" s="662">
        <v>0</v>
      </c>
      <c r="CS93" s="662">
        <v>0</v>
      </c>
      <c r="CT93" s="662">
        <v>0</v>
      </c>
      <c r="CU93" s="662">
        <v>0</v>
      </c>
      <c r="CV93" s="662">
        <v>0</v>
      </c>
      <c r="CW93" s="662">
        <v>0</v>
      </c>
      <c r="CX93" s="662">
        <v>0</v>
      </c>
      <c r="CY93" s="662">
        <v>0</v>
      </c>
      <c r="CZ93" s="662">
        <v>0</v>
      </c>
      <c r="DA93" s="662">
        <v>0</v>
      </c>
      <c r="DB93" s="662">
        <v>0</v>
      </c>
      <c r="DC93" s="662">
        <v>0</v>
      </c>
      <c r="DD93" s="662">
        <v>0</v>
      </c>
      <c r="DE93" s="662">
        <v>0</v>
      </c>
      <c r="DF93" s="662">
        <v>0</v>
      </c>
      <c r="DG93" s="662">
        <v>0</v>
      </c>
      <c r="DH93" s="662">
        <v>0</v>
      </c>
      <c r="DI93" s="662">
        <v>0</v>
      </c>
      <c r="DJ93" s="662">
        <v>0</v>
      </c>
      <c r="DK93" s="662">
        <v>0</v>
      </c>
      <c r="DL93" s="662">
        <v>0</v>
      </c>
      <c r="DM93" s="662">
        <v>0</v>
      </c>
      <c r="DN93" s="662">
        <v>0</v>
      </c>
      <c r="DO93" s="662">
        <v>0</v>
      </c>
      <c r="DP93" s="662">
        <v>0</v>
      </c>
      <c r="DQ93" s="662">
        <v>0</v>
      </c>
      <c r="DR93" s="662">
        <v>0</v>
      </c>
      <c r="DS93" s="662">
        <v>0</v>
      </c>
      <c r="DT93" s="662">
        <v>0</v>
      </c>
      <c r="DU93" s="662">
        <v>0</v>
      </c>
      <c r="DV93" s="662">
        <v>0</v>
      </c>
      <c r="DW93" s="662">
        <v>0</v>
      </c>
      <c r="DX93" s="662">
        <v>0</v>
      </c>
      <c r="DY93" s="662">
        <v>0</v>
      </c>
      <c r="DZ93" s="662">
        <v>0</v>
      </c>
      <c r="EA93" s="662">
        <v>0</v>
      </c>
      <c r="EB93" s="662">
        <v>0</v>
      </c>
      <c r="EC93" s="662">
        <v>0</v>
      </c>
      <c r="ED93" s="662">
        <v>0</v>
      </c>
      <c r="EE93" s="662">
        <v>0</v>
      </c>
      <c r="EF93" s="662">
        <v>0</v>
      </c>
      <c r="EG93" s="662">
        <v>0</v>
      </c>
      <c r="EH93" s="662">
        <v>0</v>
      </c>
      <c r="EI93" s="662">
        <v>0</v>
      </c>
      <c r="EJ93" s="662">
        <v>0</v>
      </c>
      <c r="EK93" s="662">
        <v>0</v>
      </c>
      <c r="EL93" s="662">
        <v>0</v>
      </c>
      <c r="EM93" s="662">
        <v>0</v>
      </c>
      <c r="EN93" s="662">
        <v>0</v>
      </c>
      <c r="EO93" s="662">
        <v>0</v>
      </c>
      <c r="EP93" s="662">
        <v>0</v>
      </c>
      <c r="EQ93" s="662">
        <v>0</v>
      </c>
    </row>
    <row r="94" spans="1:147" ht="20.7" customHeight="1" x14ac:dyDescent="0.3">
      <c r="A94" s="660" t="s">
        <v>1750</v>
      </c>
      <c r="B94" s="661" t="s">
        <v>269</v>
      </c>
      <c r="C94" s="662">
        <v>0</v>
      </c>
      <c r="D94" s="662">
        <v>0</v>
      </c>
      <c r="E94" s="662">
        <v>0</v>
      </c>
      <c r="F94" s="662">
        <v>0</v>
      </c>
      <c r="G94" s="662">
        <v>0</v>
      </c>
      <c r="H94" s="662">
        <v>0</v>
      </c>
      <c r="I94" s="662">
        <v>0</v>
      </c>
      <c r="J94" s="802">
        <v>0</v>
      </c>
      <c r="K94" s="662">
        <v>0</v>
      </c>
      <c r="L94" s="662">
        <v>0</v>
      </c>
      <c r="M94" s="662">
        <v>0</v>
      </c>
      <c r="N94" s="662">
        <v>0</v>
      </c>
      <c r="O94" s="662">
        <v>0</v>
      </c>
      <c r="P94" s="662">
        <v>0</v>
      </c>
      <c r="Q94" s="802">
        <v>0</v>
      </c>
      <c r="R94" s="662">
        <v>0</v>
      </c>
      <c r="S94" s="662">
        <v>0</v>
      </c>
      <c r="T94" s="662">
        <v>0</v>
      </c>
      <c r="U94" s="662">
        <v>0</v>
      </c>
      <c r="V94" s="662">
        <v>0</v>
      </c>
      <c r="W94" s="802">
        <v>0</v>
      </c>
      <c r="X94" s="662">
        <v>0</v>
      </c>
      <c r="Y94" s="662">
        <v>0</v>
      </c>
      <c r="Z94" s="662">
        <v>0</v>
      </c>
      <c r="AA94" s="662">
        <v>0</v>
      </c>
      <c r="AB94" s="662">
        <v>0</v>
      </c>
      <c r="AC94" s="662">
        <v>0</v>
      </c>
      <c r="AD94" s="802">
        <v>0</v>
      </c>
      <c r="AE94" s="662">
        <v>0</v>
      </c>
      <c r="AF94" s="662">
        <v>0</v>
      </c>
      <c r="AG94" s="662">
        <v>0</v>
      </c>
      <c r="AH94" s="662">
        <v>0</v>
      </c>
      <c r="AI94" s="662">
        <v>0</v>
      </c>
      <c r="AJ94" s="662">
        <v>0</v>
      </c>
      <c r="AK94" s="802">
        <v>0</v>
      </c>
      <c r="AL94" s="662">
        <v>0</v>
      </c>
      <c r="AM94" s="662">
        <v>0</v>
      </c>
      <c r="AN94" s="662">
        <v>0</v>
      </c>
      <c r="AO94" s="662">
        <v>0</v>
      </c>
      <c r="AP94" s="662">
        <v>0</v>
      </c>
      <c r="AQ94" s="802">
        <v>0</v>
      </c>
      <c r="AR94" s="662">
        <v>0</v>
      </c>
      <c r="AS94" s="662">
        <v>0</v>
      </c>
      <c r="AT94" s="662">
        <v>0</v>
      </c>
      <c r="AU94" s="662">
        <v>0</v>
      </c>
      <c r="AV94" s="662">
        <v>0</v>
      </c>
      <c r="AW94" s="662">
        <v>0</v>
      </c>
      <c r="AX94" s="662">
        <v>0</v>
      </c>
      <c r="AY94" s="662">
        <v>0</v>
      </c>
      <c r="AZ94" s="662">
        <v>0</v>
      </c>
      <c r="BA94" s="662">
        <v>0</v>
      </c>
      <c r="BB94" s="662">
        <v>0</v>
      </c>
      <c r="BC94" s="662">
        <v>0</v>
      </c>
      <c r="BD94" s="662">
        <v>0</v>
      </c>
      <c r="BE94" s="802">
        <v>0</v>
      </c>
      <c r="BF94" s="662">
        <v>0</v>
      </c>
      <c r="BG94" s="662">
        <v>0</v>
      </c>
      <c r="BH94" s="662">
        <v>0</v>
      </c>
      <c r="BI94" s="662">
        <v>0</v>
      </c>
      <c r="BJ94" s="662">
        <v>0</v>
      </c>
      <c r="BK94" s="662">
        <v>0</v>
      </c>
      <c r="BL94" s="662">
        <v>0</v>
      </c>
      <c r="BM94" s="662">
        <v>0</v>
      </c>
      <c r="BN94" s="662">
        <v>0</v>
      </c>
      <c r="BO94" s="662">
        <v>0</v>
      </c>
      <c r="BP94" s="662">
        <v>0</v>
      </c>
      <c r="BQ94" s="662">
        <v>0</v>
      </c>
      <c r="BR94" s="662">
        <v>0</v>
      </c>
      <c r="BS94" s="662">
        <v>0</v>
      </c>
      <c r="BT94" s="662">
        <v>0</v>
      </c>
      <c r="BU94" s="662">
        <v>0</v>
      </c>
      <c r="BV94" s="662">
        <v>0</v>
      </c>
      <c r="BW94" s="662">
        <v>0</v>
      </c>
      <c r="BX94" s="662">
        <v>0</v>
      </c>
      <c r="BY94" s="662">
        <v>0</v>
      </c>
      <c r="BZ94" s="662">
        <v>0</v>
      </c>
      <c r="CA94" s="662">
        <v>0</v>
      </c>
      <c r="CB94" s="662">
        <v>0</v>
      </c>
      <c r="CC94" s="662">
        <v>0</v>
      </c>
      <c r="CD94" s="662">
        <v>0</v>
      </c>
      <c r="CE94" s="662">
        <v>0</v>
      </c>
      <c r="CF94" s="662">
        <v>0</v>
      </c>
      <c r="CG94" s="662">
        <v>0</v>
      </c>
      <c r="CH94" s="662">
        <v>0</v>
      </c>
      <c r="CI94" s="662">
        <v>0</v>
      </c>
      <c r="CJ94" s="662">
        <v>0</v>
      </c>
      <c r="CK94" s="662">
        <v>0</v>
      </c>
      <c r="CL94" s="662">
        <v>0</v>
      </c>
      <c r="CM94" s="662">
        <v>0</v>
      </c>
      <c r="CN94" s="662">
        <v>0</v>
      </c>
      <c r="CO94" s="662">
        <v>0</v>
      </c>
      <c r="CP94" s="662">
        <v>0</v>
      </c>
      <c r="CQ94" s="662">
        <v>0</v>
      </c>
      <c r="CR94" s="662">
        <v>0</v>
      </c>
      <c r="CS94" s="662">
        <v>0</v>
      </c>
      <c r="CT94" s="662">
        <v>0</v>
      </c>
      <c r="CU94" s="662">
        <v>0</v>
      </c>
      <c r="CV94" s="662">
        <v>0</v>
      </c>
      <c r="CW94" s="662">
        <v>0</v>
      </c>
      <c r="CX94" s="662">
        <v>0</v>
      </c>
      <c r="CY94" s="662">
        <v>0</v>
      </c>
      <c r="CZ94" s="662">
        <v>0</v>
      </c>
      <c r="DA94" s="662">
        <v>0</v>
      </c>
      <c r="DB94" s="662">
        <v>0</v>
      </c>
      <c r="DC94" s="662">
        <v>0</v>
      </c>
      <c r="DD94" s="662">
        <v>0</v>
      </c>
      <c r="DE94" s="662">
        <v>0</v>
      </c>
      <c r="DF94" s="662">
        <v>0</v>
      </c>
      <c r="DG94" s="662">
        <v>0</v>
      </c>
      <c r="DH94" s="662">
        <v>0</v>
      </c>
      <c r="DI94" s="662">
        <v>0</v>
      </c>
      <c r="DJ94" s="662">
        <v>0</v>
      </c>
      <c r="DK94" s="662">
        <v>0</v>
      </c>
      <c r="DL94" s="662">
        <v>0</v>
      </c>
      <c r="DM94" s="662">
        <v>0</v>
      </c>
      <c r="DN94" s="662">
        <v>0</v>
      </c>
      <c r="DO94" s="662">
        <v>0</v>
      </c>
      <c r="DP94" s="662">
        <v>0</v>
      </c>
      <c r="DQ94" s="662">
        <v>0</v>
      </c>
      <c r="DR94" s="662">
        <v>0</v>
      </c>
      <c r="DS94" s="662">
        <v>0</v>
      </c>
      <c r="DT94" s="662">
        <v>0</v>
      </c>
      <c r="DU94" s="662">
        <v>0</v>
      </c>
      <c r="DV94" s="662">
        <v>0</v>
      </c>
      <c r="DW94" s="662">
        <v>0</v>
      </c>
      <c r="DX94" s="662">
        <v>0</v>
      </c>
      <c r="DY94" s="662">
        <v>0</v>
      </c>
      <c r="DZ94" s="662">
        <v>0</v>
      </c>
      <c r="EA94" s="662">
        <v>0</v>
      </c>
      <c r="EB94" s="662">
        <v>0</v>
      </c>
      <c r="EC94" s="662">
        <v>0</v>
      </c>
      <c r="ED94" s="662">
        <v>0</v>
      </c>
      <c r="EE94" s="662">
        <v>0</v>
      </c>
      <c r="EF94" s="662">
        <v>0</v>
      </c>
      <c r="EG94" s="662">
        <v>0</v>
      </c>
      <c r="EH94" s="662">
        <v>0</v>
      </c>
      <c r="EI94" s="662">
        <v>0</v>
      </c>
      <c r="EJ94" s="662">
        <v>0</v>
      </c>
      <c r="EK94" s="662">
        <v>0</v>
      </c>
      <c r="EL94" s="662">
        <v>0</v>
      </c>
      <c r="EM94" s="662">
        <v>0</v>
      </c>
      <c r="EN94" s="662">
        <v>0</v>
      </c>
      <c r="EO94" s="662">
        <v>0</v>
      </c>
      <c r="EP94" s="662">
        <v>0</v>
      </c>
      <c r="EQ94" s="662">
        <v>0</v>
      </c>
    </row>
    <row r="95" spans="1:147" ht="20.7" customHeight="1" x14ac:dyDescent="0.3">
      <c r="A95" s="660" t="s">
        <v>1751</v>
      </c>
      <c r="B95" s="661" t="s">
        <v>269</v>
      </c>
      <c r="C95" s="662">
        <v>0</v>
      </c>
      <c r="D95" s="662">
        <v>0</v>
      </c>
      <c r="E95" s="662">
        <v>0</v>
      </c>
      <c r="F95" s="662">
        <v>0</v>
      </c>
      <c r="G95" s="662">
        <v>0</v>
      </c>
      <c r="H95" s="662">
        <v>0</v>
      </c>
      <c r="I95" s="662">
        <v>0</v>
      </c>
      <c r="J95" s="802">
        <v>0</v>
      </c>
      <c r="K95" s="662">
        <v>0</v>
      </c>
      <c r="L95" s="662">
        <v>0</v>
      </c>
      <c r="M95" s="662">
        <v>0</v>
      </c>
      <c r="N95" s="662">
        <v>0</v>
      </c>
      <c r="O95" s="662">
        <v>0</v>
      </c>
      <c r="P95" s="662">
        <v>0</v>
      </c>
      <c r="Q95" s="802">
        <v>0</v>
      </c>
      <c r="R95" s="662">
        <v>0</v>
      </c>
      <c r="S95" s="662">
        <v>0</v>
      </c>
      <c r="T95" s="662">
        <v>0</v>
      </c>
      <c r="U95" s="662">
        <v>0</v>
      </c>
      <c r="V95" s="662">
        <v>0</v>
      </c>
      <c r="W95" s="802">
        <v>0</v>
      </c>
      <c r="X95" s="662">
        <v>0</v>
      </c>
      <c r="Y95" s="662">
        <v>0</v>
      </c>
      <c r="Z95" s="662">
        <v>0</v>
      </c>
      <c r="AA95" s="662">
        <v>0</v>
      </c>
      <c r="AB95" s="662">
        <v>0</v>
      </c>
      <c r="AC95" s="662">
        <v>0</v>
      </c>
      <c r="AD95" s="802">
        <v>0</v>
      </c>
      <c r="AE95" s="662">
        <v>0</v>
      </c>
      <c r="AF95" s="662">
        <v>0</v>
      </c>
      <c r="AG95" s="662">
        <v>0</v>
      </c>
      <c r="AH95" s="662">
        <v>0</v>
      </c>
      <c r="AI95" s="662">
        <v>0</v>
      </c>
      <c r="AJ95" s="662">
        <v>0</v>
      </c>
      <c r="AK95" s="802">
        <v>0</v>
      </c>
      <c r="AL95" s="662">
        <v>0</v>
      </c>
      <c r="AM95" s="662">
        <v>0</v>
      </c>
      <c r="AN95" s="662">
        <v>0</v>
      </c>
      <c r="AO95" s="662">
        <v>0</v>
      </c>
      <c r="AP95" s="662">
        <v>0</v>
      </c>
      <c r="AQ95" s="802">
        <v>0</v>
      </c>
      <c r="AR95" s="662">
        <v>0</v>
      </c>
      <c r="AS95" s="662">
        <v>0</v>
      </c>
      <c r="AT95" s="662">
        <v>0</v>
      </c>
      <c r="AU95" s="662">
        <v>0</v>
      </c>
      <c r="AV95" s="662">
        <v>0</v>
      </c>
      <c r="AW95" s="662">
        <v>0</v>
      </c>
      <c r="AX95" s="662">
        <v>0</v>
      </c>
      <c r="AY95" s="662">
        <v>0</v>
      </c>
      <c r="AZ95" s="662">
        <v>0</v>
      </c>
      <c r="BA95" s="662">
        <v>0</v>
      </c>
      <c r="BB95" s="662">
        <v>0</v>
      </c>
      <c r="BC95" s="662">
        <v>0</v>
      </c>
      <c r="BD95" s="662">
        <v>0</v>
      </c>
      <c r="BE95" s="802">
        <v>0</v>
      </c>
      <c r="BF95" s="662">
        <v>0</v>
      </c>
      <c r="BG95" s="662">
        <v>0</v>
      </c>
      <c r="BH95" s="662">
        <v>0</v>
      </c>
      <c r="BI95" s="662">
        <v>0</v>
      </c>
      <c r="BJ95" s="662">
        <v>0</v>
      </c>
      <c r="BK95" s="662">
        <v>0</v>
      </c>
      <c r="BL95" s="662">
        <v>0</v>
      </c>
      <c r="BM95" s="662">
        <v>0</v>
      </c>
      <c r="BN95" s="662">
        <v>0</v>
      </c>
      <c r="BO95" s="662">
        <v>0</v>
      </c>
      <c r="BP95" s="662">
        <v>0</v>
      </c>
      <c r="BQ95" s="662">
        <v>0</v>
      </c>
      <c r="BR95" s="662">
        <v>0</v>
      </c>
      <c r="BS95" s="662">
        <v>0</v>
      </c>
      <c r="BT95" s="662">
        <v>0</v>
      </c>
      <c r="BU95" s="662">
        <v>0</v>
      </c>
      <c r="BV95" s="662">
        <v>0</v>
      </c>
      <c r="BW95" s="662">
        <v>0</v>
      </c>
      <c r="BX95" s="662">
        <v>0</v>
      </c>
      <c r="BY95" s="662">
        <v>0</v>
      </c>
      <c r="BZ95" s="662">
        <v>0</v>
      </c>
      <c r="CA95" s="662">
        <v>0</v>
      </c>
      <c r="CB95" s="662">
        <v>0</v>
      </c>
      <c r="CC95" s="662">
        <v>0</v>
      </c>
      <c r="CD95" s="662">
        <v>0</v>
      </c>
      <c r="CE95" s="662">
        <v>0</v>
      </c>
      <c r="CF95" s="662">
        <v>0</v>
      </c>
      <c r="CG95" s="662">
        <v>0</v>
      </c>
      <c r="CH95" s="662">
        <v>0</v>
      </c>
      <c r="CI95" s="662">
        <v>0</v>
      </c>
      <c r="CJ95" s="662">
        <v>0</v>
      </c>
      <c r="CK95" s="662">
        <v>0</v>
      </c>
      <c r="CL95" s="662">
        <v>0</v>
      </c>
      <c r="CM95" s="662">
        <v>0</v>
      </c>
      <c r="CN95" s="662">
        <v>0</v>
      </c>
      <c r="CO95" s="662">
        <v>0</v>
      </c>
      <c r="CP95" s="662">
        <v>0</v>
      </c>
      <c r="CQ95" s="662">
        <v>0</v>
      </c>
      <c r="CR95" s="662">
        <v>0</v>
      </c>
      <c r="CS95" s="662">
        <v>0</v>
      </c>
      <c r="CT95" s="662">
        <v>0</v>
      </c>
      <c r="CU95" s="662">
        <v>0</v>
      </c>
      <c r="CV95" s="662">
        <v>0</v>
      </c>
      <c r="CW95" s="662">
        <v>0</v>
      </c>
      <c r="CX95" s="662">
        <v>0</v>
      </c>
      <c r="CY95" s="662">
        <v>0</v>
      </c>
      <c r="CZ95" s="662">
        <v>0</v>
      </c>
      <c r="DA95" s="662">
        <v>0</v>
      </c>
      <c r="DB95" s="662">
        <v>0</v>
      </c>
      <c r="DC95" s="662">
        <v>0</v>
      </c>
      <c r="DD95" s="662">
        <v>0</v>
      </c>
      <c r="DE95" s="662">
        <v>0</v>
      </c>
      <c r="DF95" s="662">
        <v>0</v>
      </c>
      <c r="DG95" s="662">
        <v>0</v>
      </c>
      <c r="DH95" s="662">
        <v>0</v>
      </c>
      <c r="DI95" s="662">
        <v>0</v>
      </c>
      <c r="DJ95" s="662">
        <v>0</v>
      </c>
      <c r="DK95" s="662">
        <v>0</v>
      </c>
      <c r="DL95" s="662">
        <v>0</v>
      </c>
      <c r="DM95" s="662">
        <v>0</v>
      </c>
      <c r="DN95" s="662">
        <v>0</v>
      </c>
      <c r="DO95" s="662">
        <v>0</v>
      </c>
      <c r="DP95" s="662">
        <v>0</v>
      </c>
      <c r="DQ95" s="662">
        <v>0</v>
      </c>
      <c r="DR95" s="662">
        <v>0</v>
      </c>
      <c r="DS95" s="662">
        <v>0</v>
      </c>
      <c r="DT95" s="662">
        <v>0</v>
      </c>
      <c r="DU95" s="662">
        <v>0</v>
      </c>
      <c r="DV95" s="662">
        <v>0</v>
      </c>
      <c r="DW95" s="662">
        <v>0</v>
      </c>
      <c r="DX95" s="662">
        <v>0</v>
      </c>
      <c r="DY95" s="662">
        <v>0</v>
      </c>
      <c r="DZ95" s="662">
        <v>0</v>
      </c>
      <c r="EA95" s="662">
        <v>0</v>
      </c>
      <c r="EB95" s="662">
        <v>0</v>
      </c>
      <c r="EC95" s="662">
        <v>0</v>
      </c>
      <c r="ED95" s="662">
        <v>0</v>
      </c>
      <c r="EE95" s="662">
        <v>0</v>
      </c>
      <c r="EF95" s="662">
        <v>0</v>
      </c>
      <c r="EG95" s="662">
        <v>0</v>
      </c>
      <c r="EH95" s="662">
        <v>0</v>
      </c>
      <c r="EI95" s="662">
        <v>0</v>
      </c>
      <c r="EJ95" s="662">
        <v>0</v>
      </c>
      <c r="EK95" s="662">
        <v>0</v>
      </c>
      <c r="EL95" s="662">
        <v>0</v>
      </c>
      <c r="EM95" s="662">
        <v>0</v>
      </c>
      <c r="EN95" s="662">
        <v>0</v>
      </c>
      <c r="EO95" s="662">
        <v>0</v>
      </c>
      <c r="EP95" s="662">
        <v>0</v>
      </c>
      <c r="EQ95" s="662">
        <v>0</v>
      </c>
    </row>
    <row r="96" spans="1:147" ht="13.95" customHeight="1" x14ac:dyDescent="0.3">
      <c r="A96" s="660" t="s">
        <v>1752</v>
      </c>
      <c r="B96" s="661" t="s">
        <v>269</v>
      </c>
      <c r="C96" s="662">
        <v>0</v>
      </c>
      <c r="D96" s="662">
        <v>0</v>
      </c>
      <c r="E96" s="662">
        <v>0</v>
      </c>
      <c r="F96" s="662">
        <v>0</v>
      </c>
      <c r="G96" s="662">
        <v>0</v>
      </c>
      <c r="H96" s="662">
        <v>0</v>
      </c>
      <c r="I96" s="662">
        <v>0</v>
      </c>
      <c r="J96" s="802">
        <v>0</v>
      </c>
      <c r="K96" s="662">
        <v>0</v>
      </c>
      <c r="L96" s="662">
        <v>0</v>
      </c>
      <c r="M96" s="662">
        <v>0</v>
      </c>
      <c r="N96" s="662">
        <v>0</v>
      </c>
      <c r="O96" s="662">
        <v>0</v>
      </c>
      <c r="P96" s="662">
        <v>0</v>
      </c>
      <c r="Q96" s="802">
        <v>0</v>
      </c>
      <c r="R96" s="662">
        <v>0</v>
      </c>
      <c r="S96" s="662">
        <v>0</v>
      </c>
      <c r="T96" s="662">
        <v>0</v>
      </c>
      <c r="U96" s="662">
        <v>0</v>
      </c>
      <c r="V96" s="662">
        <v>0</v>
      </c>
      <c r="W96" s="802">
        <v>0</v>
      </c>
      <c r="X96" s="662">
        <v>0</v>
      </c>
      <c r="Y96" s="662">
        <v>0</v>
      </c>
      <c r="Z96" s="662">
        <v>0</v>
      </c>
      <c r="AA96" s="662">
        <v>0</v>
      </c>
      <c r="AB96" s="662">
        <v>0</v>
      </c>
      <c r="AC96" s="662">
        <v>0</v>
      </c>
      <c r="AD96" s="802">
        <v>0</v>
      </c>
      <c r="AE96" s="662">
        <v>0</v>
      </c>
      <c r="AF96" s="662">
        <v>0</v>
      </c>
      <c r="AG96" s="662">
        <v>0</v>
      </c>
      <c r="AH96" s="662">
        <v>0</v>
      </c>
      <c r="AI96" s="662">
        <v>0</v>
      </c>
      <c r="AJ96" s="662">
        <v>0</v>
      </c>
      <c r="AK96" s="802">
        <v>0</v>
      </c>
      <c r="AL96" s="662">
        <v>0</v>
      </c>
      <c r="AM96" s="662">
        <v>0</v>
      </c>
      <c r="AN96" s="662">
        <v>0</v>
      </c>
      <c r="AO96" s="662">
        <v>0</v>
      </c>
      <c r="AP96" s="662">
        <v>0</v>
      </c>
      <c r="AQ96" s="802">
        <v>0</v>
      </c>
      <c r="AR96" s="662">
        <v>0</v>
      </c>
      <c r="AS96" s="662">
        <v>0</v>
      </c>
      <c r="AT96" s="662">
        <v>0</v>
      </c>
      <c r="AU96" s="662">
        <v>0</v>
      </c>
      <c r="AV96" s="662">
        <v>0</v>
      </c>
      <c r="AW96" s="662">
        <v>0</v>
      </c>
      <c r="AX96" s="662">
        <v>0</v>
      </c>
      <c r="AY96" s="662">
        <v>0</v>
      </c>
      <c r="AZ96" s="662">
        <v>0</v>
      </c>
      <c r="BA96" s="662">
        <v>0</v>
      </c>
      <c r="BB96" s="662">
        <v>0</v>
      </c>
      <c r="BC96" s="662">
        <v>0</v>
      </c>
      <c r="BD96" s="662">
        <v>0</v>
      </c>
      <c r="BE96" s="802">
        <v>0</v>
      </c>
      <c r="BF96" s="662">
        <v>0</v>
      </c>
      <c r="BG96" s="662">
        <v>0</v>
      </c>
      <c r="BH96" s="662">
        <v>0</v>
      </c>
      <c r="BI96" s="662">
        <v>0</v>
      </c>
      <c r="BJ96" s="662">
        <v>0</v>
      </c>
      <c r="BK96" s="662">
        <v>0</v>
      </c>
      <c r="BL96" s="662">
        <v>0</v>
      </c>
      <c r="BM96" s="662">
        <v>0</v>
      </c>
      <c r="BN96" s="662">
        <v>0</v>
      </c>
      <c r="BO96" s="662">
        <v>0</v>
      </c>
      <c r="BP96" s="662">
        <v>0</v>
      </c>
      <c r="BQ96" s="662">
        <v>0</v>
      </c>
      <c r="BR96" s="662">
        <v>0</v>
      </c>
      <c r="BS96" s="662">
        <v>0</v>
      </c>
      <c r="BT96" s="662">
        <v>0</v>
      </c>
      <c r="BU96" s="662">
        <v>0</v>
      </c>
      <c r="BV96" s="662">
        <v>0</v>
      </c>
      <c r="BW96" s="662">
        <v>0</v>
      </c>
      <c r="BX96" s="662">
        <v>0</v>
      </c>
      <c r="BY96" s="662">
        <v>0</v>
      </c>
      <c r="BZ96" s="662">
        <v>0</v>
      </c>
      <c r="CA96" s="662">
        <v>0</v>
      </c>
      <c r="CB96" s="662">
        <v>0</v>
      </c>
      <c r="CC96" s="662">
        <v>0</v>
      </c>
      <c r="CD96" s="662">
        <v>0</v>
      </c>
      <c r="CE96" s="662">
        <v>0</v>
      </c>
      <c r="CF96" s="662">
        <v>0</v>
      </c>
      <c r="CG96" s="662">
        <v>0</v>
      </c>
      <c r="CH96" s="662">
        <v>0</v>
      </c>
      <c r="CI96" s="662">
        <v>0</v>
      </c>
      <c r="CJ96" s="662">
        <v>0</v>
      </c>
      <c r="CK96" s="662">
        <v>0</v>
      </c>
      <c r="CL96" s="662">
        <v>0</v>
      </c>
      <c r="CM96" s="662">
        <v>0</v>
      </c>
      <c r="CN96" s="662">
        <v>0</v>
      </c>
      <c r="CO96" s="662">
        <v>0</v>
      </c>
      <c r="CP96" s="662">
        <v>0</v>
      </c>
      <c r="CQ96" s="662">
        <v>0</v>
      </c>
      <c r="CR96" s="662">
        <v>0</v>
      </c>
      <c r="CS96" s="662">
        <v>0</v>
      </c>
      <c r="CT96" s="662">
        <v>0</v>
      </c>
      <c r="CU96" s="662">
        <v>0</v>
      </c>
      <c r="CV96" s="662">
        <v>0</v>
      </c>
      <c r="CW96" s="662">
        <v>0</v>
      </c>
      <c r="CX96" s="662">
        <v>0</v>
      </c>
      <c r="CY96" s="662">
        <v>0</v>
      </c>
      <c r="CZ96" s="662">
        <v>0</v>
      </c>
      <c r="DA96" s="662">
        <v>0</v>
      </c>
      <c r="DB96" s="662">
        <v>0</v>
      </c>
      <c r="DC96" s="662">
        <v>0</v>
      </c>
      <c r="DD96" s="662">
        <v>0</v>
      </c>
      <c r="DE96" s="662">
        <v>0</v>
      </c>
      <c r="DF96" s="662">
        <v>0</v>
      </c>
      <c r="DG96" s="662">
        <v>0</v>
      </c>
      <c r="DH96" s="662">
        <v>0</v>
      </c>
      <c r="DI96" s="662">
        <v>0</v>
      </c>
      <c r="DJ96" s="662">
        <v>0</v>
      </c>
      <c r="DK96" s="662">
        <v>0</v>
      </c>
      <c r="DL96" s="662">
        <v>0</v>
      </c>
      <c r="DM96" s="662">
        <v>0</v>
      </c>
      <c r="DN96" s="662">
        <v>0</v>
      </c>
      <c r="DO96" s="662">
        <v>0</v>
      </c>
      <c r="DP96" s="662">
        <v>0</v>
      </c>
      <c r="DQ96" s="662">
        <v>0</v>
      </c>
      <c r="DR96" s="662">
        <v>0</v>
      </c>
      <c r="DS96" s="662">
        <v>0</v>
      </c>
      <c r="DT96" s="662">
        <v>0</v>
      </c>
      <c r="DU96" s="662">
        <v>0</v>
      </c>
      <c r="DV96" s="662">
        <v>0</v>
      </c>
      <c r="DW96" s="662">
        <v>0</v>
      </c>
      <c r="DX96" s="662">
        <v>0</v>
      </c>
      <c r="DY96" s="662">
        <v>0</v>
      </c>
      <c r="DZ96" s="662">
        <v>0</v>
      </c>
      <c r="EA96" s="662">
        <v>0</v>
      </c>
      <c r="EB96" s="662">
        <v>0</v>
      </c>
      <c r="EC96" s="662">
        <v>0</v>
      </c>
      <c r="ED96" s="662">
        <v>0</v>
      </c>
      <c r="EE96" s="662">
        <v>0</v>
      </c>
      <c r="EF96" s="662">
        <v>0</v>
      </c>
      <c r="EG96" s="662">
        <v>0</v>
      </c>
      <c r="EH96" s="662">
        <v>0</v>
      </c>
      <c r="EI96" s="662">
        <v>0</v>
      </c>
      <c r="EJ96" s="662">
        <v>0</v>
      </c>
      <c r="EK96" s="662">
        <v>0</v>
      </c>
      <c r="EL96" s="662">
        <v>0</v>
      </c>
      <c r="EM96" s="662">
        <v>0</v>
      </c>
      <c r="EN96" s="662">
        <v>0</v>
      </c>
      <c r="EO96" s="662">
        <v>0</v>
      </c>
      <c r="EP96" s="662">
        <v>0</v>
      </c>
      <c r="EQ96" s="662">
        <v>0</v>
      </c>
    </row>
    <row r="97" spans="1:147" ht="13.95" customHeight="1" x14ac:dyDescent="0.3">
      <c r="A97" s="660" t="s">
        <v>1753</v>
      </c>
      <c r="B97" s="661" t="s">
        <v>269</v>
      </c>
      <c r="C97" s="662">
        <v>0</v>
      </c>
      <c r="D97" s="662">
        <v>0</v>
      </c>
      <c r="E97" s="662">
        <v>0</v>
      </c>
      <c r="F97" s="662">
        <v>0</v>
      </c>
      <c r="G97" s="662">
        <v>0</v>
      </c>
      <c r="H97" s="662">
        <v>0</v>
      </c>
      <c r="I97" s="662">
        <v>0</v>
      </c>
      <c r="J97" s="802">
        <v>0</v>
      </c>
      <c r="K97" s="662">
        <v>0</v>
      </c>
      <c r="L97" s="662">
        <v>0</v>
      </c>
      <c r="M97" s="662">
        <v>0</v>
      </c>
      <c r="N97" s="662">
        <v>0</v>
      </c>
      <c r="O97" s="662">
        <v>0</v>
      </c>
      <c r="P97" s="662">
        <v>0</v>
      </c>
      <c r="Q97" s="802">
        <v>0</v>
      </c>
      <c r="R97" s="662">
        <v>0</v>
      </c>
      <c r="S97" s="662">
        <v>0</v>
      </c>
      <c r="T97" s="662">
        <v>0</v>
      </c>
      <c r="U97" s="662">
        <v>0</v>
      </c>
      <c r="V97" s="662">
        <v>0</v>
      </c>
      <c r="W97" s="802">
        <v>0</v>
      </c>
      <c r="X97" s="662">
        <v>0</v>
      </c>
      <c r="Y97" s="662">
        <v>0</v>
      </c>
      <c r="Z97" s="662">
        <v>0</v>
      </c>
      <c r="AA97" s="662">
        <v>0</v>
      </c>
      <c r="AB97" s="662">
        <v>0</v>
      </c>
      <c r="AC97" s="662">
        <v>0</v>
      </c>
      <c r="AD97" s="802">
        <v>0</v>
      </c>
      <c r="AE97" s="662">
        <v>0</v>
      </c>
      <c r="AF97" s="662">
        <v>0</v>
      </c>
      <c r="AG97" s="662">
        <v>0</v>
      </c>
      <c r="AH97" s="662">
        <v>0</v>
      </c>
      <c r="AI97" s="662">
        <v>0</v>
      </c>
      <c r="AJ97" s="662">
        <v>0</v>
      </c>
      <c r="AK97" s="802">
        <v>0</v>
      </c>
      <c r="AL97" s="662">
        <v>0</v>
      </c>
      <c r="AM97" s="662">
        <v>0</v>
      </c>
      <c r="AN97" s="662">
        <v>0</v>
      </c>
      <c r="AO97" s="662">
        <v>0</v>
      </c>
      <c r="AP97" s="662">
        <v>0</v>
      </c>
      <c r="AQ97" s="802">
        <v>0</v>
      </c>
      <c r="AR97" s="662">
        <v>0</v>
      </c>
      <c r="AS97" s="662">
        <v>0</v>
      </c>
      <c r="AT97" s="662">
        <v>0</v>
      </c>
      <c r="AU97" s="662">
        <v>0</v>
      </c>
      <c r="AV97" s="662">
        <v>0</v>
      </c>
      <c r="AW97" s="662">
        <v>0</v>
      </c>
      <c r="AX97" s="662">
        <v>0</v>
      </c>
      <c r="AY97" s="662">
        <v>0</v>
      </c>
      <c r="AZ97" s="662">
        <v>0</v>
      </c>
      <c r="BA97" s="662">
        <v>0</v>
      </c>
      <c r="BB97" s="662">
        <v>0</v>
      </c>
      <c r="BC97" s="662">
        <v>0</v>
      </c>
      <c r="BD97" s="662">
        <v>0</v>
      </c>
      <c r="BE97" s="802">
        <v>0</v>
      </c>
      <c r="BF97" s="662">
        <v>0</v>
      </c>
      <c r="BG97" s="662">
        <v>0</v>
      </c>
      <c r="BH97" s="662">
        <v>0</v>
      </c>
      <c r="BI97" s="662">
        <v>0</v>
      </c>
      <c r="BJ97" s="662">
        <v>0</v>
      </c>
      <c r="BK97" s="662">
        <v>0</v>
      </c>
      <c r="BL97" s="662">
        <v>0</v>
      </c>
      <c r="BM97" s="662">
        <v>0</v>
      </c>
      <c r="BN97" s="662">
        <v>0</v>
      </c>
      <c r="BO97" s="662">
        <v>0</v>
      </c>
      <c r="BP97" s="662">
        <v>0</v>
      </c>
      <c r="BQ97" s="662">
        <v>0</v>
      </c>
      <c r="BR97" s="662">
        <v>0</v>
      </c>
      <c r="BS97" s="662">
        <v>0</v>
      </c>
      <c r="BT97" s="662">
        <v>0</v>
      </c>
      <c r="BU97" s="662">
        <v>0</v>
      </c>
      <c r="BV97" s="662">
        <v>0</v>
      </c>
      <c r="BW97" s="662">
        <v>0</v>
      </c>
      <c r="BX97" s="662">
        <v>0</v>
      </c>
      <c r="BY97" s="662">
        <v>0</v>
      </c>
      <c r="BZ97" s="662">
        <v>0</v>
      </c>
      <c r="CA97" s="662">
        <v>0</v>
      </c>
      <c r="CB97" s="662">
        <v>0</v>
      </c>
      <c r="CC97" s="662">
        <v>0</v>
      </c>
      <c r="CD97" s="662">
        <v>0</v>
      </c>
      <c r="CE97" s="662">
        <v>0</v>
      </c>
      <c r="CF97" s="662">
        <v>0</v>
      </c>
      <c r="CG97" s="662">
        <v>0</v>
      </c>
      <c r="CH97" s="662">
        <v>0</v>
      </c>
      <c r="CI97" s="662">
        <v>0</v>
      </c>
      <c r="CJ97" s="662">
        <v>0</v>
      </c>
      <c r="CK97" s="662">
        <v>0</v>
      </c>
      <c r="CL97" s="662">
        <v>0</v>
      </c>
      <c r="CM97" s="662">
        <v>0</v>
      </c>
      <c r="CN97" s="662">
        <v>0</v>
      </c>
      <c r="CO97" s="662">
        <v>0</v>
      </c>
      <c r="CP97" s="662">
        <v>0</v>
      </c>
      <c r="CQ97" s="662">
        <v>0</v>
      </c>
      <c r="CR97" s="662">
        <v>0</v>
      </c>
      <c r="CS97" s="662">
        <v>0</v>
      </c>
      <c r="CT97" s="662">
        <v>0</v>
      </c>
      <c r="CU97" s="662">
        <v>0</v>
      </c>
      <c r="CV97" s="662">
        <v>0</v>
      </c>
      <c r="CW97" s="662">
        <v>0</v>
      </c>
      <c r="CX97" s="662">
        <v>0</v>
      </c>
      <c r="CY97" s="662">
        <v>0</v>
      </c>
      <c r="CZ97" s="662">
        <v>0</v>
      </c>
      <c r="DA97" s="662">
        <v>0</v>
      </c>
      <c r="DB97" s="662">
        <v>0</v>
      </c>
      <c r="DC97" s="662">
        <v>0</v>
      </c>
      <c r="DD97" s="662">
        <v>0</v>
      </c>
      <c r="DE97" s="662">
        <v>0</v>
      </c>
      <c r="DF97" s="662">
        <v>0</v>
      </c>
      <c r="DG97" s="662">
        <v>0</v>
      </c>
      <c r="DH97" s="662">
        <v>0</v>
      </c>
      <c r="DI97" s="662">
        <v>0</v>
      </c>
      <c r="DJ97" s="662">
        <v>0</v>
      </c>
      <c r="DK97" s="662">
        <v>0</v>
      </c>
      <c r="DL97" s="662">
        <v>0</v>
      </c>
      <c r="DM97" s="662">
        <v>0</v>
      </c>
      <c r="DN97" s="662">
        <v>0</v>
      </c>
      <c r="DO97" s="662">
        <v>0</v>
      </c>
      <c r="DP97" s="662">
        <v>0</v>
      </c>
      <c r="DQ97" s="662">
        <v>0</v>
      </c>
      <c r="DR97" s="662">
        <v>0</v>
      </c>
      <c r="DS97" s="662">
        <v>0</v>
      </c>
      <c r="DT97" s="662">
        <v>0</v>
      </c>
      <c r="DU97" s="662">
        <v>0</v>
      </c>
      <c r="DV97" s="662">
        <v>0</v>
      </c>
      <c r="DW97" s="662">
        <v>0</v>
      </c>
      <c r="DX97" s="662">
        <v>0</v>
      </c>
      <c r="DY97" s="662">
        <v>0</v>
      </c>
      <c r="DZ97" s="662">
        <v>0</v>
      </c>
      <c r="EA97" s="662">
        <v>0</v>
      </c>
      <c r="EB97" s="662">
        <v>0</v>
      </c>
      <c r="EC97" s="662">
        <v>0</v>
      </c>
      <c r="ED97" s="662">
        <v>0</v>
      </c>
      <c r="EE97" s="662">
        <v>0</v>
      </c>
      <c r="EF97" s="662">
        <v>0</v>
      </c>
      <c r="EG97" s="662">
        <v>0</v>
      </c>
      <c r="EH97" s="662">
        <v>0</v>
      </c>
      <c r="EI97" s="662">
        <v>0</v>
      </c>
      <c r="EJ97" s="662">
        <v>0</v>
      </c>
      <c r="EK97" s="662">
        <v>0</v>
      </c>
      <c r="EL97" s="662">
        <v>0</v>
      </c>
      <c r="EM97" s="662">
        <v>0</v>
      </c>
      <c r="EN97" s="662">
        <v>0</v>
      </c>
      <c r="EO97" s="662">
        <v>0</v>
      </c>
      <c r="EP97" s="662">
        <v>0</v>
      </c>
      <c r="EQ97" s="662">
        <v>0</v>
      </c>
    </row>
    <row r="98" spans="1:147" ht="20.7" customHeight="1" x14ac:dyDescent="0.3">
      <c r="A98" s="660" t="s">
        <v>1754</v>
      </c>
      <c r="B98" s="661" t="s">
        <v>269</v>
      </c>
      <c r="C98" s="662">
        <v>0</v>
      </c>
      <c r="D98" s="662">
        <v>0</v>
      </c>
      <c r="E98" s="662">
        <v>0</v>
      </c>
      <c r="F98" s="662">
        <v>0</v>
      </c>
      <c r="G98" s="662">
        <v>0</v>
      </c>
      <c r="H98" s="662">
        <v>0</v>
      </c>
      <c r="I98" s="662">
        <v>0</v>
      </c>
      <c r="J98" s="802">
        <v>0</v>
      </c>
      <c r="K98" s="662">
        <v>0</v>
      </c>
      <c r="L98" s="662">
        <v>0</v>
      </c>
      <c r="M98" s="662">
        <v>0</v>
      </c>
      <c r="N98" s="662">
        <v>0</v>
      </c>
      <c r="O98" s="662">
        <v>0</v>
      </c>
      <c r="P98" s="662">
        <v>0</v>
      </c>
      <c r="Q98" s="802">
        <v>0</v>
      </c>
      <c r="R98" s="662">
        <v>0</v>
      </c>
      <c r="S98" s="662">
        <v>0</v>
      </c>
      <c r="T98" s="662">
        <v>0</v>
      </c>
      <c r="U98" s="662">
        <v>0</v>
      </c>
      <c r="V98" s="662">
        <v>0</v>
      </c>
      <c r="W98" s="802">
        <v>0</v>
      </c>
      <c r="X98" s="662">
        <v>0</v>
      </c>
      <c r="Y98" s="662">
        <v>0</v>
      </c>
      <c r="Z98" s="662">
        <v>0</v>
      </c>
      <c r="AA98" s="662">
        <v>0</v>
      </c>
      <c r="AB98" s="662">
        <v>0</v>
      </c>
      <c r="AC98" s="662">
        <v>0</v>
      </c>
      <c r="AD98" s="802">
        <v>0</v>
      </c>
      <c r="AE98" s="662">
        <v>0</v>
      </c>
      <c r="AF98" s="662">
        <v>0</v>
      </c>
      <c r="AG98" s="662">
        <v>0</v>
      </c>
      <c r="AH98" s="662">
        <v>0</v>
      </c>
      <c r="AI98" s="662">
        <v>0</v>
      </c>
      <c r="AJ98" s="662">
        <v>0</v>
      </c>
      <c r="AK98" s="802">
        <v>0</v>
      </c>
      <c r="AL98" s="662">
        <v>0</v>
      </c>
      <c r="AM98" s="662">
        <v>0</v>
      </c>
      <c r="AN98" s="662">
        <v>0</v>
      </c>
      <c r="AO98" s="662">
        <v>0</v>
      </c>
      <c r="AP98" s="662">
        <v>0</v>
      </c>
      <c r="AQ98" s="802">
        <v>0</v>
      </c>
      <c r="AR98" s="662">
        <v>0</v>
      </c>
      <c r="AS98" s="662">
        <v>0</v>
      </c>
      <c r="AT98" s="662">
        <v>0</v>
      </c>
      <c r="AU98" s="662">
        <v>0</v>
      </c>
      <c r="AV98" s="662">
        <v>0</v>
      </c>
      <c r="AW98" s="662">
        <v>0</v>
      </c>
      <c r="AX98" s="662">
        <v>0</v>
      </c>
      <c r="AY98" s="662">
        <v>0</v>
      </c>
      <c r="AZ98" s="662">
        <v>0</v>
      </c>
      <c r="BA98" s="662">
        <v>0</v>
      </c>
      <c r="BB98" s="662">
        <v>0</v>
      </c>
      <c r="BC98" s="662">
        <v>0</v>
      </c>
      <c r="BD98" s="662">
        <v>0</v>
      </c>
      <c r="BE98" s="802">
        <v>0</v>
      </c>
      <c r="BF98" s="662">
        <v>0</v>
      </c>
      <c r="BG98" s="662">
        <v>0</v>
      </c>
      <c r="BH98" s="662">
        <v>0</v>
      </c>
      <c r="BI98" s="662">
        <v>0</v>
      </c>
      <c r="BJ98" s="662">
        <v>0</v>
      </c>
      <c r="BK98" s="662">
        <v>0</v>
      </c>
      <c r="BL98" s="662">
        <v>0</v>
      </c>
      <c r="BM98" s="662">
        <v>0</v>
      </c>
      <c r="BN98" s="662">
        <v>0</v>
      </c>
      <c r="BO98" s="662">
        <v>0</v>
      </c>
      <c r="BP98" s="662">
        <v>0</v>
      </c>
      <c r="BQ98" s="662">
        <v>0</v>
      </c>
      <c r="BR98" s="662">
        <v>0</v>
      </c>
      <c r="BS98" s="662">
        <v>0</v>
      </c>
      <c r="BT98" s="662">
        <v>0</v>
      </c>
      <c r="BU98" s="662">
        <v>0</v>
      </c>
      <c r="BV98" s="662">
        <v>0</v>
      </c>
      <c r="BW98" s="662">
        <v>0</v>
      </c>
      <c r="BX98" s="662">
        <v>0</v>
      </c>
      <c r="BY98" s="662">
        <v>0</v>
      </c>
      <c r="BZ98" s="662">
        <v>0</v>
      </c>
      <c r="CA98" s="662">
        <v>0</v>
      </c>
      <c r="CB98" s="662">
        <v>0</v>
      </c>
      <c r="CC98" s="662">
        <v>0</v>
      </c>
      <c r="CD98" s="662">
        <v>0</v>
      </c>
      <c r="CE98" s="662">
        <v>0</v>
      </c>
      <c r="CF98" s="662">
        <v>0</v>
      </c>
      <c r="CG98" s="662">
        <v>0</v>
      </c>
      <c r="CH98" s="662">
        <v>0</v>
      </c>
      <c r="CI98" s="662">
        <v>0</v>
      </c>
      <c r="CJ98" s="662">
        <v>0</v>
      </c>
      <c r="CK98" s="662">
        <v>0</v>
      </c>
      <c r="CL98" s="662">
        <v>0</v>
      </c>
      <c r="CM98" s="662">
        <v>0</v>
      </c>
      <c r="CN98" s="662">
        <v>0</v>
      </c>
      <c r="CO98" s="662">
        <v>0</v>
      </c>
      <c r="CP98" s="662">
        <v>0</v>
      </c>
      <c r="CQ98" s="662">
        <v>0</v>
      </c>
      <c r="CR98" s="662">
        <v>0</v>
      </c>
      <c r="CS98" s="662">
        <v>0</v>
      </c>
      <c r="CT98" s="662">
        <v>0</v>
      </c>
      <c r="CU98" s="662">
        <v>0</v>
      </c>
      <c r="CV98" s="662">
        <v>0</v>
      </c>
      <c r="CW98" s="662">
        <v>0</v>
      </c>
      <c r="CX98" s="662">
        <v>0</v>
      </c>
      <c r="CY98" s="662">
        <v>0</v>
      </c>
      <c r="CZ98" s="662">
        <v>0</v>
      </c>
      <c r="DA98" s="662">
        <v>0</v>
      </c>
      <c r="DB98" s="662">
        <v>0</v>
      </c>
      <c r="DC98" s="662">
        <v>0</v>
      </c>
      <c r="DD98" s="662">
        <v>0</v>
      </c>
      <c r="DE98" s="662">
        <v>0</v>
      </c>
      <c r="DF98" s="662">
        <v>0</v>
      </c>
      <c r="DG98" s="662">
        <v>0</v>
      </c>
      <c r="DH98" s="662">
        <v>0</v>
      </c>
      <c r="DI98" s="662">
        <v>0</v>
      </c>
      <c r="DJ98" s="662">
        <v>0</v>
      </c>
      <c r="DK98" s="662">
        <v>0</v>
      </c>
      <c r="DL98" s="662">
        <v>0</v>
      </c>
      <c r="DM98" s="662">
        <v>0</v>
      </c>
      <c r="DN98" s="662">
        <v>0</v>
      </c>
      <c r="DO98" s="662">
        <v>0</v>
      </c>
      <c r="DP98" s="662">
        <v>0</v>
      </c>
      <c r="DQ98" s="662">
        <v>0</v>
      </c>
      <c r="DR98" s="662">
        <v>0</v>
      </c>
      <c r="DS98" s="662">
        <v>0</v>
      </c>
      <c r="DT98" s="662">
        <v>0</v>
      </c>
      <c r="DU98" s="662">
        <v>0</v>
      </c>
      <c r="DV98" s="662">
        <v>0</v>
      </c>
      <c r="DW98" s="662">
        <v>0</v>
      </c>
      <c r="DX98" s="662">
        <v>0</v>
      </c>
      <c r="DY98" s="662">
        <v>0</v>
      </c>
      <c r="DZ98" s="662">
        <v>0</v>
      </c>
      <c r="EA98" s="662">
        <v>0</v>
      </c>
      <c r="EB98" s="662">
        <v>0</v>
      </c>
      <c r="EC98" s="662">
        <v>0</v>
      </c>
      <c r="ED98" s="662">
        <v>0</v>
      </c>
      <c r="EE98" s="662">
        <v>0</v>
      </c>
      <c r="EF98" s="662">
        <v>0</v>
      </c>
      <c r="EG98" s="662">
        <v>0</v>
      </c>
      <c r="EH98" s="662">
        <v>0</v>
      </c>
      <c r="EI98" s="662">
        <v>0</v>
      </c>
      <c r="EJ98" s="662">
        <v>0</v>
      </c>
      <c r="EK98" s="662">
        <v>0</v>
      </c>
      <c r="EL98" s="662">
        <v>0</v>
      </c>
      <c r="EM98" s="662">
        <v>0</v>
      </c>
      <c r="EN98" s="662">
        <v>0</v>
      </c>
      <c r="EO98" s="662">
        <v>0</v>
      </c>
      <c r="EP98" s="662">
        <v>0</v>
      </c>
      <c r="EQ98" s="662">
        <v>0</v>
      </c>
    </row>
    <row r="99" spans="1:147" ht="13.95" customHeight="1" x14ac:dyDescent="0.3">
      <c r="A99" s="660" t="s">
        <v>1755</v>
      </c>
      <c r="B99" s="661" t="s">
        <v>269</v>
      </c>
      <c r="C99" s="662">
        <v>0</v>
      </c>
      <c r="D99" s="662">
        <v>0</v>
      </c>
      <c r="E99" s="662">
        <v>0</v>
      </c>
      <c r="F99" s="662">
        <v>0</v>
      </c>
      <c r="G99" s="662">
        <v>0</v>
      </c>
      <c r="H99" s="662">
        <v>0</v>
      </c>
      <c r="I99" s="662">
        <v>0</v>
      </c>
      <c r="J99" s="802">
        <v>0</v>
      </c>
      <c r="K99" s="662">
        <v>0</v>
      </c>
      <c r="L99" s="662">
        <v>0</v>
      </c>
      <c r="M99" s="662">
        <v>0</v>
      </c>
      <c r="N99" s="662">
        <v>0</v>
      </c>
      <c r="O99" s="662">
        <v>0</v>
      </c>
      <c r="P99" s="662">
        <v>0</v>
      </c>
      <c r="Q99" s="802">
        <v>0</v>
      </c>
      <c r="R99" s="662">
        <v>0</v>
      </c>
      <c r="S99" s="662">
        <v>0</v>
      </c>
      <c r="T99" s="662">
        <v>0</v>
      </c>
      <c r="U99" s="662">
        <v>0</v>
      </c>
      <c r="V99" s="662">
        <v>0</v>
      </c>
      <c r="W99" s="802">
        <v>0</v>
      </c>
      <c r="X99" s="662">
        <v>0</v>
      </c>
      <c r="Y99" s="662">
        <v>0</v>
      </c>
      <c r="Z99" s="662">
        <v>0</v>
      </c>
      <c r="AA99" s="662">
        <v>0</v>
      </c>
      <c r="AB99" s="662">
        <v>0</v>
      </c>
      <c r="AC99" s="662">
        <v>0</v>
      </c>
      <c r="AD99" s="802">
        <v>0</v>
      </c>
      <c r="AE99" s="662">
        <v>0</v>
      </c>
      <c r="AF99" s="662">
        <v>0</v>
      </c>
      <c r="AG99" s="662">
        <v>0</v>
      </c>
      <c r="AH99" s="662">
        <v>0</v>
      </c>
      <c r="AI99" s="662">
        <v>0</v>
      </c>
      <c r="AJ99" s="662">
        <v>0</v>
      </c>
      <c r="AK99" s="802">
        <v>0</v>
      </c>
      <c r="AL99" s="662">
        <v>0</v>
      </c>
      <c r="AM99" s="662">
        <v>0</v>
      </c>
      <c r="AN99" s="662">
        <v>0</v>
      </c>
      <c r="AO99" s="662">
        <v>0</v>
      </c>
      <c r="AP99" s="662">
        <v>0</v>
      </c>
      <c r="AQ99" s="802">
        <v>0</v>
      </c>
      <c r="AR99" s="662">
        <v>0</v>
      </c>
      <c r="AS99" s="662">
        <v>0</v>
      </c>
      <c r="AT99" s="662">
        <v>0</v>
      </c>
      <c r="AU99" s="662">
        <v>0</v>
      </c>
      <c r="AV99" s="662">
        <v>0</v>
      </c>
      <c r="AW99" s="662">
        <v>0</v>
      </c>
      <c r="AX99" s="662">
        <v>0</v>
      </c>
      <c r="AY99" s="662">
        <v>0</v>
      </c>
      <c r="AZ99" s="662">
        <v>0</v>
      </c>
      <c r="BA99" s="662">
        <v>0</v>
      </c>
      <c r="BB99" s="662">
        <v>0</v>
      </c>
      <c r="BC99" s="662">
        <v>0</v>
      </c>
      <c r="BD99" s="662">
        <v>0</v>
      </c>
      <c r="BE99" s="802">
        <v>0</v>
      </c>
      <c r="BF99" s="662">
        <v>0</v>
      </c>
      <c r="BG99" s="662">
        <v>0</v>
      </c>
      <c r="BH99" s="662">
        <v>0</v>
      </c>
      <c r="BI99" s="662">
        <v>0</v>
      </c>
      <c r="BJ99" s="662">
        <v>0</v>
      </c>
      <c r="BK99" s="662">
        <v>0</v>
      </c>
      <c r="BL99" s="662">
        <v>0</v>
      </c>
      <c r="BM99" s="662">
        <v>0</v>
      </c>
      <c r="BN99" s="662">
        <v>0</v>
      </c>
      <c r="BO99" s="662">
        <v>0</v>
      </c>
      <c r="BP99" s="662">
        <v>0</v>
      </c>
      <c r="BQ99" s="662">
        <v>0</v>
      </c>
      <c r="BR99" s="662">
        <v>0</v>
      </c>
      <c r="BS99" s="662">
        <v>0</v>
      </c>
      <c r="BT99" s="662">
        <v>0</v>
      </c>
      <c r="BU99" s="662">
        <v>0</v>
      </c>
      <c r="BV99" s="662">
        <v>0</v>
      </c>
      <c r="BW99" s="662">
        <v>0</v>
      </c>
      <c r="BX99" s="662">
        <v>0</v>
      </c>
      <c r="BY99" s="662">
        <v>0</v>
      </c>
      <c r="BZ99" s="662">
        <v>0</v>
      </c>
      <c r="CA99" s="662">
        <v>0</v>
      </c>
      <c r="CB99" s="662">
        <v>0</v>
      </c>
      <c r="CC99" s="662">
        <v>0</v>
      </c>
      <c r="CD99" s="662">
        <v>0</v>
      </c>
      <c r="CE99" s="662">
        <v>0</v>
      </c>
      <c r="CF99" s="662">
        <v>0</v>
      </c>
      <c r="CG99" s="662">
        <v>0</v>
      </c>
      <c r="CH99" s="662">
        <v>0</v>
      </c>
      <c r="CI99" s="662">
        <v>0</v>
      </c>
      <c r="CJ99" s="662">
        <v>0</v>
      </c>
      <c r="CK99" s="662">
        <v>0</v>
      </c>
      <c r="CL99" s="662">
        <v>0</v>
      </c>
      <c r="CM99" s="662">
        <v>0</v>
      </c>
      <c r="CN99" s="662">
        <v>0</v>
      </c>
      <c r="CO99" s="662">
        <v>0</v>
      </c>
      <c r="CP99" s="662">
        <v>0</v>
      </c>
      <c r="CQ99" s="662">
        <v>0</v>
      </c>
      <c r="CR99" s="662">
        <v>0</v>
      </c>
      <c r="CS99" s="662">
        <v>0</v>
      </c>
      <c r="CT99" s="662">
        <v>0</v>
      </c>
      <c r="CU99" s="662">
        <v>0</v>
      </c>
      <c r="CV99" s="662">
        <v>0</v>
      </c>
      <c r="CW99" s="662">
        <v>0</v>
      </c>
      <c r="CX99" s="662">
        <v>0</v>
      </c>
      <c r="CY99" s="662">
        <v>0</v>
      </c>
      <c r="CZ99" s="662">
        <v>0</v>
      </c>
      <c r="DA99" s="662">
        <v>0</v>
      </c>
      <c r="DB99" s="662">
        <v>0</v>
      </c>
      <c r="DC99" s="662">
        <v>0</v>
      </c>
      <c r="DD99" s="662">
        <v>0</v>
      </c>
      <c r="DE99" s="662">
        <v>0</v>
      </c>
      <c r="DF99" s="662">
        <v>0</v>
      </c>
      <c r="DG99" s="662">
        <v>0</v>
      </c>
      <c r="DH99" s="662">
        <v>0</v>
      </c>
      <c r="DI99" s="662">
        <v>0</v>
      </c>
      <c r="DJ99" s="662">
        <v>0</v>
      </c>
      <c r="DK99" s="662">
        <v>0</v>
      </c>
      <c r="DL99" s="662">
        <v>0</v>
      </c>
      <c r="DM99" s="662">
        <v>0</v>
      </c>
      <c r="DN99" s="662">
        <v>0</v>
      </c>
      <c r="DO99" s="662">
        <v>0</v>
      </c>
      <c r="DP99" s="662">
        <v>0</v>
      </c>
      <c r="DQ99" s="662">
        <v>0</v>
      </c>
      <c r="DR99" s="662">
        <v>0</v>
      </c>
      <c r="DS99" s="662">
        <v>0</v>
      </c>
      <c r="DT99" s="662">
        <v>0</v>
      </c>
      <c r="DU99" s="662">
        <v>0</v>
      </c>
      <c r="DV99" s="662">
        <v>0</v>
      </c>
      <c r="DW99" s="662">
        <v>0</v>
      </c>
      <c r="DX99" s="662">
        <v>0</v>
      </c>
      <c r="DY99" s="662">
        <v>0</v>
      </c>
      <c r="DZ99" s="662">
        <v>0</v>
      </c>
      <c r="EA99" s="662">
        <v>0</v>
      </c>
      <c r="EB99" s="662">
        <v>0</v>
      </c>
      <c r="EC99" s="662">
        <v>0</v>
      </c>
      <c r="ED99" s="662">
        <v>0</v>
      </c>
      <c r="EE99" s="662">
        <v>0</v>
      </c>
      <c r="EF99" s="662">
        <v>0</v>
      </c>
      <c r="EG99" s="662">
        <v>0</v>
      </c>
      <c r="EH99" s="662">
        <v>0</v>
      </c>
      <c r="EI99" s="662">
        <v>0</v>
      </c>
      <c r="EJ99" s="662">
        <v>0</v>
      </c>
      <c r="EK99" s="662">
        <v>0</v>
      </c>
      <c r="EL99" s="662">
        <v>0</v>
      </c>
      <c r="EM99" s="662">
        <v>0</v>
      </c>
      <c r="EN99" s="662">
        <v>0</v>
      </c>
      <c r="EO99" s="662">
        <v>0</v>
      </c>
      <c r="EP99" s="662">
        <v>0</v>
      </c>
      <c r="EQ99" s="662">
        <v>0</v>
      </c>
    </row>
    <row r="100" spans="1:147" ht="13.95" customHeight="1" x14ac:dyDescent="0.3">
      <c r="A100" s="347" t="s">
        <v>1756</v>
      </c>
      <c r="B100" s="346" t="s">
        <v>269</v>
      </c>
      <c r="C100" s="655">
        <v>0</v>
      </c>
      <c r="D100" s="655">
        <v>0</v>
      </c>
      <c r="E100" s="655">
        <v>0</v>
      </c>
      <c r="F100" s="655">
        <v>0</v>
      </c>
      <c r="G100" s="655">
        <v>0</v>
      </c>
      <c r="H100" s="655">
        <v>0</v>
      </c>
      <c r="I100" s="655">
        <v>0</v>
      </c>
      <c r="J100" s="799">
        <v>0</v>
      </c>
      <c r="K100" s="655">
        <v>0</v>
      </c>
      <c r="L100" s="655">
        <v>0</v>
      </c>
      <c r="M100" s="655">
        <v>0</v>
      </c>
      <c r="N100" s="655">
        <v>0</v>
      </c>
      <c r="O100" s="655">
        <v>0</v>
      </c>
      <c r="P100" s="655">
        <v>0</v>
      </c>
      <c r="Q100" s="799">
        <v>0</v>
      </c>
      <c r="R100" s="655">
        <v>0</v>
      </c>
      <c r="S100" s="655">
        <v>0</v>
      </c>
      <c r="T100" s="655">
        <v>0</v>
      </c>
      <c r="U100" s="655">
        <v>0</v>
      </c>
      <c r="V100" s="655">
        <v>0</v>
      </c>
      <c r="W100" s="799">
        <v>0</v>
      </c>
      <c r="X100" s="655">
        <v>0</v>
      </c>
      <c r="Y100" s="655">
        <v>0</v>
      </c>
      <c r="Z100" s="655">
        <v>0</v>
      </c>
      <c r="AA100" s="655">
        <v>0</v>
      </c>
      <c r="AB100" s="655">
        <v>0</v>
      </c>
      <c r="AC100" s="655">
        <v>0</v>
      </c>
      <c r="AD100" s="799">
        <v>0</v>
      </c>
      <c r="AE100" s="655">
        <v>0</v>
      </c>
      <c r="AF100" s="655">
        <v>0</v>
      </c>
      <c r="AG100" s="655">
        <v>0</v>
      </c>
      <c r="AH100" s="655">
        <v>0</v>
      </c>
      <c r="AI100" s="655">
        <v>0</v>
      </c>
      <c r="AJ100" s="655">
        <v>0</v>
      </c>
      <c r="AK100" s="799">
        <v>0</v>
      </c>
      <c r="AL100" s="655">
        <v>0</v>
      </c>
      <c r="AM100" s="655">
        <v>0</v>
      </c>
      <c r="AN100" s="655">
        <v>0</v>
      </c>
      <c r="AO100" s="655">
        <v>0</v>
      </c>
      <c r="AP100" s="655">
        <v>0</v>
      </c>
      <c r="AQ100" s="799">
        <v>0</v>
      </c>
      <c r="AR100" s="655">
        <v>0</v>
      </c>
      <c r="AS100" s="655">
        <v>0</v>
      </c>
      <c r="AT100" s="655">
        <v>0</v>
      </c>
      <c r="AU100" s="655">
        <v>0</v>
      </c>
      <c r="AV100" s="655">
        <v>0</v>
      </c>
      <c r="AW100" s="655">
        <v>0</v>
      </c>
      <c r="AX100" s="655">
        <v>0</v>
      </c>
      <c r="AY100" s="655">
        <v>0</v>
      </c>
      <c r="AZ100" s="655">
        <v>0</v>
      </c>
      <c r="BA100" s="655">
        <v>0</v>
      </c>
      <c r="BB100" s="655">
        <v>0</v>
      </c>
      <c r="BC100" s="655">
        <v>0</v>
      </c>
      <c r="BD100" s="655">
        <v>0</v>
      </c>
      <c r="BE100" s="799">
        <v>0</v>
      </c>
      <c r="BF100" s="655">
        <v>0</v>
      </c>
      <c r="BG100" s="655">
        <v>0</v>
      </c>
      <c r="BH100" s="655">
        <v>0</v>
      </c>
      <c r="BI100" s="655">
        <v>0</v>
      </c>
      <c r="BJ100" s="655">
        <v>0</v>
      </c>
      <c r="BK100" s="655">
        <v>0</v>
      </c>
      <c r="BL100" s="655">
        <v>0</v>
      </c>
      <c r="BM100" s="655">
        <v>0</v>
      </c>
      <c r="BN100" s="655">
        <v>0</v>
      </c>
      <c r="BO100" s="655">
        <v>0</v>
      </c>
      <c r="BP100" s="655">
        <v>0</v>
      </c>
      <c r="BQ100" s="655">
        <v>0</v>
      </c>
      <c r="BR100" s="655">
        <v>0</v>
      </c>
      <c r="BS100" s="655">
        <v>0</v>
      </c>
      <c r="BT100" s="655">
        <v>0</v>
      </c>
      <c r="BU100" s="655">
        <v>0</v>
      </c>
      <c r="BV100" s="655">
        <v>0</v>
      </c>
      <c r="BW100" s="655">
        <v>0</v>
      </c>
      <c r="BX100" s="655">
        <v>0</v>
      </c>
      <c r="BY100" s="655">
        <v>0</v>
      </c>
      <c r="BZ100" s="655">
        <v>0</v>
      </c>
      <c r="CA100" s="655">
        <v>0</v>
      </c>
      <c r="CB100" s="655">
        <v>0</v>
      </c>
      <c r="CC100" s="655">
        <v>0</v>
      </c>
      <c r="CD100" s="655">
        <v>0</v>
      </c>
      <c r="CE100" s="655">
        <v>0</v>
      </c>
      <c r="CF100" s="655">
        <v>0</v>
      </c>
      <c r="CG100" s="655">
        <v>0</v>
      </c>
      <c r="CH100" s="655">
        <v>0</v>
      </c>
      <c r="CI100" s="655">
        <v>0</v>
      </c>
      <c r="CJ100" s="655">
        <v>0</v>
      </c>
      <c r="CK100" s="655">
        <v>0</v>
      </c>
      <c r="CL100" s="655">
        <v>0</v>
      </c>
      <c r="CM100" s="655">
        <v>0</v>
      </c>
      <c r="CN100" s="655">
        <v>0</v>
      </c>
      <c r="CO100" s="655">
        <v>0</v>
      </c>
      <c r="CP100" s="655">
        <v>0</v>
      </c>
      <c r="CQ100" s="655">
        <v>0</v>
      </c>
      <c r="CR100" s="655">
        <v>0</v>
      </c>
      <c r="CS100" s="655">
        <v>0</v>
      </c>
      <c r="CT100" s="655">
        <v>0</v>
      </c>
      <c r="CU100" s="655">
        <v>0</v>
      </c>
      <c r="CV100" s="655">
        <v>0</v>
      </c>
      <c r="CW100" s="655">
        <v>0</v>
      </c>
      <c r="CX100" s="655">
        <v>0</v>
      </c>
      <c r="CY100" s="655">
        <v>0</v>
      </c>
      <c r="CZ100" s="655">
        <v>0</v>
      </c>
      <c r="DA100" s="655">
        <v>0</v>
      </c>
      <c r="DB100" s="655">
        <v>0</v>
      </c>
      <c r="DC100" s="655">
        <v>0</v>
      </c>
      <c r="DD100" s="655">
        <v>0</v>
      </c>
      <c r="DE100" s="655">
        <v>0</v>
      </c>
      <c r="DF100" s="655">
        <v>0</v>
      </c>
      <c r="DG100" s="655">
        <v>0</v>
      </c>
      <c r="DH100" s="655">
        <v>0</v>
      </c>
      <c r="DI100" s="655">
        <v>0</v>
      </c>
      <c r="DJ100" s="655">
        <v>0</v>
      </c>
      <c r="DK100" s="655">
        <v>0</v>
      </c>
      <c r="DL100" s="655">
        <v>0</v>
      </c>
      <c r="DM100" s="655">
        <v>0</v>
      </c>
      <c r="DN100" s="655">
        <v>0</v>
      </c>
      <c r="DO100" s="655">
        <v>0</v>
      </c>
      <c r="DP100" s="655">
        <v>0</v>
      </c>
      <c r="DQ100" s="655">
        <v>0</v>
      </c>
      <c r="DR100" s="655">
        <v>0</v>
      </c>
      <c r="DS100" s="655">
        <v>0</v>
      </c>
      <c r="DT100" s="655">
        <v>0</v>
      </c>
      <c r="DU100" s="655">
        <v>0</v>
      </c>
      <c r="DV100" s="655">
        <v>0</v>
      </c>
      <c r="DW100" s="655">
        <v>0</v>
      </c>
      <c r="DX100" s="655">
        <v>0</v>
      </c>
      <c r="DY100" s="655">
        <v>0</v>
      </c>
      <c r="DZ100" s="655">
        <v>0</v>
      </c>
      <c r="EA100" s="655">
        <v>0</v>
      </c>
      <c r="EB100" s="655">
        <v>0</v>
      </c>
      <c r="EC100" s="655">
        <v>0</v>
      </c>
      <c r="ED100" s="655">
        <v>0</v>
      </c>
      <c r="EE100" s="655">
        <v>0</v>
      </c>
      <c r="EF100" s="655">
        <v>0</v>
      </c>
      <c r="EG100" s="655">
        <v>0</v>
      </c>
      <c r="EH100" s="655">
        <v>0</v>
      </c>
      <c r="EI100" s="655">
        <v>0</v>
      </c>
      <c r="EJ100" s="655">
        <v>0</v>
      </c>
      <c r="EK100" s="655">
        <v>0</v>
      </c>
      <c r="EL100" s="655">
        <v>0</v>
      </c>
      <c r="EM100" s="655">
        <v>0</v>
      </c>
      <c r="EN100" s="655">
        <v>0</v>
      </c>
      <c r="EO100" s="655">
        <v>0</v>
      </c>
      <c r="EP100" s="655">
        <v>0</v>
      </c>
      <c r="EQ100" s="655">
        <v>0</v>
      </c>
    </row>
    <row r="101" spans="1:147" ht="13.95" customHeight="1" x14ac:dyDescent="0.3">
      <c r="A101" s="657" t="s">
        <v>1757</v>
      </c>
      <c r="B101" s="658" t="s">
        <v>269</v>
      </c>
      <c r="C101" s="659">
        <f t="shared" ref="C101:BN101" si="59">C102+C178</f>
        <v>313200</v>
      </c>
      <c r="D101" s="659">
        <f t="shared" si="59"/>
        <v>152</v>
      </c>
      <c r="E101" s="659">
        <f t="shared" si="59"/>
        <v>152</v>
      </c>
      <c r="F101" s="659">
        <f t="shared" si="59"/>
        <v>67420655</v>
      </c>
      <c r="G101" s="659">
        <f t="shared" si="59"/>
        <v>152</v>
      </c>
      <c r="H101" s="659">
        <f t="shared" si="59"/>
        <v>152</v>
      </c>
      <c r="I101" s="659">
        <f t="shared" si="59"/>
        <v>65153753</v>
      </c>
      <c r="J101" s="801">
        <f t="shared" si="59"/>
        <v>7534</v>
      </c>
      <c r="K101" s="659">
        <f t="shared" si="59"/>
        <v>152</v>
      </c>
      <c r="L101" s="659">
        <f t="shared" si="59"/>
        <v>152</v>
      </c>
      <c r="M101" s="659">
        <f t="shared" si="59"/>
        <v>1996922</v>
      </c>
      <c r="N101" s="659">
        <f t="shared" si="59"/>
        <v>152</v>
      </c>
      <c r="O101" s="659">
        <f t="shared" si="59"/>
        <v>152</v>
      </c>
      <c r="P101" s="659">
        <f t="shared" si="59"/>
        <v>1989844</v>
      </c>
      <c r="Q101" s="801">
        <f t="shared" si="59"/>
        <v>154</v>
      </c>
      <c r="R101" s="659">
        <f t="shared" si="59"/>
        <v>152</v>
      </c>
      <c r="S101" s="659">
        <f t="shared" si="59"/>
        <v>852</v>
      </c>
      <c r="T101" s="659">
        <f t="shared" si="59"/>
        <v>152</v>
      </c>
      <c r="U101" s="659">
        <f t="shared" si="59"/>
        <v>152</v>
      </c>
      <c r="V101" s="659">
        <f t="shared" si="59"/>
        <v>852</v>
      </c>
      <c r="W101" s="801">
        <f t="shared" si="59"/>
        <v>1064</v>
      </c>
      <c r="X101" s="659">
        <f t="shared" si="59"/>
        <v>152</v>
      </c>
      <c r="Y101" s="659">
        <f t="shared" si="59"/>
        <v>152</v>
      </c>
      <c r="Z101" s="659">
        <f t="shared" si="59"/>
        <v>180983</v>
      </c>
      <c r="AA101" s="659">
        <f t="shared" si="59"/>
        <v>152</v>
      </c>
      <c r="AB101" s="659">
        <f t="shared" si="59"/>
        <v>152</v>
      </c>
      <c r="AC101" s="659">
        <f t="shared" si="59"/>
        <v>179131</v>
      </c>
      <c r="AD101" s="801">
        <f t="shared" si="59"/>
        <v>9630</v>
      </c>
      <c r="AE101" s="659">
        <f t="shared" si="59"/>
        <v>152</v>
      </c>
      <c r="AF101" s="659">
        <f t="shared" si="59"/>
        <v>152</v>
      </c>
      <c r="AG101" s="659">
        <f t="shared" si="59"/>
        <v>2608031</v>
      </c>
      <c r="AH101" s="659">
        <f t="shared" si="59"/>
        <v>152</v>
      </c>
      <c r="AI101" s="659">
        <f t="shared" si="59"/>
        <v>152</v>
      </c>
      <c r="AJ101" s="659">
        <f t="shared" si="59"/>
        <v>2607031</v>
      </c>
      <c r="AK101" s="801">
        <f t="shared" si="59"/>
        <v>702</v>
      </c>
      <c r="AL101" s="659">
        <f t="shared" si="59"/>
        <v>152</v>
      </c>
      <c r="AM101" s="659">
        <f t="shared" si="59"/>
        <v>162256</v>
      </c>
      <c r="AN101" s="659">
        <f t="shared" si="59"/>
        <v>152</v>
      </c>
      <c r="AO101" s="659">
        <f t="shared" si="59"/>
        <v>152</v>
      </c>
      <c r="AP101" s="659">
        <f t="shared" si="59"/>
        <v>162256</v>
      </c>
      <c r="AQ101" s="801">
        <f t="shared" si="59"/>
        <v>18969</v>
      </c>
      <c r="AR101" s="659">
        <f t="shared" si="59"/>
        <v>152</v>
      </c>
      <c r="AS101" s="659">
        <f t="shared" si="59"/>
        <v>152</v>
      </c>
      <c r="AT101" s="659">
        <f t="shared" si="59"/>
        <v>3675709</v>
      </c>
      <c r="AU101" s="659">
        <f t="shared" si="59"/>
        <v>152</v>
      </c>
      <c r="AV101" s="659">
        <f t="shared" si="59"/>
        <v>152</v>
      </c>
      <c r="AW101" s="659">
        <f t="shared" si="59"/>
        <v>3521264</v>
      </c>
      <c r="AX101" s="659">
        <f t="shared" si="59"/>
        <v>595</v>
      </c>
      <c r="AY101" s="659">
        <f t="shared" si="59"/>
        <v>152</v>
      </c>
      <c r="AZ101" s="659">
        <f t="shared" si="59"/>
        <v>152</v>
      </c>
      <c r="BA101" s="659">
        <f t="shared" si="59"/>
        <v>71393</v>
      </c>
      <c r="BB101" s="659">
        <f t="shared" si="59"/>
        <v>152</v>
      </c>
      <c r="BC101" s="659">
        <f t="shared" si="59"/>
        <v>152</v>
      </c>
      <c r="BD101" s="659">
        <f t="shared" si="59"/>
        <v>69872</v>
      </c>
      <c r="BE101" s="801">
        <f t="shared" si="59"/>
        <v>26252</v>
      </c>
      <c r="BF101" s="659">
        <f t="shared" si="59"/>
        <v>152</v>
      </c>
      <c r="BG101" s="659">
        <f t="shared" si="59"/>
        <v>152</v>
      </c>
      <c r="BH101" s="659">
        <f t="shared" si="59"/>
        <v>6040270</v>
      </c>
      <c r="BI101" s="659">
        <f t="shared" si="59"/>
        <v>152</v>
      </c>
      <c r="BJ101" s="659">
        <f t="shared" si="59"/>
        <v>152</v>
      </c>
      <c r="BK101" s="659">
        <f t="shared" si="59"/>
        <v>6040270</v>
      </c>
      <c r="BL101" s="659">
        <f t="shared" si="59"/>
        <v>5513</v>
      </c>
      <c r="BM101" s="659">
        <f t="shared" si="59"/>
        <v>152</v>
      </c>
      <c r="BN101" s="659">
        <f t="shared" si="59"/>
        <v>152</v>
      </c>
      <c r="BO101" s="659">
        <f t="shared" ref="BO101:DZ101" si="60">BO102+BO178</f>
        <v>955434</v>
      </c>
      <c r="BP101" s="659">
        <f t="shared" si="60"/>
        <v>152</v>
      </c>
      <c r="BQ101" s="659">
        <f t="shared" si="60"/>
        <v>152</v>
      </c>
      <c r="BR101" s="659">
        <f t="shared" si="60"/>
        <v>929249</v>
      </c>
      <c r="BS101" s="659">
        <f t="shared" si="60"/>
        <v>1702</v>
      </c>
      <c r="BT101" s="659">
        <f t="shared" si="60"/>
        <v>152</v>
      </c>
      <c r="BU101" s="659">
        <f t="shared" si="60"/>
        <v>152</v>
      </c>
      <c r="BV101" s="659">
        <f t="shared" si="60"/>
        <v>300019</v>
      </c>
      <c r="BW101" s="659">
        <f t="shared" si="60"/>
        <v>152</v>
      </c>
      <c r="BX101" s="659">
        <f t="shared" si="60"/>
        <v>152</v>
      </c>
      <c r="BY101" s="659">
        <f t="shared" si="60"/>
        <v>300019</v>
      </c>
      <c r="BZ101" s="659">
        <f t="shared" si="60"/>
        <v>9235</v>
      </c>
      <c r="CA101" s="659">
        <f t="shared" si="60"/>
        <v>152</v>
      </c>
      <c r="CB101" s="659">
        <f t="shared" si="60"/>
        <v>152</v>
      </c>
      <c r="CC101" s="659">
        <f t="shared" si="60"/>
        <v>1167457</v>
      </c>
      <c r="CD101" s="659">
        <f t="shared" si="60"/>
        <v>152</v>
      </c>
      <c r="CE101" s="659">
        <f t="shared" si="60"/>
        <v>152</v>
      </c>
      <c r="CF101" s="659">
        <f t="shared" si="60"/>
        <v>1152656</v>
      </c>
      <c r="CG101" s="659">
        <f t="shared" si="60"/>
        <v>18376</v>
      </c>
      <c r="CH101" s="659">
        <f t="shared" si="60"/>
        <v>152</v>
      </c>
      <c r="CI101" s="659">
        <f t="shared" si="60"/>
        <v>152</v>
      </c>
      <c r="CJ101" s="659">
        <f t="shared" si="60"/>
        <v>5635457</v>
      </c>
      <c r="CK101" s="659">
        <f t="shared" si="60"/>
        <v>152</v>
      </c>
      <c r="CL101" s="659">
        <f t="shared" si="60"/>
        <v>152</v>
      </c>
      <c r="CM101" s="659">
        <f t="shared" si="60"/>
        <v>5025524</v>
      </c>
      <c r="CN101" s="659">
        <f t="shared" si="60"/>
        <v>17940</v>
      </c>
      <c r="CO101" s="659">
        <f t="shared" si="60"/>
        <v>152</v>
      </c>
      <c r="CP101" s="659">
        <f t="shared" si="60"/>
        <v>152</v>
      </c>
      <c r="CQ101" s="659">
        <f t="shared" si="60"/>
        <v>5296088</v>
      </c>
      <c r="CR101" s="659">
        <f t="shared" si="60"/>
        <v>152</v>
      </c>
      <c r="CS101" s="659">
        <f t="shared" si="60"/>
        <v>152</v>
      </c>
      <c r="CT101" s="659">
        <f t="shared" si="60"/>
        <v>5258458</v>
      </c>
      <c r="CU101" s="659">
        <f t="shared" si="60"/>
        <v>4399</v>
      </c>
      <c r="CV101" s="659">
        <f t="shared" si="60"/>
        <v>152</v>
      </c>
      <c r="CW101" s="659">
        <f t="shared" si="60"/>
        <v>152</v>
      </c>
      <c r="CX101" s="659">
        <f t="shared" si="60"/>
        <v>1034632</v>
      </c>
      <c r="CY101" s="659">
        <f t="shared" si="60"/>
        <v>152</v>
      </c>
      <c r="CZ101" s="659">
        <f t="shared" si="60"/>
        <v>152</v>
      </c>
      <c r="DA101" s="659">
        <f t="shared" si="60"/>
        <v>1034632</v>
      </c>
      <c r="DB101" s="659">
        <f t="shared" si="60"/>
        <v>27127</v>
      </c>
      <c r="DC101" s="659">
        <f t="shared" si="60"/>
        <v>152</v>
      </c>
      <c r="DD101" s="659">
        <f t="shared" si="60"/>
        <v>152</v>
      </c>
      <c r="DE101" s="659">
        <f t="shared" si="60"/>
        <v>6989414</v>
      </c>
      <c r="DF101" s="659">
        <f t="shared" si="60"/>
        <v>152</v>
      </c>
      <c r="DG101" s="659">
        <f t="shared" si="60"/>
        <v>152</v>
      </c>
      <c r="DH101" s="659">
        <f t="shared" si="60"/>
        <v>6682547</v>
      </c>
      <c r="DI101" s="659">
        <f t="shared" si="60"/>
        <v>69367</v>
      </c>
      <c r="DJ101" s="659">
        <f t="shared" si="60"/>
        <v>152</v>
      </c>
      <c r="DK101" s="659">
        <f t="shared" si="60"/>
        <v>152</v>
      </c>
      <c r="DL101" s="659">
        <f t="shared" si="60"/>
        <v>13784967</v>
      </c>
      <c r="DM101" s="659">
        <f t="shared" si="60"/>
        <v>152</v>
      </c>
      <c r="DN101" s="659">
        <f t="shared" si="60"/>
        <v>152</v>
      </c>
      <c r="DO101" s="659">
        <f t="shared" si="60"/>
        <v>13216732</v>
      </c>
      <c r="DP101" s="659">
        <f t="shared" si="60"/>
        <v>8820</v>
      </c>
      <c r="DQ101" s="659">
        <f t="shared" si="60"/>
        <v>152</v>
      </c>
      <c r="DR101" s="659">
        <f t="shared" si="60"/>
        <v>152</v>
      </c>
      <c r="DS101" s="659">
        <f t="shared" si="60"/>
        <v>1941161</v>
      </c>
      <c r="DT101" s="659">
        <f t="shared" si="60"/>
        <v>152</v>
      </c>
      <c r="DU101" s="659">
        <f t="shared" si="60"/>
        <v>152</v>
      </c>
      <c r="DV101" s="659">
        <f t="shared" si="60"/>
        <v>1907056</v>
      </c>
      <c r="DW101" s="659">
        <f t="shared" si="60"/>
        <v>18053</v>
      </c>
      <c r="DX101" s="659">
        <f t="shared" si="60"/>
        <v>152</v>
      </c>
      <c r="DY101" s="659">
        <f t="shared" si="60"/>
        <v>152</v>
      </c>
      <c r="DZ101" s="659">
        <f t="shared" si="60"/>
        <v>4252478</v>
      </c>
      <c r="EA101" s="659">
        <f t="shared" ref="EA101:EQ101" si="61">EA102+EA178</f>
        <v>152</v>
      </c>
      <c r="EB101" s="659">
        <f t="shared" si="61"/>
        <v>152</v>
      </c>
      <c r="EC101" s="659">
        <f t="shared" si="61"/>
        <v>4100590</v>
      </c>
      <c r="ED101" s="659">
        <f t="shared" si="61"/>
        <v>55460</v>
      </c>
      <c r="EE101" s="659">
        <f t="shared" si="61"/>
        <v>152</v>
      </c>
      <c r="EF101" s="659">
        <f t="shared" si="61"/>
        <v>152</v>
      </c>
      <c r="EG101" s="659">
        <f t="shared" si="61"/>
        <v>8826666</v>
      </c>
      <c r="EH101" s="659">
        <f t="shared" si="61"/>
        <v>152</v>
      </c>
      <c r="EI101" s="659">
        <f t="shared" si="61"/>
        <v>152</v>
      </c>
      <c r="EJ101" s="659">
        <f t="shared" si="61"/>
        <v>8475574</v>
      </c>
      <c r="EK101" s="659">
        <f t="shared" si="61"/>
        <v>15196</v>
      </c>
      <c r="EL101" s="659">
        <f t="shared" si="61"/>
        <v>152</v>
      </c>
      <c r="EM101" s="659">
        <f t="shared" si="61"/>
        <v>152</v>
      </c>
      <c r="EN101" s="659">
        <f t="shared" si="61"/>
        <v>2503354</v>
      </c>
      <c r="EO101" s="659">
        <f t="shared" si="61"/>
        <v>152</v>
      </c>
      <c r="EP101" s="659">
        <f t="shared" si="61"/>
        <v>152</v>
      </c>
      <c r="EQ101" s="659">
        <f t="shared" si="61"/>
        <v>2503084</v>
      </c>
    </row>
    <row r="102" spans="1:147" s="663" customFormat="1" ht="13.95" customHeight="1" x14ac:dyDescent="0.3">
      <c r="A102" s="657" t="s">
        <v>1758</v>
      </c>
      <c r="B102" s="658" t="s">
        <v>269</v>
      </c>
      <c r="C102" s="659">
        <f t="shared" ref="C102:BN102" si="62">C104+C107+C108+C110+C114+C116+C118+C120</f>
        <v>311341</v>
      </c>
      <c r="D102" s="659">
        <f t="shared" si="62"/>
        <v>152</v>
      </c>
      <c r="E102" s="659">
        <f t="shared" si="62"/>
        <v>152</v>
      </c>
      <c r="F102" s="659">
        <f t="shared" si="62"/>
        <v>67062676</v>
      </c>
      <c r="G102" s="659">
        <f t="shared" si="62"/>
        <v>152</v>
      </c>
      <c r="H102" s="659">
        <f t="shared" si="62"/>
        <v>152</v>
      </c>
      <c r="I102" s="659">
        <f t="shared" si="62"/>
        <v>64804143</v>
      </c>
      <c r="J102" s="801">
        <f t="shared" si="62"/>
        <v>7392</v>
      </c>
      <c r="K102" s="659">
        <f t="shared" si="62"/>
        <v>152</v>
      </c>
      <c r="L102" s="659">
        <f t="shared" si="62"/>
        <v>152</v>
      </c>
      <c r="M102" s="659">
        <f t="shared" si="62"/>
        <v>1963514</v>
      </c>
      <c r="N102" s="659">
        <f t="shared" si="62"/>
        <v>152</v>
      </c>
      <c r="O102" s="659">
        <f t="shared" si="62"/>
        <v>152</v>
      </c>
      <c r="P102" s="659">
        <f t="shared" si="62"/>
        <v>1956436</v>
      </c>
      <c r="Q102" s="801">
        <f t="shared" si="62"/>
        <v>152</v>
      </c>
      <c r="R102" s="659">
        <f t="shared" si="62"/>
        <v>152</v>
      </c>
      <c r="S102" s="659">
        <f t="shared" si="62"/>
        <v>152</v>
      </c>
      <c r="T102" s="659">
        <f t="shared" si="62"/>
        <v>152</v>
      </c>
      <c r="U102" s="659">
        <f t="shared" si="62"/>
        <v>152</v>
      </c>
      <c r="V102" s="659">
        <f t="shared" si="62"/>
        <v>152</v>
      </c>
      <c r="W102" s="801">
        <f t="shared" si="62"/>
        <v>1063</v>
      </c>
      <c r="X102" s="659">
        <f t="shared" si="62"/>
        <v>152</v>
      </c>
      <c r="Y102" s="659">
        <f t="shared" si="62"/>
        <v>152</v>
      </c>
      <c r="Z102" s="659">
        <f t="shared" si="62"/>
        <v>180883</v>
      </c>
      <c r="AA102" s="659">
        <f t="shared" si="62"/>
        <v>152</v>
      </c>
      <c r="AB102" s="659">
        <f t="shared" si="62"/>
        <v>152</v>
      </c>
      <c r="AC102" s="659">
        <f t="shared" si="62"/>
        <v>179031</v>
      </c>
      <c r="AD102" s="801">
        <f t="shared" si="62"/>
        <v>9583</v>
      </c>
      <c r="AE102" s="659">
        <f t="shared" si="62"/>
        <v>152</v>
      </c>
      <c r="AF102" s="659">
        <f t="shared" si="62"/>
        <v>152</v>
      </c>
      <c r="AG102" s="659">
        <f t="shared" si="62"/>
        <v>2603943</v>
      </c>
      <c r="AH102" s="659">
        <f t="shared" si="62"/>
        <v>152</v>
      </c>
      <c r="AI102" s="659">
        <f t="shared" si="62"/>
        <v>152</v>
      </c>
      <c r="AJ102" s="659">
        <f t="shared" si="62"/>
        <v>2602943</v>
      </c>
      <c r="AK102" s="801">
        <f t="shared" si="62"/>
        <v>482</v>
      </c>
      <c r="AL102" s="659">
        <f t="shared" si="62"/>
        <v>152</v>
      </c>
      <c r="AM102" s="659">
        <f t="shared" si="62"/>
        <v>97756</v>
      </c>
      <c r="AN102" s="659">
        <f t="shared" si="62"/>
        <v>152</v>
      </c>
      <c r="AO102" s="659">
        <f t="shared" si="62"/>
        <v>152</v>
      </c>
      <c r="AP102" s="659">
        <f t="shared" si="62"/>
        <v>97756</v>
      </c>
      <c r="AQ102" s="801">
        <f t="shared" si="62"/>
        <v>18911</v>
      </c>
      <c r="AR102" s="659">
        <f t="shared" si="62"/>
        <v>152</v>
      </c>
      <c r="AS102" s="659">
        <f t="shared" si="62"/>
        <v>152</v>
      </c>
      <c r="AT102" s="659">
        <f t="shared" si="62"/>
        <v>3660265</v>
      </c>
      <c r="AU102" s="659">
        <f t="shared" si="62"/>
        <v>152</v>
      </c>
      <c r="AV102" s="659">
        <f t="shared" si="62"/>
        <v>152</v>
      </c>
      <c r="AW102" s="659">
        <f t="shared" si="62"/>
        <v>3506179</v>
      </c>
      <c r="AX102" s="659">
        <f t="shared" si="62"/>
        <v>586</v>
      </c>
      <c r="AY102" s="659">
        <f t="shared" si="62"/>
        <v>152</v>
      </c>
      <c r="AZ102" s="659">
        <f t="shared" si="62"/>
        <v>152</v>
      </c>
      <c r="BA102" s="659">
        <f t="shared" si="62"/>
        <v>70320</v>
      </c>
      <c r="BB102" s="659">
        <f t="shared" si="62"/>
        <v>152</v>
      </c>
      <c r="BC102" s="659">
        <f t="shared" si="62"/>
        <v>152</v>
      </c>
      <c r="BD102" s="659">
        <f t="shared" si="62"/>
        <v>68808</v>
      </c>
      <c r="BE102" s="801">
        <f t="shared" si="62"/>
        <v>26017</v>
      </c>
      <c r="BF102" s="659">
        <f t="shared" si="62"/>
        <v>152</v>
      </c>
      <c r="BG102" s="659">
        <f t="shared" si="62"/>
        <v>152</v>
      </c>
      <c r="BH102" s="659">
        <f t="shared" si="62"/>
        <v>5967155</v>
      </c>
      <c r="BI102" s="659">
        <f t="shared" si="62"/>
        <v>152</v>
      </c>
      <c r="BJ102" s="659">
        <f t="shared" si="62"/>
        <v>152</v>
      </c>
      <c r="BK102" s="659">
        <f t="shared" si="62"/>
        <v>5967155</v>
      </c>
      <c r="BL102" s="659">
        <f t="shared" si="62"/>
        <v>5426</v>
      </c>
      <c r="BM102" s="659">
        <f t="shared" si="62"/>
        <v>152</v>
      </c>
      <c r="BN102" s="659">
        <f t="shared" si="62"/>
        <v>152</v>
      </c>
      <c r="BO102" s="659">
        <f t="shared" ref="BO102:DZ102" si="63">BO104+BO107+BO108+BO110+BO114+BO116+BO118+BO120</f>
        <v>945329</v>
      </c>
      <c r="BP102" s="659">
        <f t="shared" si="63"/>
        <v>152</v>
      </c>
      <c r="BQ102" s="659">
        <f t="shared" si="63"/>
        <v>152</v>
      </c>
      <c r="BR102" s="659">
        <f t="shared" si="63"/>
        <v>919465</v>
      </c>
      <c r="BS102" s="659">
        <f t="shared" si="63"/>
        <v>1702</v>
      </c>
      <c r="BT102" s="659">
        <f t="shared" si="63"/>
        <v>152</v>
      </c>
      <c r="BU102" s="659">
        <f t="shared" si="63"/>
        <v>152</v>
      </c>
      <c r="BV102" s="659">
        <f t="shared" si="63"/>
        <v>300019</v>
      </c>
      <c r="BW102" s="659">
        <f t="shared" si="63"/>
        <v>152</v>
      </c>
      <c r="BX102" s="659">
        <f t="shared" si="63"/>
        <v>152</v>
      </c>
      <c r="BY102" s="659">
        <f t="shared" si="63"/>
        <v>300019</v>
      </c>
      <c r="BZ102" s="659">
        <f t="shared" si="63"/>
        <v>9201</v>
      </c>
      <c r="CA102" s="659">
        <f t="shared" si="63"/>
        <v>152</v>
      </c>
      <c r="CB102" s="659">
        <f t="shared" si="63"/>
        <v>152</v>
      </c>
      <c r="CC102" s="659">
        <f t="shared" si="63"/>
        <v>1160164</v>
      </c>
      <c r="CD102" s="659">
        <f t="shared" si="63"/>
        <v>152</v>
      </c>
      <c r="CE102" s="659">
        <f t="shared" si="63"/>
        <v>152</v>
      </c>
      <c r="CF102" s="659">
        <f t="shared" si="63"/>
        <v>1145482</v>
      </c>
      <c r="CG102" s="659">
        <f t="shared" si="63"/>
        <v>18148</v>
      </c>
      <c r="CH102" s="659">
        <f t="shared" si="63"/>
        <v>152</v>
      </c>
      <c r="CI102" s="659">
        <f t="shared" si="63"/>
        <v>152</v>
      </c>
      <c r="CJ102" s="659">
        <f t="shared" si="63"/>
        <v>5573217</v>
      </c>
      <c r="CK102" s="659">
        <f t="shared" si="63"/>
        <v>152</v>
      </c>
      <c r="CL102" s="659">
        <f t="shared" si="63"/>
        <v>152</v>
      </c>
      <c r="CM102" s="659">
        <f t="shared" si="63"/>
        <v>4968889</v>
      </c>
      <c r="CN102" s="659">
        <f t="shared" si="63"/>
        <v>17859</v>
      </c>
      <c r="CO102" s="659">
        <f t="shared" si="63"/>
        <v>152</v>
      </c>
      <c r="CP102" s="659">
        <f t="shared" si="63"/>
        <v>152</v>
      </c>
      <c r="CQ102" s="659">
        <f t="shared" si="63"/>
        <v>5283288</v>
      </c>
      <c r="CR102" s="659">
        <f t="shared" si="63"/>
        <v>152</v>
      </c>
      <c r="CS102" s="659">
        <f t="shared" si="63"/>
        <v>152</v>
      </c>
      <c r="CT102" s="659">
        <f t="shared" si="63"/>
        <v>5245658</v>
      </c>
      <c r="CU102" s="659">
        <f t="shared" si="63"/>
        <v>4359</v>
      </c>
      <c r="CV102" s="659">
        <f t="shared" si="63"/>
        <v>152</v>
      </c>
      <c r="CW102" s="659">
        <f t="shared" si="63"/>
        <v>152</v>
      </c>
      <c r="CX102" s="659">
        <f t="shared" si="63"/>
        <v>1027432</v>
      </c>
      <c r="CY102" s="659">
        <f t="shared" si="63"/>
        <v>152</v>
      </c>
      <c r="CZ102" s="659">
        <f t="shared" si="63"/>
        <v>152</v>
      </c>
      <c r="DA102" s="659">
        <f t="shared" si="63"/>
        <v>1027432</v>
      </c>
      <c r="DB102" s="659">
        <f t="shared" si="63"/>
        <v>27119</v>
      </c>
      <c r="DC102" s="659">
        <f t="shared" si="63"/>
        <v>152</v>
      </c>
      <c r="DD102" s="659">
        <f t="shared" si="63"/>
        <v>152</v>
      </c>
      <c r="DE102" s="659">
        <f t="shared" si="63"/>
        <v>6989054</v>
      </c>
      <c r="DF102" s="659">
        <f t="shared" si="63"/>
        <v>152</v>
      </c>
      <c r="DG102" s="659">
        <f t="shared" si="63"/>
        <v>152</v>
      </c>
      <c r="DH102" s="659">
        <f t="shared" si="63"/>
        <v>6682187</v>
      </c>
      <c r="DI102" s="659">
        <f t="shared" si="63"/>
        <v>69319</v>
      </c>
      <c r="DJ102" s="659">
        <f t="shared" si="63"/>
        <v>152</v>
      </c>
      <c r="DK102" s="659">
        <f t="shared" si="63"/>
        <v>152</v>
      </c>
      <c r="DL102" s="659">
        <f t="shared" si="63"/>
        <v>13781167</v>
      </c>
      <c r="DM102" s="659">
        <f t="shared" si="63"/>
        <v>152</v>
      </c>
      <c r="DN102" s="659">
        <f t="shared" si="63"/>
        <v>152</v>
      </c>
      <c r="DO102" s="659">
        <f t="shared" si="63"/>
        <v>13213052</v>
      </c>
      <c r="DP102" s="659">
        <f t="shared" si="63"/>
        <v>8820</v>
      </c>
      <c r="DQ102" s="659">
        <f t="shared" si="63"/>
        <v>152</v>
      </c>
      <c r="DR102" s="659">
        <f t="shared" si="63"/>
        <v>152</v>
      </c>
      <c r="DS102" s="659">
        <f t="shared" si="63"/>
        <v>1941161</v>
      </c>
      <c r="DT102" s="659">
        <f t="shared" si="63"/>
        <v>152</v>
      </c>
      <c r="DU102" s="659">
        <f t="shared" si="63"/>
        <v>152</v>
      </c>
      <c r="DV102" s="659">
        <f t="shared" si="63"/>
        <v>1907056</v>
      </c>
      <c r="DW102" s="659">
        <f t="shared" si="63"/>
        <v>17890</v>
      </c>
      <c r="DX102" s="659">
        <f t="shared" si="63"/>
        <v>152</v>
      </c>
      <c r="DY102" s="659">
        <f t="shared" si="63"/>
        <v>152</v>
      </c>
      <c r="DZ102" s="659">
        <f t="shared" si="63"/>
        <v>4226488</v>
      </c>
      <c r="EA102" s="659">
        <f t="shared" ref="EA102:EQ102" si="64">EA104+EA107+EA108+EA110+EA114+EA116+EA118+EA120</f>
        <v>152</v>
      </c>
      <c r="EB102" s="659">
        <f t="shared" si="64"/>
        <v>152</v>
      </c>
      <c r="EC102" s="659">
        <f t="shared" si="64"/>
        <v>4074888</v>
      </c>
      <c r="ED102" s="659">
        <f t="shared" si="64"/>
        <v>55022</v>
      </c>
      <c r="EE102" s="659">
        <f t="shared" si="64"/>
        <v>152</v>
      </c>
      <c r="EF102" s="659">
        <f t="shared" si="64"/>
        <v>152</v>
      </c>
      <c r="EG102" s="659">
        <f t="shared" si="64"/>
        <v>8795453</v>
      </c>
      <c r="EH102" s="659">
        <f t="shared" si="64"/>
        <v>152</v>
      </c>
      <c r="EI102" s="659">
        <f t="shared" si="64"/>
        <v>152</v>
      </c>
      <c r="EJ102" s="659">
        <f t="shared" si="64"/>
        <v>8445879</v>
      </c>
      <c r="EK102" s="659">
        <f t="shared" si="64"/>
        <v>15178</v>
      </c>
      <c r="EL102" s="659">
        <f t="shared" si="64"/>
        <v>152</v>
      </c>
      <c r="EM102" s="659">
        <f t="shared" si="64"/>
        <v>152</v>
      </c>
      <c r="EN102" s="659">
        <f t="shared" si="64"/>
        <v>2498804</v>
      </c>
      <c r="EO102" s="659">
        <f t="shared" si="64"/>
        <v>152</v>
      </c>
      <c r="EP102" s="659">
        <f t="shared" si="64"/>
        <v>152</v>
      </c>
      <c r="EQ102" s="659">
        <f t="shared" si="64"/>
        <v>2498564</v>
      </c>
    </row>
    <row r="103" spans="1:147" ht="13.95" customHeight="1" x14ac:dyDescent="0.3">
      <c r="A103" s="657" t="s">
        <v>1759</v>
      </c>
      <c r="B103" s="658" t="s">
        <v>269</v>
      </c>
      <c r="C103" s="659">
        <v>0</v>
      </c>
      <c r="D103" s="659">
        <v>0</v>
      </c>
      <c r="E103" s="659">
        <v>0</v>
      </c>
      <c r="F103" s="659">
        <v>0</v>
      </c>
      <c r="G103" s="659">
        <v>0</v>
      </c>
      <c r="H103" s="659">
        <v>0</v>
      </c>
      <c r="I103" s="659">
        <v>0</v>
      </c>
      <c r="J103" s="801">
        <v>0</v>
      </c>
      <c r="K103" s="659">
        <v>0</v>
      </c>
      <c r="L103" s="659">
        <v>0</v>
      </c>
      <c r="M103" s="659">
        <v>0</v>
      </c>
      <c r="N103" s="659">
        <v>0</v>
      </c>
      <c r="O103" s="659">
        <v>0</v>
      </c>
      <c r="P103" s="659">
        <v>0</v>
      </c>
      <c r="Q103" s="801">
        <v>0</v>
      </c>
      <c r="R103" s="659">
        <v>0</v>
      </c>
      <c r="S103" s="659">
        <v>0</v>
      </c>
      <c r="T103" s="659">
        <v>0</v>
      </c>
      <c r="U103" s="659">
        <v>0</v>
      </c>
      <c r="V103" s="659">
        <v>0</v>
      </c>
      <c r="W103" s="801">
        <v>0</v>
      </c>
      <c r="X103" s="659">
        <v>0</v>
      </c>
      <c r="Y103" s="659">
        <v>0</v>
      </c>
      <c r="Z103" s="659">
        <v>0</v>
      </c>
      <c r="AA103" s="659">
        <v>0</v>
      </c>
      <c r="AB103" s="659">
        <v>0</v>
      </c>
      <c r="AC103" s="659">
        <v>0</v>
      </c>
      <c r="AD103" s="801">
        <v>0</v>
      </c>
      <c r="AE103" s="659">
        <v>0</v>
      </c>
      <c r="AF103" s="659">
        <v>0</v>
      </c>
      <c r="AG103" s="659">
        <v>0</v>
      </c>
      <c r="AH103" s="659">
        <v>0</v>
      </c>
      <c r="AI103" s="659">
        <v>0</v>
      </c>
      <c r="AJ103" s="659">
        <v>0</v>
      </c>
      <c r="AK103" s="801">
        <v>0</v>
      </c>
      <c r="AL103" s="659">
        <v>0</v>
      </c>
      <c r="AM103" s="659">
        <v>0</v>
      </c>
      <c r="AN103" s="659">
        <v>0</v>
      </c>
      <c r="AO103" s="659">
        <v>0</v>
      </c>
      <c r="AP103" s="659">
        <v>0</v>
      </c>
      <c r="AQ103" s="801">
        <v>0</v>
      </c>
      <c r="AR103" s="659">
        <v>0</v>
      </c>
      <c r="AS103" s="659">
        <v>0</v>
      </c>
      <c r="AT103" s="659">
        <v>0</v>
      </c>
      <c r="AU103" s="659">
        <v>0</v>
      </c>
      <c r="AV103" s="659">
        <v>0</v>
      </c>
      <c r="AW103" s="659">
        <v>0</v>
      </c>
      <c r="AX103" s="659">
        <v>0</v>
      </c>
      <c r="AY103" s="659">
        <v>0</v>
      </c>
      <c r="AZ103" s="659">
        <v>0</v>
      </c>
      <c r="BA103" s="659">
        <v>0</v>
      </c>
      <c r="BB103" s="659">
        <v>0</v>
      </c>
      <c r="BC103" s="659">
        <v>0</v>
      </c>
      <c r="BD103" s="659">
        <v>0</v>
      </c>
      <c r="BE103" s="801">
        <v>0</v>
      </c>
      <c r="BF103" s="659">
        <v>0</v>
      </c>
      <c r="BG103" s="659">
        <v>0</v>
      </c>
      <c r="BH103" s="659">
        <v>0</v>
      </c>
      <c r="BI103" s="659">
        <v>0</v>
      </c>
      <c r="BJ103" s="659">
        <v>0</v>
      </c>
      <c r="BK103" s="659">
        <v>0</v>
      </c>
      <c r="BL103" s="659">
        <v>0</v>
      </c>
      <c r="BM103" s="659">
        <v>0</v>
      </c>
      <c r="BN103" s="659">
        <v>0</v>
      </c>
      <c r="BO103" s="659">
        <v>0</v>
      </c>
      <c r="BP103" s="659">
        <v>0</v>
      </c>
      <c r="BQ103" s="659">
        <v>0</v>
      </c>
      <c r="BR103" s="659">
        <v>0</v>
      </c>
      <c r="BS103" s="659">
        <v>0</v>
      </c>
      <c r="BT103" s="659">
        <v>0</v>
      </c>
      <c r="BU103" s="659">
        <v>0</v>
      </c>
      <c r="BV103" s="659">
        <v>0</v>
      </c>
      <c r="BW103" s="659">
        <v>0</v>
      </c>
      <c r="BX103" s="659">
        <v>0</v>
      </c>
      <c r="BY103" s="659">
        <v>0</v>
      </c>
      <c r="BZ103" s="659">
        <v>0</v>
      </c>
      <c r="CA103" s="659">
        <v>0</v>
      </c>
      <c r="CB103" s="659">
        <v>0</v>
      </c>
      <c r="CC103" s="659">
        <v>0</v>
      </c>
      <c r="CD103" s="659">
        <v>0</v>
      </c>
      <c r="CE103" s="659">
        <v>0</v>
      </c>
      <c r="CF103" s="659">
        <v>0</v>
      </c>
      <c r="CG103" s="659">
        <v>0</v>
      </c>
      <c r="CH103" s="659">
        <v>0</v>
      </c>
      <c r="CI103" s="659">
        <v>0</v>
      </c>
      <c r="CJ103" s="659">
        <v>0</v>
      </c>
      <c r="CK103" s="659">
        <v>0</v>
      </c>
      <c r="CL103" s="659">
        <v>0</v>
      </c>
      <c r="CM103" s="659">
        <v>0</v>
      </c>
      <c r="CN103" s="659">
        <v>0</v>
      </c>
      <c r="CO103" s="659">
        <v>0</v>
      </c>
      <c r="CP103" s="659">
        <v>0</v>
      </c>
      <c r="CQ103" s="659">
        <v>0</v>
      </c>
      <c r="CR103" s="659">
        <v>0</v>
      </c>
      <c r="CS103" s="659">
        <v>0</v>
      </c>
      <c r="CT103" s="659">
        <v>0</v>
      </c>
      <c r="CU103" s="659">
        <v>0</v>
      </c>
      <c r="CV103" s="659">
        <v>0</v>
      </c>
      <c r="CW103" s="659">
        <v>0</v>
      </c>
      <c r="CX103" s="659">
        <v>0</v>
      </c>
      <c r="CY103" s="659">
        <v>0</v>
      </c>
      <c r="CZ103" s="659">
        <v>0</v>
      </c>
      <c r="DA103" s="659">
        <v>0</v>
      </c>
      <c r="DB103" s="659">
        <v>0</v>
      </c>
      <c r="DC103" s="659">
        <v>0</v>
      </c>
      <c r="DD103" s="659">
        <v>0</v>
      </c>
      <c r="DE103" s="659">
        <v>0</v>
      </c>
      <c r="DF103" s="659">
        <v>0</v>
      </c>
      <c r="DG103" s="659">
        <v>0</v>
      </c>
      <c r="DH103" s="659">
        <v>0</v>
      </c>
      <c r="DI103" s="659">
        <v>0</v>
      </c>
      <c r="DJ103" s="659">
        <v>0</v>
      </c>
      <c r="DK103" s="659">
        <v>0</v>
      </c>
      <c r="DL103" s="659">
        <v>0</v>
      </c>
      <c r="DM103" s="659">
        <v>0</v>
      </c>
      <c r="DN103" s="659">
        <v>0</v>
      </c>
      <c r="DO103" s="659">
        <v>0</v>
      </c>
      <c r="DP103" s="659">
        <v>0</v>
      </c>
      <c r="DQ103" s="659">
        <v>0</v>
      </c>
      <c r="DR103" s="659">
        <v>0</v>
      </c>
      <c r="DS103" s="659">
        <v>0</v>
      </c>
      <c r="DT103" s="659">
        <v>0</v>
      </c>
      <c r="DU103" s="659">
        <v>0</v>
      </c>
      <c r="DV103" s="659">
        <v>0</v>
      </c>
      <c r="DW103" s="659">
        <v>0</v>
      </c>
      <c r="DX103" s="659">
        <v>0</v>
      </c>
      <c r="DY103" s="659">
        <v>0</v>
      </c>
      <c r="DZ103" s="659">
        <v>0</v>
      </c>
      <c r="EA103" s="659">
        <v>0</v>
      </c>
      <c r="EB103" s="659">
        <v>0</v>
      </c>
      <c r="EC103" s="659">
        <v>0</v>
      </c>
      <c r="ED103" s="659">
        <v>0</v>
      </c>
      <c r="EE103" s="659">
        <v>0</v>
      </c>
      <c r="EF103" s="659">
        <v>0</v>
      </c>
      <c r="EG103" s="659">
        <v>0</v>
      </c>
      <c r="EH103" s="659">
        <v>0</v>
      </c>
      <c r="EI103" s="659">
        <v>0</v>
      </c>
      <c r="EJ103" s="659">
        <v>0</v>
      </c>
      <c r="EK103" s="659">
        <v>0</v>
      </c>
      <c r="EL103" s="659">
        <v>0</v>
      </c>
      <c r="EM103" s="659">
        <v>0</v>
      </c>
      <c r="EN103" s="659">
        <v>0</v>
      </c>
      <c r="EO103" s="659">
        <v>0</v>
      </c>
      <c r="EP103" s="659">
        <v>0</v>
      </c>
      <c r="EQ103" s="659">
        <v>0</v>
      </c>
    </row>
    <row r="104" spans="1:147" ht="13.95" customHeight="1" x14ac:dyDescent="0.3">
      <c r="A104" s="657" t="s">
        <v>1760</v>
      </c>
      <c r="B104" s="658" t="s">
        <v>269</v>
      </c>
      <c r="C104" s="659">
        <v>7624</v>
      </c>
      <c r="D104" s="659">
        <v>0</v>
      </c>
      <c r="E104" s="659">
        <v>0</v>
      </c>
      <c r="F104" s="659">
        <v>491537</v>
      </c>
      <c r="G104" s="659">
        <v>0</v>
      </c>
      <c r="H104" s="659">
        <v>0</v>
      </c>
      <c r="I104" s="659">
        <v>478501</v>
      </c>
      <c r="J104" s="801">
        <v>53</v>
      </c>
      <c r="K104" s="659">
        <v>0</v>
      </c>
      <c r="L104" s="659">
        <v>0</v>
      </c>
      <c r="M104" s="659">
        <v>2285</v>
      </c>
      <c r="N104" s="659">
        <v>0</v>
      </c>
      <c r="O104" s="659">
        <v>0</v>
      </c>
      <c r="P104" s="659">
        <v>2285</v>
      </c>
      <c r="Q104" s="801">
        <v>0</v>
      </c>
      <c r="R104" s="659">
        <v>0</v>
      </c>
      <c r="S104" s="659">
        <v>0</v>
      </c>
      <c r="T104" s="659">
        <v>0</v>
      </c>
      <c r="U104" s="659">
        <v>0</v>
      </c>
      <c r="V104" s="659">
        <v>0</v>
      </c>
      <c r="W104" s="801">
        <v>8</v>
      </c>
      <c r="X104" s="659">
        <v>0</v>
      </c>
      <c r="Y104" s="659">
        <v>0</v>
      </c>
      <c r="Z104" s="659">
        <v>336</v>
      </c>
      <c r="AA104" s="659">
        <v>0</v>
      </c>
      <c r="AB104" s="659">
        <v>0</v>
      </c>
      <c r="AC104" s="659">
        <v>336</v>
      </c>
      <c r="AD104" s="801">
        <v>392</v>
      </c>
      <c r="AE104" s="659">
        <v>0</v>
      </c>
      <c r="AF104" s="659">
        <v>0</v>
      </c>
      <c r="AG104" s="659">
        <v>15570</v>
      </c>
      <c r="AH104" s="659">
        <v>0</v>
      </c>
      <c r="AI104" s="659">
        <v>0</v>
      </c>
      <c r="AJ104" s="659">
        <v>15570</v>
      </c>
      <c r="AK104" s="801">
        <v>0</v>
      </c>
      <c r="AL104" s="659">
        <v>0</v>
      </c>
      <c r="AM104" s="659">
        <v>0</v>
      </c>
      <c r="AN104" s="659">
        <v>0</v>
      </c>
      <c r="AO104" s="659">
        <v>0</v>
      </c>
      <c r="AP104" s="659">
        <v>0</v>
      </c>
      <c r="AQ104" s="801">
        <v>0</v>
      </c>
      <c r="AR104" s="659">
        <v>0</v>
      </c>
      <c r="AS104" s="659">
        <v>0</v>
      </c>
      <c r="AT104" s="659">
        <v>0</v>
      </c>
      <c r="AU104" s="659">
        <v>0</v>
      </c>
      <c r="AV104" s="659">
        <v>0</v>
      </c>
      <c r="AW104" s="659">
        <v>0</v>
      </c>
      <c r="AX104" s="659">
        <v>0</v>
      </c>
      <c r="AY104" s="659">
        <v>0</v>
      </c>
      <c r="AZ104" s="659">
        <v>0</v>
      </c>
      <c r="BA104" s="659">
        <v>0</v>
      </c>
      <c r="BB104" s="659">
        <v>0</v>
      </c>
      <c r="BC104" s="659">
        <v>0</v>
      </c>
      <c r="BD104" s="659">
        <v>0</v>
      </c>
      <c r="BE104" s="801">
        <v>36</v>
      </c>
      <c r="BF104" s="659">
        <v>0</v>
      </c>
      <c r="BG104" s="659">
        <v>0</v>
      </c>
      <c r="BH104" s="659">
        <v>2280</v>
      </c>
      <c r="BI104" s="659">
        <v>0</v>
      </c>
      <c r="BJ104" s="659">
        <v>0</v>
      </c>
      <c r="BK104" s="659">
        <v>2280</v>
      </c>
      <c r="BL104" s="659">
        <v>293</v>
      </c>
      <c r="BM104" s="659">
        <v>0</v>
      </c>
      <c r="BN104" s="659">
        <v>0</v>
      </c>
      <c r="BO104" s="659">
        <v>19130</v>
      </c>
      <c r="BP104" s="659">
        <v>0</v>
      </c>
      <c r="BQ104" s="659">
        <v>0</v>
      </c>
      <c r="BR104" s="659">
        <v>18810</v>
      </c>
      <c r="BS104" s="659">
        <v>7</v>
      </c>
      <c r="BT104" s="659">
        <v>0</v>
      </c>
      <c r="BU104" s="659">
        <v>0</v>
      </c>
      <c r="BV104" s="659">
        <v>560</v>
      </c>
      <c r="BW104" s="659">
        <v>0</v>
      </c>
      <c r="BX104" s="659">
        <v>0</v>
      </c>
      <c r="BY104" s="659">
        <v>560</v>
      </c>
      <c r="BZ104" s="659">
        <v>119</v>
      </c>
      <c r="CA104" s="659">
        <v>0</v>
      </c>
      <c r="CB104" s="659">
        <v>0</v>
      </c>
      <c r="CC104" s="659">
        <v>6754</v>
      </c>
      <c r="CD104" s="659">
        <v>0</v>
      </c>
      <c r="CE104" s="659">
        <v>0</v>
      </c>
      <c r="CF104" s="659">
        <v>6630</v>
      </c>
      <c r="CG104" s="659">
        <v>348</v>
      </c>
      <c r="CH104" s="659">
        <v>0</v>
      </c>
      <c r="CI104" s="659">
        <v>0</v>
      </c>
      <c r="CJ104" s="659">
        <v>39850</v>
      </c>
      <c r="CK104" s="659">
        <v>0</v>
      </c>
      <c r="CL104" s="659">
        <v>0</v>
      </c>
      <c r="CM104" s="659">
        <v>37846</v>
      </c>
      <c r="CN104" s="659">
        <v>144</v>
      </c>
      <c r="CO104" s="659">
        <v>0</v>
      </c>
      <c r="CP104" s="659">
        <v>0</v>
      </c>
      <c r="CQ104" s="659">
        <v>10744</v>
      </c>
      <c r="CR104" s="659">
        <v>0</v>
      </c>
      <c r="CS104" s="659">
        <v>0</v>
      </c>
      <c r="CT104" s="659">
        <v>10144</v>
      </c>
      <c r="CU104" s="659">
        <v>88</v>
      </c>
      <c r="CV104" s="659">
        <v>0</v>
      </c>
      <c r="CW104" s="659">
        <v>0</v>
      </c>
      <c r="CX104" s="659">
        <v>10560</v>
      </c>
      <c r="CY104" s="659">
        <v>0</v>
      </c>
      <c r="CZ104" s="659">
        <v>0</v>
      </c>
      <c r="DA104" s="659">
        <v>10560</v>
      </c>
      <c r="DB104" s="659">
        <v>451</v>
      </c>
      <c r="DC104" s="659">
        <v>0</v>
      </c>
      <c r="DD104" s="659">
        <v>0</v>
      </c>
      <c r="DE104" s="659">
        <v>57685</v>
      </c>
      <c r="DF104" s="659">
        <v>0</v>
      </c>
      <c r="DG104" s="659">
        <v>0</v>
      </c>
      <c r="DH104" s="659">
        <v>55440</v>
      </c>
      <c r="DI104" s="659">
        <v>955</v>
      </c>
      <c r="DJ104" s="659">
        <v>0</v>
      </c>
      <c r="DK104" s="659">
        <v>0</v>
      </c>
      <c r="DL104" s="659">
        <v>26240</v>
      </c>
      <c r="DM104" s="659">
        <v>0</v>
      </c>
      <c r="DN104" s="659">
        <v>0</v>
      </c>
      <c r="DO104" s="659">
        <v>25695</v>
      </c>
      <c r="DP104" s="659">
        <v>0</v>
      </c>
      <c r="DQ104" s="659">
        <v>0</v>
      </c>
      <c r="DR104" s="659">
        <v>0</v>
      </c>
      <c r="DS104" s="659">
        <v>0</v>
      </c>
      <c r="DT104" s="659">
        <v>0</v>
      </c>
      <c r="DU104" s="659">
        <v>0</v>
      </c>
      <c r="DV104" s="659">
        <v>0</v>
      </c>
      <c r="DW104" s="659">
        <v>695</v>
      </c>
      <c r="DX104" s="659">
        <v>0</v>
      </c>
      <c r="DY104" s="659">
        <v>0</v>
      </c>
      <c r="DZ104" s="659">
        <v>44015</v>
      </c>
      <c r="EA104" s="659">
        <v>0</v>
      </c>
      <c r="EB104" s="659">
        <v>0</v>
      </c>
      <c r="EC104" s="659">
        <v>41318</v>
      </c>
      <c r="ED104" s="659">
        <v>2851</v>
      </c>
      <c r="EE104" s="659">
        <v>0</v>
      </c>
      <c r="EF104" s="659">
        <v>0</v>
      </c>
      <c r="EG104" s="659">
        <v>173478</v>
      </c>
      <c r="EH104" s="659">
        <v>0</v>
      </c>
      <c r="EI104" s="659">
        <v>0</v>
      </c>
      <c r="EJ104" s="659">
        <v>169145</v>
      </c>
      <c r="EK104" s="659">
        <v>1184</v>
      </c>
      <c r="EL104" s="659">
        <v>0</v>
      </c>
      <c r="EM104" s="659">
        <v>0</v>
      </c>
      <c r="EN104" s="659">
        <v>82050</v>
      </c>
      <c r="EO104" s="659">
        <v>0</v>
      </c>
      <c r="EP104" s="659">
        <v>0</v>
      </c>
      <c r="EQ104" s="659">
        <v>81882</v>
      </c>
    </row>
    <row r="105" spans="1:147" ht="13.95" customHeight="1" x14ac:dyDescent="0.3">
      <c r="A105" s="657" t="s">
        <v>1761</v>
      </c>
      <c r="B105" s="658" t="s">
        <v>269</v>
      </c>
      <c r="C105" s="659">
        <v>0</v>
      </c>
      <c r="D105" s="659">
        <v>0</v>
      </c>
      <c r="E105" s="659">
        <v>0</v>
      </c>
      <c r="F105" s="659">
        <v>0</v>
      </c>
      <c r="G105" s="659">
        <v>0</v>
      </c>
      <c r="H105" s="659">
        <v>0</v>
      </c>
      <c r="I105" s="659">
        <v>0</v>
      </c>
      <c r="J105" s="801">
        <v>0</v>
      </c>
      <c r="K105" s="659">
        <v>0</v>
      </c>
      <c r="L105" s="659">
        <v>0</v>
      </c>
      <c r="M105" s="659">
        <v>0</v>
      </c>
      <c r="N105" s="659">
        <v>0</v>
      </c>
      <c r="O105" s="659">
        <v>0</v>
      </c>
      <c r="P105" s="659">
        <v>0</v>
      </c>
      <c r="Q105" s="801">
        <v>0</v>
      </c>
      <c r="R105" s="659">
        <v>0</v>
      </c>
      <c r="S105" s="659">
        <v>0</v>
      </c>
      <c r="T105" s="659">
        <v>0</v>
      </c>
      <c r="U105" s="659">
        <v>0</v>
      </c>
      <c r="V105" s="659">
        <v>0</v>
      </c>
      <c r="W105" s="801">
        <v>0</v>
      </c>
      <c r="X105" s="659">
        <v>0</v>
      </c>
      <c r="Y105" s="659">
        <v>0</v>
      </c>
      <c r="Z105" s="659">
        <v>0</v>
      </c>
      <c r="AA105" s="659">
        <v>0</v>
      </c>
      <c r="AB105" s="659">
        <v>0</v>
      </c>
      <c r="AC105" s="659">
        <v>0</v>
      </c>
      <c r="AD105" s="801">
        <v>0</v>
      </c>
      <c r="AE105" s="659">
        <v>0</v>
      </c>
      <c r="AF105" s="659">
        <v>0</v>
      </c>
      <c r="AG105" s="659">
        <v>0</v>
      </c>
      <c r="AH105" s="659">
        <v>0</v>
      </c>
      <c r="AI105" s="659">
        <v>0</v>
      </c>
      <c r="AJ105" s="659">
        <v>0</v>
      </c>
      <c r="AK105" s="801">
        <v>0</v>
      </c>
      <c r="AL105" s="659">
        <v>0</v>
      </c>
      <c r="AM105" s="659">
        <v>0</v>
      </c>
      <c r="AN105" s="659">
        <v>0</v>
      </c>
      <c r="AO105" s="659">
        <v>0</v>
      </c>
      <c r="AP105" s="659">
        <v>0</v>
      </c>
      <c r="AQ105" s="801">
        <v>0</v>
      </c>
      <c r="AR105" s="659">
        <v>0</v>
      </c>
      <c r="AS105" s="659">
        <v>0</v>
      </c>
      <c r="AT105" s="659">
        <v>0</v>
      </c>
      <c r="AU105" s="659">
        <v>0</v>
      </c>
      <c r="AV105" s="659">
        <v>0</v>
      </c>
      <c r="AW105" s="659">
        <v>0</v>
      </c>
      <c r="AX105" s="659">
        <v>0</v>
      </c>
      <c r="AY105" s="659">
        <v>0</v>
      </c>
      <c r="AZ105" s="659">
        <v>0</v>
      </c>
      <c r="BA105" s="659">
        <v>0</v>
      </c>
      <c r="BB105" s="659">
        <v>0</v>
      </c>
      <c r="BC105" s="659">
        <v>0</v>
      </c>
      <c r="BD105" s="659">
        <v>0</v>
      </c>
      <c r="BE105" s="801">
        <v>0</v>
      </c>
      <c r="BF105" s="659">
        <v>0</v>
      </c>
      <c r="BG105" s="659">
        <v>0</v>
      </c>
      <c r="BH105" s="659">
        <v>0</v>
      </c>
      <c r="BI105" s="659">
        <v>0</v>
      </c>
      <c r="BJ105" s="659">
        <v>0</v>
      </c>
      <c r="BK105" s="659">
        <v>0</v>
      </c>
      <c r="BL105" s="659">
        <v>0</v>
      </c>
      <c r="BM105" s="659">
        <v>0</v>
      </c>
      <c r="BN105" s="659">
        <v>0</v>
      </c>
      <c r="BO105" s="659">
        <v>0</v>
      </c>
      <c r="BP105" s="659">
        <v>0</v>
      </c>
      <c r="BQ105" s="659">
        <v>0</v>
      </c>
      <c r="BR105" s="659">
        <v>0</v>
      </c>
      <c r="BS105" s="659">
        <v>0</v>
      </c>
      <c r="BT105" s="659">
        <v>0</v>
      </c>
      <c r="BU105" s="659">
        <v>0</v>
      </c>
      <c r="BV105" s="659">
        <v>0</v>
      </c>
      <c r="BW105" s="659">
        <v>0</v>
      </c>
      <c r="BX105" s="659">
        <v>0</v>
      </c>
      <c r="BY105" s="659">
        <v>0</v>
      </c>
      <c r="BZ105" s="659">
        <v>0</v>
      </c>
      <c r="CA105" s="659">
        <v>0</v>
      </c>
      <c r="CB105" s="659">
        <v>0</v>
      </c>
      <c r="CC105" s="659">
        <v>0</v>
      </c>
      <c r="CD105" s="659">
        <v>0</v>
      </c>
      <c r="CE105" s="659">
        <v>0</v>
      </c>
      <c r="CF105" s="659">
        <v>0</v>
      </c>
      <c r="CG105" s="659">
        <v>0</v>
      </c>
      <c r="CH105" s="659">
        <v>0</v>
      </c>
      <c r="CI105" s="659">
        <v>0</v>
      </c>
      <c r="CJ105" s="659">
        <v>0</v>
      </c>
      <c r="CK105" s="659">
        <v>0</v>
      </c>
      <c r="CL105" s="659">
        <v>0</v>
      </c>
      <c r="CM105" s="659">
        <v>0</v>
      </c>
      <c r="CN105" s="659">
        <v>0</v>
      </c>
      <c r="CO105" s="659">
        <v>0</v>
      </c>
      <c r="CP105" s="659">
        <v>0</v>
      </c>
      <c r="CQ105" s="659">
        <v>0</v>
      </c>
      <c r="CR105" s="659">
        <v>0</v>
      </c>
      <c r="CS105" s="659">
        <v>0</v>
      </c>
      <c r="CT105" s="659">
        <v>0</v>
      </c>
      <c r="CU105" s="659">
        <v>0</v>
      </c>
      <c r="CV105" s="659">
        <v>0</v>
      </c>
      <c r="CW105" s="659">
        <v>0</v>
      </c>
      <c r="CX105" s="659">
        <v>0</v>
      </c>
      <c r="CY105" s="659">
        <v>0</v>
      </c>
      <c r="CZ105" s="659">
        <v>0</v>
      </c>
      <c r="DA105" s="659">
        <v>0</v>
      </c>
      <c r="DB105" s="659">
        <v>0</v>
      </c>
      <c r="DC105" s="659">
        <v>0</v>
      </c>
      <c r="DD105" s="659">
        <v>0</v>
      </c>
      <c r="DE105" s="659">
        <v>0</v>
      </c>
      <c r="DF105" s="659">
        <v>0</v>
      </c>
      <c r="DG105" s="659">
        <v>0</v>
      </c>
      <c r="DH105" s="659">
        <v>0</v>
      </c>
      <c r="DI105" s="659">
        <v>0</v>
      </c>
      <c r="DJ105" s="659">
        <v>0</v>
      </c>
      <c r="DK105" s="659">
        <v>0</v>
      </c>
      <c r="DL105" s="659">
        <v>0</v>
      </c>
      <c r="DM105" s="659">
        <v>0</v>
      </c>
      <c r="DN105" s="659">
        <v>0</v>
      </c>
      <c r="DO105" s="659">
        <v>0</v>
      </c>
      <c r="DP105" s="659">
        <v>0</v>
      </c>
      <c r="DQ105" s="659">
        <v>0</v>
      </c>
      <c r="DR105" s="659">
        <v>0</v>
      </c>
      <c r="DS105" s="659">
        <v>0</v>
      </c>
      <c r="DT105" s="659">
        <v>0</v>
      </c>
      <c r="DU105" s="659">
        <v>0</v>
      </c>
      <c r="DV105" s="659">
        <v>0</v>
      </c>
      <c r="DW105" s="659">
        <v>0</v>
      </c>
      <c r="DX105" s="659">
        <v>0</v>
      </c>
      <c r="DY105" s="659">
        <v>0</v>
      </c>
      <c r="DZ105" s="659">
        <v>0</v>
      </c>
      <c r="EA105" s="659">
        <v>0</v>
      </c>
      <c r="EB105" s="659">
        <v>0</v>
      </c>
      <c r="EC105" s="659">
        <v>0</v>
      </c>
      <c r="ED105" s="659">
        <v>0</v>
      </c>
      <c r="EE105" s="659">
        <v>0</v>
      </c>
      <c r="EF105" s="659">
        <v>0</v>
      </c>
      <c r="EG105" s="659">
        <v>0</v>
      </c>
      <c r="EH105" s="659">
        <v>0</v>
      </c>
      <c r="EI105" s="659">
        <v>0</v>
      </c>
      <c r="EJ105" s="659">
        <v>0</v>
      </c>
      <c r="EK105" s="659">
        <v>0</v>
      </c>
      <c r="EL105" s="659">
        <v>0</v>
      </c>
      <c r="EM105" s="659">
        <v>0</v>
      </c>
      <c r="EN105" s="659">
        <v>0</v>
      </c>
      <c r="EO105" s="659">
        <v>0</v>
      </c>
      <c r="EP105" s="659">
        <v>0</v>
      </c>
      <c r="EQ105" s="659">
        <v>0</v>
      </c>
    </row>
    <row r="106" spans="1:147" ht="13.95" customHeight="1" x14ac:dyDescent="0.3">
      <c r="A106" s="657" t="s">
        <v>1762</v>
      </c>
      <c r="B106" s="658" t="s">
        <v>269</v>
      </c>
      <c r="C106" s="659">
        <v>0</v>
      </c>
      <c r="D106" s="659">
        <v>0</v>
      </c>
      <c r="E106" s="659">
        <v>0</v>
      </c>
      <c r="F106" s="659">
        <v>0</v>
      </c>
      <c r="G106" s="659">
        <v>0</v>
      </c>
      <c r="H106" s="659">
        <v>0</v>
      </c>
      <c r="I106" s="659">
        <v>0</v>
      </c>
      <c r="J106" s="801">
        <v>0</v>
      </c>
      <c r="K106" s="659">
        <v>0</v>
      </c>
      <c r="L106" s="659">
        <v>0</v>
      </c>
      <c r="M106" s="659">
        <v>0</v>
      </c>
      <c r="N106" s="659">
        <v>0</v>
      </c>
      <c r="O106" s="659">
        <v>0</v>
      </c>
      <c r="P106" s="659">
        <v>0</v>
      </c>
      <c r="Q106" s="801">
        <v>0</v>
      </c>
      <c r="R106" s="659">
        <v>0</v>
      </c>
      <c r="S106" s="659">
        <v>0</v>
      </c>
      <c r="T106" s="659">
        <v>0</v>
      </c>
      <c r="U106" s="659">
        <v>0</v>
      </c>
      <c r="V106" s="659">
        <v>0</v>
      </c>
      <c r="W106" s="801">
        <v>0</v>
      </c>
      <c r="X106" s="659">
        <v>0</v>
      </c>
      <c r="Y106" s="659">
        <v>0</v>
      </c>
      <c r="Z106" s="659">
        <v>0</v>
      </c>
      <c r="AA106" s="659">
        <v>0</v>
      </c>
      <c r="AB106" s="659">
        <v>0</v>
      </c>
      <c r="AC106" s="659">
        <v>0</v>
      </c>
      <c r="AD106" s="801">
        <v>0</v>
      </c>
      <c r="AE106" s="659">
        <v>0</v>
      </c>
      <c r="AF106" s="659">
        <v>0</v>
      </c>
      <c r="AG106" s="659">
        <v>0</v>
      </c>
      <c r="AH106" s="659">
        <v>0</v>
      </c>
      <c r="AI106" s="659">
        <v>0</v>
      </c>
      <c r="AJ106" s="659">
        <v>0</v>
      </c>
      <c r="AK106" s="801">
        <v>0</v>
      </c>
      <c r="AL106" s="659">
        <v>0</v>
      </c>
      <c r="AM106" s="659">
        <v>0</v>
      </c>
      <c r="AN106" s="659">
        <v>0</v>
      </c>
      <c r="AO106" s="659">
        <v>0</v>
      </c>
      <c r="AP106" s="659">
        <v>0</v>
      </c>
      <c r="AQ106" s="801">
        <v>0</v>
      </c>
      <c r="AR106" s="659">
        <v>0</v>
      </c>
      <c r="AS106" s="659">
        <v>0</v>
      </c>
      <c r="AT106" s="659">
        <v>0</v>
      </c>
      <c r="AU106" s="659">
        <v>0</v>
      </c>
      <c r="AV106" s="659">
        <v>0</v>
      </c>
      <c r="AW106" s="659">
        <v>0</v>
      </c>
      <c r="AX106" s="659">
        <v>0</v>
      </c>
      <c r="AY106" s="659">
        <v>0</v>
      </c>
      <c r="AZ106" s="659">
        <v>0</v>
      </c>
      <c r="BA106" s="659">
        <v>0</v>
      </c>
      <c r="BB106" s="659">
        <v>0</v>
      </c>
      <c r="BC106" s="659">
        <v>0</v>
      </c>
      <c r="BD106" s="659">
        <v>0</v>
      </c>
      <c r="BE106" s="801">
        <v>0</v>
      </c>
      <c r="BF106" s="659">
        <v>0</v>
      </c>
      <c r="BG106" s="659">
        <v>0</v>
      </c>
      <c r="BH106" s="659">
        <v>0</v>
      </c>
      <c r="BI106" s="659">
        <v>0</v>
      </c>
      <c r="BJ106" s="659">
        <v>0</v>
      </c>
      <c r="BK106" s="659">
        <v>0</v>
      </c>
      <c r="BL106" s="659">
        <v>0</v>
      </c>
      <c r="BM106" s="659">
        <v>0</v>
      </c>
      <c r="BN106" s="659">
        <v>0</v>
      </c>
      <c r="BO106" s="659">
        <v>0</v>
      </c>
      <c r="BP106" s="659">
        <v>0</v>
      </c>
      <c r="BQ106" s="659">
        <v>0</v>
      </c>
      <c r="BR106" s="659">
        <v>0</v>
      </c>
      <c r="BS106" s="659">
        <v>0</v>
      </c>
      <c r="BT106" s="659">
        <v>0</v>
      </c>
      <c r="BU106" s="659">
        <v>0</v>
      </c>
      <c r="BV106" s="659">
        <v>0</v>
      </c>
      <c r="BW106" s="659">
        <v>0</v>
      </c>
      <c r="BX106" s="659">
        <v>0</v>
      </c>
      <c r="BY106" s="659">
        <v>0</v>
      </c>
      <c r="BZ106" s="659">
        <v>0</v>
      </c>
      <c r="CA106" s="659">
        <v>0</v>
      </c>
      <c r="CB106" s="659">
        <v>0</v>
      </c>
      <c r="CC106" s="659">
        <v>0</v>
      </c>
      <c r="CD106" s="659">
        <v>0</v>
      </c>
      <c r="CE106" s="659">
        <v>0</v>
      </c>
      <c r="CF106" s="659">
        <v>0</v>
      </c>
      <c r="CG106" s="659">
        <v>0</v>
      </c>
      <c r="CH106" s="659">
        <v>0</v>
      </c>
      <c r="CI106" s="659">
        <v>0</v>
      </c>
      <c r="CJ106" s="659">
        <v>0</v>
      </c>
      <c r="CK106" s="659">
        <v>0</v>
      </c>
      <c r="CL106" s="659">
        <v>0</v>
      </c>
      <c r="CM106" s="659">
        <v>0</v>
      </c>
      <c r="CN106" s="659">
        <v>0</v>
      </c>
      <c r="CO106" s="659">
        <v>0</v>
      </c>
      <c r="CP106" s="659">
        <v>0</v>
      </c>
      <c r="CQ106" s="659">
        <v>0</v>
      </c>
      <c r="CR106" s="659">
        <v>0</v>
      </c>
      <c r="CS106" s="659">
        <v>0</v>
      </c>
      <c r="CT106" s="659">
        <v>0</v>
      </c>
      <c r="CU106" s="659">
        <v>0</v>
      </c>
      <c r="CV106" s="659">
        <v>0</v>
      </c>
      <c r="CW106" s="659">
        <v>0</v>
      </c>
      <c r="CX106" s="659">
        <v>0</v>
      </c>
      <c r="CY106" s="659">
        <v>0</v>
      </c>
      <c r="CZ106" s="659">
        <v>0</v>
      </c>
      <c r="DA106" s="659">
        <v>0</v>
      </c>
      <c r="DB106" s="659">
        <v>0</v>
      </c>
      <c r="DC106" s="659">
        <v>0</v>
      </c>
      <c r="DD106" s="659">
        <v>0</v>
      </c>
      <c r="DE106" s="659">
        <v>0</v>
      </c>
      <c r="DF106" s="659">
        <v>0</v>
      </c>
      <c r="DG106" s="659">
        <v>0</v>
      </c>
      <c r="DH106" s="659">
        <v>0</v>
      </c>
      <c r="DI106" s="659">
        <v>0</v>
      </c>
      <c r="DJ106" s="659">
        <v>0</v>
      </c>
      <c r="DK106" s="659">
        <v>0</v>
      </c>
      <c r="DL106" s="659">
        <v>0</v>
      </c>
      <c r="DM106" s="659">
        <v>0</v>
      </c>
      <c r="DN106" s="659">
        <v>0</v>
      </c>
      <c r="DO106" s="659">
        <v>0</v>
      </c>
      <c r="DP106" s="659">
        <v>0</v>
      </c>
      <c r="DQ106" s="659">
        <v>0</v>
      </c>
      <c r="DR106" s="659">
        <v>0</v>
      </c>
      <c r="DS106" s="659">
        <v>0</v>
      </c>
      <c r="DT106" s="659">
        <v>0</v>
      </c>
      <c r="DU106" s="659">
        <v>0</v>
      </c>
      <c r="DV106" s="659">
        <v>0</v>
      </c>
      <c r="DW106" s="659">
        <v>0</v>
      </c>
      <c r="DX106" s="659">
        <v>0</v>
      </c>
      <c r="DY106" s="659">
        <v>0</v>
      </c>
      <c r="DZ106" s="659">
        <v>0</v>
      </c>
      <c r="EA106" s="659">
        <v>0</v>
      </c>
      <c r="EB106" s="659">
        <v>0</v>
      </c>
      <c r="EC106" s="659">
        <v>0</v>
      </c>
      <c r="ED106" s="659">
        <v>0</v>
      </c>
      <c r="EE106" s="659">
        <v>0</v>
      </c>
      <c r="EF106" s="659">
        <v>0</v>
      </c>
      <c r="EG106" s="659">
        <v>0</v>
      </c>
      <c r="EH106" s="659">
        <v>0</v>
      </c>
      <c r="EI106" s="659">
        <v>0</v>
      </c>
      <c r="EJ106" s="659">
        <v>0</v>
      </c>
      <c r="EK106" s="659">
        <v>0</v>
      </c>
      <c r="EL106" s="659">
        <v>0</v>
      </c>
      <c r="EM106" s="659">
        <v>0</v>
      </c>
      <c r="EN106" s="659">
        <v>0</v>
      </c>
      <c r="EO106" s="659">
        <v>0</v>
      </c>
      <c r="EP106" s="659">
        <v>0</v>
      </c>
      <c r="EQ106" s="659">
        <v>0</v>
      </c>
    </row>
    <row r="107" spans="1:147" ht="20.7" customHeight="1" x14ac:dyDescent="0.3">
      <c r="A107" s="657" t="s">
        <v>1763</v>
      </c>
      <c r="B107" s="658" t="s">
        <v>269</v>
      </c>
      <c r="C107" s="659">
        <v>3411</v>
      </c>
      <c r="D107" s="659">
        <v>0</v>
      </c>
      <c r="E107" s="659">
        <v>0</v>
      </c>
      <c r="F107" s="659">
        <v>300994</v>
      </c>
      <c r="G107" s="659">
        <v>0</v>
      </c>
      <c r="H107" s="659">
        <v>0</v>
      </c>
      <c r="I107" s="659">
        <v>292697</v>
      </c>
      <c r="J107" s="801">
        <v>80</v>
      </c>
      <c r="K107" s="659">
        <v>0</v>
      </c>
      <c r="L107" s="659">
        <v>0</v>
      </c>
      <c r="M107" s="659">
        <v>12626</v>
      </c>
      <c r="N107" s="659">
        <v>0</v>
      </c>
      <c r="O107" s="659">
        <v>0</v>
      </c>
      <c r="P107" s="659">
        <v>12508</v>
      </c>
      <c r="Q107" s="801">
        <v>0</v>
      </c>
      <c r="R107" s="659">
        <v>0</v>
      </c>
      <c r="S107" s="659">
        <v>0</v>
      </c>
      <c r="T107" s="659">
        <v>0</v>
      </c>
      <c r="U107" s="659">
        <v>0</v>
      </c>
      <c r="V107" s="659">
        <v>0</v>
      </c>
      <c r="W107" s="801">
        <v>37</v>
      </c>
      <c r="X107" s="659">
        <v>0</v>
      </c>
      <c r="Y107" s="659">
        <v>0</v>
      </c>
      <c r="Z107" s="659">
        <v>1034</v>
      </c>
      <c r="AA107" s="659">
        <v>0</v>
      </c>
      <c r="AB107" s="659">
        <v>0</v>
      </c>
      <c r="AC107" s="659">
        <v>950</v>
      </c>
      <c r="AD107" s="801">
        <v>25</v>
      </c>
      <c r="AE107" s="659">
        <v>0</v>
      </c>
      <c r="AF107" s="659">
        <v>0</v>
      </c>
      <c r="AG107" s="659">
        <v>3063</v>
      </c>
      <c r="AH107" s="659">
        <v>0</v>
      </c>
      <c r="AI107" s="659">
        <v>0</v>
      </c>
      <c r="AJ107" s="659">
        <v>3063</v>
      </c>
      <c r="AK107" s="801">
        <v>0</v>
      </c>
      <c r="AL107" s="659">
        <v>0</v>
      </c>
      <c r="AM107" s="659">
        <v>0</v>
      </c>
      <c r="AN107" s="659">
        <v>0</v>
      </c>
      <c r="AO107" s="659">
        <v>0</v>
      </c>
      <c r="AP107" s="659">
        <v>0</v>
      </c>
      <c r="AQ107" s="801">
        <v>539</v>
      </c>
      <c r="AR107" s="659">
        <v>0</v>
      </c>
      <c r="AS107" s="659">
        <v>0</v>
      </c>
      <c r="AT107" s="659">
        <v>44321</v>
      </c>
      <c r="AU107" s="659">
        <v>0</v>
      </c>
      <c r="AV107" s="659">
        <v>0</v>
      </c>
      <c r="AW107" s="659">
        <v>40073</v>
      </c>
      <c r="AX107" s="659">
        <v>4</v>
      </c>
      <c r="AY107" s="659">
        <v>0</v>
      </c>
      <c r="AZ107" s="659">
        <v>0</v>
      </c>
      <c r="BA107" s="659">
        <v>470</v>
      </c>
      <c r="BB107" s="659">
        <v>0</v>
      </c>
      <c r="BC107" s="659">
        <v>0</v>
      </c>
      <c r="BD107" s="659">
        <v>457</v>
      </c>
      <c r="BE107" s="801">
        <v>461</v>
      </c>
      <c r="BF107" s="659">
        <v>0</v>
      </c>
      <c r="BG107" s="659">
        <v>0</v>
      </c>
      <c r="BH107" s="659">
        <v>46215</v>
      </c>
      <c r="BI107" s="659">
        <v>0</v>
      </c>
      <c r="BJ107" s="659">
        <v>0</v>
      </c>
      <c r="BK107" s="659">
        <v>46215</v>
      </c>
      <c r="BL107" s="659">
        <v>75</v>
      </c>
      <c r="BM107" s="659">
        <v>0</v>
      </c>
      <c r="BN107" s="659">
        <v>0</v>
      </c>
      <c r="BO107" s="659">
        <v>7645</v>
      </c>
      <c r="BP107" s="659">
        <v>0</v>
      </c>
      <c r="BQ107" s="659">
        <v>0</v>
      </c>
      <c r="BR107" s="659">
        <v>7590</v>
      </c>
      <c r="BS107" s="659">
        <v>0</v>
      </c>
      <c r="BT107" s="659">
        <v>0</v>
      </c>
      <c r="BU107" s="659">
        <v>0</v>
      </c>
      <c r="BV107" s="659">
        <v>0</v>
      </c>
      <c r="BW107" s="659">
        <v>0</v>
      </c>
      <c r="BX107" s="659">
        <v>0</v>
      </c>
      <c r="BY107" s="659">
        <v>0</v>
      </c>
      <c r="BZ107" s="659">
        <v>23</v>
      </c>
      <c r="CA107" s="659">
        <v>0</v>
      </c>
      <c r="CB107" s="659">
        <v>0</v>
      </c>
      <c r="CC107" s="659">
        <v>1909</v>
      </c>
      <c r="CD107" s="659">
        <v>0</v>
      </c>
      <c r="CE107" s="659">
        <v>0</v>
      </c>
      <c r="CF107" s="659">
        <v>1896</v>
      </c>
      <c r="CG107" s="659">
        <v>77</v>
      </c>
      <c r="CH107" s="659">
        <v>0</v>
      </c>
      <c r="CI107" s="659">
        <v>0</v>
      </c>
      <c r="CJ107" s="659">
        <v>5445</v>
      </c>
      <c r="CK107" s="659">
        <v>0</v>
      </c>
      <c r="CL107" s="659">
        <v>0</v>
      </c>
      <c r="CM107" s="659">
        <v>5420</v>
      </c>
      <c r="CN107" s="659">
        <v>240</v>
      </c>
      <c r="CO107" s="659">
        <v>0</v>
      </c>
      <c r="CP107" s="659">
        <v>0</v>
      </c>
      <c r="CQ107" s="659">
        <v>36000</v>
      </c>
      <c r="CR107" s="659">
        <v>0</v>
      </c>
      <c r="CS107" s="659">
        <v>0</v>
      </c>
      <c r="CT107" s="659">
        <v>36000</v>
      </c>
      <c r="CU107" s="659">
        <v>35</v>
      </c>
      <c r="CV107" s="659">
        <v>0</v>
      </c>
      <c r="CW107" s="659">
        <v>0</v>
      </c>
      <c r="CX107" s="659">
        <v>3150</v>
      </c>
      <c r="CY107" s="659">
        <v>0</v>
      </c>
      <c r="CZ107" s="659">
        <v>0</v>
      </c>
      <c r="DA107" s="659">
        <v>3150</v>
      </c>
      <c r="DB107" s="659">
        <v>872</v>
      </c>
      <c r="DC107" s="659">
        <v>0</v>
      </c>
      <c r="DD107" s="659">
        <v>0</v>
      </c>
      <c r="DE107" s="659">
        <v>84470</v>
      </c>
      <c r="DF107" s="659">
        <v>0</v>
      </c>
      <c r="DG107" s="659">
        <v>0</v>
      </c>
      <c r="DH107" s="659">
        <v>82044</v>
      </c>
      <c r="DI107" s="659">
        <v>412</v>
      </c>
      <c r="DJ107" s="659">
        <v>0</v>
      </c>
      <c r="DK107" s="659">
        <v>0</v>
      </c>
      <c r="DL107" s="659">
        <v>24950</v>
      </c>
      <c r="DM107" s="659">
        <v>0</v>
      </c>
      <c r="DN107" s="659">
        <v>0</v>
      </c>
      <c r="DO107" s="659">
        <v>23960</v>
      </c>
      <c r="DP107" s="659">
        <v>0</v>
      </c>
      <c r="DQ107" s="659">
        <v>0</v>
      </c>
      <c r="DR107" s="659">
        <v>0</v>
      </c>
      <c r="DS107" s="659">
        <v>0</v>
      </c>
      <c r="DT107" s="659">
        <v>0</v>
      </c>
      <c r="DU107" s="659">
        <v>0</v>
      </c>
      <c r="DV107" s="659">
        <v>0</v>
      </c>
      <c r="DW107" s="659">
        <v>38</v>
      </c>
      <c r="DX107" s="659">
        <v>0</v>
      </c>
      <c r="DY107" s="659">
        <v>0</v>
      </c>
      <c r="DZ107" s="659">
        <v>6858</v>
      </c>
      <c r="EA107" s="659">
        <v>0</v>
      </c>
      <c r="EB107" s="659">
        <v>0</v>
      </c>
      <c r="EC107" s="659">
        <v>6818</v>
      </c>
      <c r="ED107" s="659">
        <v>410</v>
      </c>
      <c r="EE107" s="659">
        <v>0</v>
      </c>
      <c r="EF107" s="659">
        <v>0</v>
      </c>
      <c r="EG107" s="659">
        <v>16580</v>
      </c>
      <c r="EH107" s="659">
        <v>0</v>
      </c>
      <c r="EI107" s="659">
        <v>0</v>
      </c>
      <c r="EJ107" s="659">
        <v>16365</v>
      </c>
      <c r="EK107" s="659">
        <v>83</v>
      </c>
      <c r="EL107" s="659">
        <v>0</v>
      </c>
      <c r="EM107" s="659">
        <v>0</v>
      </c>
      <c r="EN107" s="659">
        <v>6258</v>
      </c>
      <c r="EO107" s="659">
        <v>0</v>
      </c>
      <c r="EP107" s="659">
        <v>0</v>
      </c>
      <c r="EQ107" s="659">
        <v>6188</v>
      </c>
    </row>
    <row r="108" spans="1:147" ht="13.95" customHeight="1" x14ac:dyDescent="0.3">
      <c r="A108" s="657" t="s">
        <v>1764</v>
      </c>
      <c r="B108" s="658" t="s">
        <v>269</v>
      </c>
      <c r="C108" s="659">
        <v>543</v>
      </c>
      <c r="D108" s="659">
        <v>0</v>
      </c>
      <c r="E108" s="659">
        <v>0</v>
      </c>
      <c r="F108" s="659">
        <v>144154</v>
      </c>
      <c r="G108" s="659">
        <v>0</v>
      </c>
      <c r="H108" s="659">
        <v>0</v>
      </c>
      <c r="I108" s="659">
        <v>136510</v>
      </c>
      <c r="J108" s="801">
        <v>51</v>
      </c>
      <c r="K108" s="659">
        <v>0</v>
      </c>
      <c r="L108" s="659">
        <v>0</v>
      </c>
      <c r="M108" s="659">
        <v>17160</v>
      </c>
      <c r="N108" s="659">
        <v>0</v>
      </c>
      <c r="O108" s="659">
        <v>0</v>
      </c>
      <c r="P108" s="659">
        <v>17160</v>
      </c>
      <c r="Q108" s="801">
        <v>0</v>
      </c>
      <c r="R108" s="659">
        <v>0</v>
      </c>
      <c r="S108" s="659">
        <v>0</v>
      </c>
      <c r="T108" s="659">
        <v>0</v>
      </c>
      <c r="U108" s="659">
        <v>0</v>
      </c>
      <c r="V108" s="659">
        <v>0</v>
      </c>
      <c r="W108" s="801">
        <v>4</v>
      </c>
      <c r="X108" s="659">
        <v>0</v>
      </c>
      <c r="Y108" s="659">
        <v>0</v>
      </c>
      <c r="Z108" s="659">
        <v>500</v>
      </c>
      <c r="AA108" s="659">
        <v>0</v>
      </c>
      <c r="AB108" s="659">
        <v>0</v>
      </c>
      <c r="AC108" s="659">
        <v>480</v>
      </c>
      <c r="AD108" s="801">
        <v>35</v>
      </c>
      <c r="AE108" s="659">
        <v>0</v>
      </c>
      <c r="AF108" s="659">
        <v>0</v>
      </c>
      <c r="AG108" s="659">
        <v>10384</v>
      </c>
      <c r="AH108" s="659">
        <v>0</v>
      </c>
      <c r="AI108" s="659">
        <v>0</v>
      </c>
      <c r="AJ108" s="659">
        <v>10384</v>
      </c>
      <c r="AK108" s="801">
        <v>6</v>
      </c>
      <c r="AL108" s="659">
        <v>0</v>
      </c>
      <c r="AM108" s="659">
        <v>1300</v>
      </c>
      <c r="AN108" s="659">
        <v>0</v>
      </c>
      <c r="AO108" s="659">
        <v>0</v>
      </c>
      <c r="AP108" s="659">
        <v>1300</v>
      </c>
      <c r="AQ108" s="801">
        <v>250</v>
      </c>
      <c r="AR108" s="659">
        <v>0</v>
      </c>
      <c r="AS108" s="659">
        <v>0</v>
      </c>
      <c r="AT108" s="659">
        <v>73110</v>
      </c>
      <c r="AU108" s="659">
        <v>0</v>
      </c>
      <c r="AV108" s="659">
        <v>0</v>
      </c>
      <c r="AW108" s="659">
        <v>66550</v>
      </c>
      <c r="AX108" s="659">
        <v>6</v>
      </c>
      <c r="AY108" s="659">
        <v>0</v>
      </c>
      <c r="AZ108" s="659">
        <v>0</v>
      </c>
      <c r="BA108" s="659">
        <v>2218</v>
      </c>
      <c r="BB108" s="659">
        <v>0</v>
      </c>
      <c r="BC108" s="659">
        <v>0</v>
      </c>
      <c r="BD108" s="659">
        <v>2110</v>
      </c>
      <c r="BE108" s="801">
        <v>22</v>
      </c>
      <c r="BF108" s="659">
        <v>0</v>
      </c>
      <c r="BG108" s="659">
        <v>0</v>
      </c>
      <c r="BH108" s="659">
        <v>5320</v>
      </c>
      <c r="BI108" s="659">
        <v>0</v>
      </c>
      <c r="BJ108" s="659">
        <v>0</v>
      </c>
      <c r="BK108" s="659">
        <v>5320</v>
      </c>
      <c r="BL108" s="659">
        <v>63</v>
      </c>
      <c r="BM108" s="659">
        <v>0</v>
      </c>
      <c r="BN108" s="659">
        <v>0</v>
      </c>
      <c r="BO108" s="659">
        <v>10120</v>
      </c>
      <c r="BP108" s="659">
        <v>0</v>
      </c>
      <c r="BQ108" s="659">
        <v>0</v>
      </c>
      <c r="BR108" s="659">
        <v>9813</v>
      </c>
      <c r="BS108" s="659">
        <v>0</v>
      </c>
      <c r="BT108" s="659">
        <v>0</v>
      </c>
      <c r="BU108" s="659">
        <v>0</v>
      </c>
      <c r="BV108" s="659">
        <v>0</v>
      </c>
      <c r="BW108" s="659">
        <v>0</v>
      </c>
      <c r="BX108" s="659">
        <v>0</v>
      </c>
      <c r="BY108" s="659">
        <v>0</v>
      </c>
      <c r="BZ108" s="659">
        <v>50</v>
      </c>
      <c r="CA108" s="659">
        <v>0</v>
      </c>
      <c r="CB108" s="659">
        <v>0</v>
      </c>
      <c r="CC108" s="659">
        <v>13092</v>
      </c>
      <c r="CD108" s="659">
        <v>0</v>
      </c>
      <c r="CE108" s="659">
        <v>0</v>
      </c>
      <c r="CF108" s="659">
        <v>12493</v>
      </c>
      <c r="CG108" s="659">
        <v>5</v>
      </c>
      <c r="CH108" s="659">
        <v>0</v>
      </c>
      <c r="CI108" s="659">
        <v>0</v>
      </c>
      <c r="CJ108" s="659">
        <v>750</v>
      </c>
      <c r="CK108" s="659">
        <v>0</v>
      </c>
      <c r="CL108" s="659">
        <v>0</v>
      </c>
      <c r="CM108" s="659">
        <v>700</v>
      </c>
      <c r="CN108" s="659">
        <v>20</v>
      </c>
      <c r="CO108" s="659">
        <v>0</v>
      </c>
      <c r="CP108" s="659">
        <v>0</v>
      </c>
      <c r="CQ108" s="659">
        <v>7000</v>
      </c>
      <c r="CR108" s="659">
        <v>0</v>
      </c>
      <c r="CS108" s="659">
        <v>0</v>
      </c>
      <c r="CT108" s="659">
        <v>7000</v>
      </c>
      <c r="CU108" s="659">
        <v>0</v>
      </c>
      <c r="CV108" s="659">
        <v>0</v>
      </c>
      <c r="CW108" s="659">
        <v>0</v>
      </c>
      <c r="CX108" s="659">
        <v>0</v>
      </c>
      <c r="CY108" s="659">
        <v>0</v>
      </c>
      <c r="CZ108" s="659">
        <v>0</v>
      </c>
      <c r="DA108" s="659">
        <v>0</v>
      </c>
      <c r="DB108" s="659">
        <v>0</v>
      </c>
      <c r="DC108" s="659">
        <v>0</v>
      </c>
      <c r="DD108" s="659">
        <v>0</v>
      </c>
      <c r="DE108" s="659">
        <v>0</v>
      </c>
      <c r="DF108" s="659">
        <v>0</v>
      </c>
      <c r="DG108" s="659">
        <v>0</v>
      </c>
      <c r="DH108" s="659">
        <v>0</v>
      </c>
      <c r="DI108" s="659">
        <v>30</v>
      </c>
      <c r="DJ108" s="659">
        <v>0</v>
      </c>
      <c r="DK108" s="659">
        <v>0</v>
      </c>
      <c r="DL108" s="659">
        <v>3000</v>
      </c>
      <c r="DM108" s="659">
        <v>0</v>
      </c>
      <c r="DN108" s="659">
        <v>0</v>
      </c>
      <c r="DO108" s="659">
        <v>3000</v>
      </c>
      <c r="DP108" s="659">
        <v>0</v>
      </c>
      <c r="DQ108" s="659">
        <v>0</v>
      </c>
      <c r="DR108" s="659">
        <v>0</v>
      </c>
      <c r="DS108" s="659">
        <v>0</v>
      </c>
      <c r="DT108" s="659">
        <v>0</v>
      </c>
      <c r="DU108" s="659">
        <v>0</v>
      </c>
      <c r="DV108" s="659">
        <v>0</v>
      </c>
      <c r="DW108" s="659">
        <v>0</v>
      </c>
      <c r="DX108" s="659">
        <v>0</v>
      </c>
      <c r="DY108" s="659">
        <v>0</v>
      </c>
      <c r="DZ108" s="659">
        <v>0</v>
      </c>
      <c r="EA108" s="659">
        <v>0</v>
      </c>
      <c r="EB108" s="659">
        <v>0</v>
      </c>
      <c r="EC108" s="659">
        <v>0</v>
      </c>
      <c r="ED108" s="659">
        <v>0</v>
      </c>
      <c r="EE108" s="659">
        <v>0</v>
      </c>
      <c r="EF108" s="659">
        <v>0</v>
      </c>
      <c r="EG108" s="659">
        <v>0</v>
      </c>
      <c r="EH108" s="659">
        <v>0</v>
      </c>
      <c r="EI108" s="659">
        <v>0</v>
      </c>
      <c r="EJ108" s="659">
        <v>0</v>
      </c>
      <c r="EK108" s="659">
        <v>1</v>
      </c>
      <c r="EL108" s="659">
        <v>0</v>
      </c>
      <c r="EM108" s="659">
        <v>0</v>
      </c>
      <c r="EN108" s="659">
        <v>200</v>
      </c>
      <c r="EO108" s="659">
        <v>0</v>
      </c>
      <c r="EP108" s="659">
        <v>0</v>
      </c>
      <c r="EQ108" s="659">
        <v>200</v>
      </c>
    </row>
    <row r="109" spans="1:147" ht="13.95" customHeight="1" x14ac:dyDescent="0.3">
      <c r="A109" s="657" t="s">
        <v>1765</v>
      </c>
      <c r="B109" s="658" t="s">
        <v>269</v>
      </c>
      <c r="C109" s="659">
        <v>0</v>
      </c>
      <c r="D109" s="659">
        <v>0</v>
      </c>
      <c r="E109" s="659">
        <v>0</v>
      </c>
      <c r="F109" s="659">
        <v>0</v>
      </c>
      <c r="G109" s="659">
        <v>0</v>
      </c>
      <c r="H109" s="659">
        <v>0</v>
      </c>
      <c r="I109" s="659">
        <v>0</v>
      </c>
      <c r="J109" s="801">
        <v>0</v>
      </c>
      <c r="K109" s="659">
        <v>0</v>
      </c>
      <c r="L109" s="659">
        <v>0</v>
      </c>
      <c r="M109" s="659">
        <v>0</v>
      </c>
      <c r="N109" s="659">
        <v>0</v>
      </c>
      <c r="O109" s="659">
        <v>0</v>
      </c>
      <c r="P109" s="659">
        <v>0</v>
      </c>
      <c r="Q109" s="801">
        <v>0</v>
      </c>
      <c r="R109" s="659">
        <v>0</v>
      </c>
      <c r="S109" s="659">
        <v>0</v>
      </c>
      <c r="T109" s="659">
        <v>0</v>
      </c>
      <c r="U109" s="659">
        <v>0</v>
      </c>
      <c r="V109" s="659">
        <v>0</v>
      </c>
      <c r="W109" s="801">
        <v>0</v>
      </c>
      <c r="X109" s="659">
        <v>0</v>
      </c>
      <c r="Y109" s="659">
        <v>0</v>
      </c>
      <c r="Z109" s="659">
        <v>0</v>
      </c>
      <c r="AA109" s="659">
        <v>0</v>
      </c>
      <c r="AB109" s="659">
        <v>0</v>
      </c>
      <c r="AC109" s="659">
        <v>0</v>
      </c>
      <c r="AD109" s="801">
        <v>0</v>
      </c>
      <c r="AE109" s="659">
        <v>0</v>
      </c>
      <c r="AF109" s="659">
        <v>0</v>
      </c>
      <c r="AG109" s="659">
        <v>0</v>
      </c>
      <c r="AH109" s="659">
        <v>0</v>
      </c>
      <c r="AI109" s="659">
        <v>0</v>
      </c>
      <c r="AJ109" s="659">
        <v>0</v>
      </c>
      <c r="AK109" s="801">
        <v>0</v>
      </c>
      <c r="AL109" s="659">
        <v>0</v>
      </c>
      <c r="AM109" s="659">
        <v>0</v>
      </c>
      <c r="AN109" s="659">
        <v>0</v>
      </c>
      <c r="AO109" s="659">
        <v>0</v>
      </c>
      <c r="AP109" s="659">
        <v>0</v>
      </c>
      <c r="AQ109" s="801">
        <v>0</v>
      </c>
      <c r="AR109" s="659">
        <v>0</v>
      </c>
      <c r="AS109" s="659">
        <v>0</v>
      </c>
      <c r="AT109" s="659">
        <v>0</v>
      </c>
      <c r="AU109" s="659">
        <v>0</v>
      </c>
      <c r="AV109" s="659">
        <v>0</v>
      </c>
      <c r="AW109" s="659">
        <v>0</v>
      </c>
      <c r="AX109" s="659">
        <v>0</v>
      </c>
      <c r="AY109" s="659">
        <v>0</v>
      </c>
      <c r="AZ109" s="659">
        <v>0</v>
      </c>
      <c r="BA109" s="659">
        <v>0</v>
      </c>
      <c r="BB109" s="659">
        <v>0</v>
      </c>
      <c r="BC109" s="659">
        <v>0</v>
      </c>
      <c r="BD109" s="659">
        <v>0</v>
      </c>
      <c r="BE109" s="801">
        <v>0</v>
      </c>
      <c r="BF109" s="659">
        <v>0</v>
      </c>
      <c r="BG109" s="659">
        <v>0</v>
      </c>
      <c r="BH109" s="659">
        <v>0</v>
      </c>
      <c r="BI109" s="659">
        <v>0</v>
      </c>
      <c r="BJ109" s="659">
        <v>0</v>
      </c>
      <c r="BK109" s="659">
        <v>0</v>
      </c>
      <c r="BL109" s="659">
        <v>0</v>
      </c>
      <c r="BM109" s="659">
        <v>0</v>
      </c>
      <c r="BN109" s="659">
        <v>0</v>
      </c>
      <c r="BO109" s="659">
        <v>0</v>
      </c>
      <c r="BP109" s="659">
        <v>0</v>
      </c>
      <c r="BQ109" s="659">
        <v>0</v>
      </c>
      <c r="BR109" s="659">
        <v>0</v>
      </c>
      <c r="BS109" s="659">
        <v>0</v>
      </c>
      <c r="BT109" s="659">
        <v>0</v>
      </c>
      <c r="BU109" s="659">
        <v>0</v>
      </c>
      <c r="BV109" s="659">
        <v>0</v>
      </c>
      <c r="BW109" s="659">
        <v>0</v>
      </c>
      <c r="BX109" s="659">
        <v>0</v>
      </c>
      <c r="BY109" s="659">
        <v>0</v>
      </c>
      <c r="BZ109" s="659">
        <v>0</v>
      </c>
      <c r="CA109" s="659">
        <v>0</v>
      </c>
      <c r="CB109" s="659">
        <v>0</v>
      </c>
      <c r="CC109" s="659">
        <v>0</v>
      </c>
      <c r="CD109" s="659">
        <v>0</v>
      </c>
      <c r="CE109" s="659">
        <v>0</v>
      </c>
      <c r="CF109" s="659">
        <v>0</v>
      </c>
      <c r="CG109" s="659">
        <v>0</v>
      </c>
      <c r="CH109" s="659">
        <v>0</v>
      </c>
      <c r="CI109" s="659">
        <v>0</v>
      </c>
      <c r="CJ109" s="659">
        <v>0</v>
      </c>
      <c r="CK109" s="659">
        <v>0</v>
      </c>
      <c r="CL109" s="659">
        <v>0</v>
      </c>
      <c r="CM109" s="659">
        <v>0</v>
      </c>
      <c r="CN109" s="659">
        <v>0</v>
      </c>
      <c r="CO109" s="659">
        <v>0</v>
      </c>
      <c r="CP109" s="659">
        <v>0</v>
      </c>
      <c r="CQ109" s="659">
        <v>0</v>
      </c>
      <c r="CR109" s="659">
        <v>0</v>
      </c>
      <c r="CS109" s="659">
        <v>0</v>
      </c>
      <c r="CT109" s="659">
        <v>0</v>
      </c>
      <c r="CU109" s="659">
        <v>0</v>
      </c>
      <c r="CV109" s="659">
        <v>0</v>
      </c>
      <c r="CW109" s="659">
        <v>0</v>
      </c>
      <c r="CX109" s="659">
        <v>0</v>
      </c>
      <c r="CY109" s="659">
        <v>0</v>
      </c>
      <c r="CZ109" s="659">
        <v>0</v>
      </c>
      <c r="DA109" s="659">
        <v>0</v>
      </c>
      <c r="DB109" s="659">
        <v>0</v>
      </c>
      <c r="DC109" s="659">
        <v>0</v>
      </c>
      <c r="DD109" s="659">
        <v>0</v>
      </c>
      <c r="DE109" s="659">
        <v>0</v>
      </c>
      <c r="DF109" s="659">
        <v>0</v>
      </c>
      <c r="DG109" s="659">
        <v>0</v>
      </c>
      <c r="DH109" s="659">
        <v>0</v>
      </c>
      <c r="DI109" s="659">
        <v>0</v>
      </c>
      <c r="DJ109" s="659">
        <v>0</v>
      </c>
      <c r="DK109" s="659">
        <v>0</v>
      </c>
      <c r="DL109" s="659">
        <v>0</v>
      </c>
      <c r="DM109" s="659">
        <v>0</v>
      </c>
      <c r="DN109" s="659">
        <v>0</v>
      </c>
      <c r="DO109" s="659">
        <v>0</v>
      </c>
      <c r="DP109" s="659">
        <v>0</v>
      </c>
      <c r="DQ109" s="659">
        <v>0</v>
      </c>
      <c r="DR109" s="659">
        <v>0</v>
      </c>
      <c r="DS109" s="659">
        <v>0</v>
      </c>
      <c r="DT109" s="659">
        <v>0</v>
      </c>
      <c r="DU109" s="659">
        <v>0</v>
      </c>
      <c r="DV109" s="659">
        <v>0</v>
      </c>
      <c r="DW109" s="659">
        <v>0</v>
      </c>
      <c r="DX109" s="659">
        <v>0</v>
      </c>
      <c r="DY109" s="659">
        <v>0</v>
      </c>
      <c r="DZ109" s="659">
        <v>0</v>
      </c>
      <c r="EA109" s="659">
        <v>0</v>
      </c>
      <c r="EB109" s="659">
        <v>0</v>
      </c>
      <c r="EC109" s="659">
        <v>0</v>
      </c>
      <c r="ED109" s="659">
        <v>0</v>
      </c>
      <c r="EE109" s="659">
        <v>0</v>
      </c>
      <c r="EF109" s="659">
        <v>0</v>
      </c>
      <c r="EG109" s="659">
        <v>0</v>
      </c>
      <c r="EH109" s="659">
        <v>0</v>
      </c>
      <c r="EI109" s="659">
        <v>0</v>
      </c>
      <c r="EJ109" s="659">
        <v>0</v>
      </c>
      <c r="EK109" s="659">
        <v>0</v>
      </c>
      <c r="EL109" s="659">
        <v>0</v>
      </c>
      <c r="EM109" s="659">
        <v>0</v>
      </c>
      <c r="EN109" s="659">
        <v>0</v>
      </c>
      <c r="EO109" s="659">
        <v>0</v>
      </c>
      <c r="EP109" s="659">
        <v>0</v>
      </c>
      <c r="EQ109" s="659">
        <v>0</v>
      </c>
    </row>
    <row r="110" spans="1:147" ht="13.95" customHeight="1" x14ac:dyDescent="0.3">
      <c r="A110" s="657" t="s">
        <v>1766</v>
      </c>
      <c r="B110" s="658" t="s">
        <v>269</v>
      </c>
      <c r="C110" s="659">
        <v>367</v>
      </c>
      <c r="D110" s="659">
        <v>0</v>
      </c>
      <c r="E110" s="659">
        <v>0</v>
      </c>
      <c r="F110" s="659">
        <v>65048</v>
      </c>
      <c r="G110" s="659">
        <v>0</v>
      </c>
      <c r="H110" s="659">
        <v>0</v>
      </c>
      <c r="I110" s="659">
        <v>63034</v>
      </c>
      <c r="J110" s="801">
        <v>14</v>
      </c>
      <c r="K110" s="659">
        <v>0</v>
      </c>
      <c r="L110" s="659">
        <v>0</v>
      </c>
      <c r="M110" s="659">
        <v>1990</v>
      </c>
      <c r="N110" s="659">
        <v>0</v>
      </c>
      <c r="O110" s="659">
        <v>0</v>
      </c>
      <c r="P110" s="659">
        <v>1990</v>
      </c>
      <c r="Q110" s="801">
        <v>0</v>
      </c>
      <c r="R110" s="659">
        <v>0</v>
      </c>
      <c r="S110" s="659">
        <v>0</v>
      </c>
      <c r="T110" s="659">
        <v>0</v>
      </c>
      <c r="U110" s="659">
        <v>0</v>
      </c>
      <c r="V110" s="659">
        <v>0</v>
      </c>
      <c r="W110" s="801">
        <v>47</v>
      </c>
      <c r="X110" s="659">
        <v>0</v>
      </c>
      <c r="Y110" s="659">
        <v>0</v>
      </c>
      <c r="Z110" s="659">
        <v>11530</v>
      </c>
      <c r="AA110" s="659">
        <v>0</v>
      </c>
      <c r="AB110" s="659">
        <v>0</v>
      </c>
      <c r="AC110" s="659">
        <v>11510</v>
      </c>
      <c r="AD110" s="801">
        <v>0</v>
      </c>
      <c r="AE110" s="659">
        <v>0</v>
      </c>
      <c r="AF110" s="659">
        <v>0</v>
      </c>
      <c r="AG110" s="659">
        <v>0</v>
      </c>
      <c r="AH110" s="659">
        <v>0</v>
      </c>
      <c r="AI110" s="659">
        <v>0</v>
      </c>
      <c r="AJ110" s="659">
        <v>0</v>
      </c>
      <c r="AK110" s="801">
        <v>0</v>
      </c>
      <c r="AL110" s="659">
        <v>0</v>
      </c>
      <c r="AM110" s="659">
        <v>0</v>
      </c>
      <c r="AN110" s="659">
        <v>0</v>
      </c>
      <c r="AO110" s="659">
        <v>0</v>
      </c>
      <c r="AP110" s="659">
        <v>0</v>
      </c>
      <c r="AQ110" s="801">
        <v>119</v>
      </c>
      <c r="AR110" s="659">
        <v>0</v>
      </c>
      <c r="AS110" s="659">
        <v>0</v>
      </c>
      <c r="AT110" s="659">
        <v>13400</v>
      </c>
      <c r="AU110" s="659">
        <v>0</v>
      </c>
      <c r="AV110" s="659">
        <v>0</v>
      </c>
      <c r="AW110" s="659">
        <v>12527</v>
      </c>
      <c r="AX110" s="659">
        <v>0</v>
      </c>
      <c r="AY110" s="659">
        <v>0</v>
      </c>
      <c r="AZ110" s="659">
        <v>0</v>
      </c>
      <c r="BA110" s="659">
        <v>0</v>
      </c>
      <c r="BB110" s="659">
        <v>0</v>
      </c>
      <c r="BC110" s="659">
        <v>0</v>
      </c>
      <c r="BD110" s="659">
        <v>0</v>
      </c>
      <c r="BE110" s="801">
        <v>0</v>
      </c>
      <c r="BF110" s="659">
        <v>0</v>
      </c>
      <c r="BG110" s="659">
        <v>0</v>
      </c>
      <c r="BH110" s="659">
        <v>0</v>
      </c>
      <c r="BI110" s="659">
        <v>0</v>
      </c>
      <c r="BJ110" s="659">
        <v>0</v>
      </c>
      <c r="BK110" s="659">
        <v>0</v>
      </c>
      <c r="BL110" s="659">
        <v>13</v>
      </c>
      <c r="BM110" s="659">
        <v>0</v>
      </c>
      <c r="BN110" s="659">
        <v>0</v>
      </c>
      <c r="BO110" s="659">
        <v>2145</v>
      </c>
      <c r="BP110" s="659">
        <v>0</v>
      </c>
      <c r="BQ110" s="659">
        <v>0</v>
      </c>
      <c r="BR110" s="659">
        <v>2143</v>
      </c>
      <c r="BS110" s="659">
        <v>0</v>
      </c>
      <c r="BT110" s="659">
        <v>0</v>
      </c>
      <c r="BU110" s="659">
        <v>0</v>
      </c>
      <c r="BV110" s="659">
        <v>0</v>
      </c>
      <c r="BW110" s="659">
        <v>0</v>
      </c>
      <c r="BX110" s="659">
        <v>0</v>
      </c>
      <c r="BY110" s="659">
        <v>0</v>
      </c>
      <c r="BZ110" s="659">
        <v>2</v>
      </c>
      <c r="CA110" s="659">
        <v>0</v>
      </c>
      <c r="CB110" s="659">
        <v>0</v>
      </c>
      <c r="CC110" s="659">
        <v>465</v>
      </c>
      <c r="CD110" s="659">
        <v>0</v>
      </c>
      <c r="CE110" s="659">
        <v>0</v>
      </c>
      <c r="CF110" s="659">
        <v>459</v>
      </c>
      <c r="CG110" s="659">
        <v>4</v>
      </c>
      <c r="CH110" s="659">
        <v>0</v>
      </c>
      <c r="CI110" s="659">
        <v>0</v>
      </c>
      <c r="CJ110" s="659">
        <v>1060</v>
      </c>
      <c r="CK110" s="659">
        <v>0</v>
      </c>
      <c r="CL110" s="659">
        <v>0</v>
      </c>
      <c r="CM110" s="659">
        <v>970</v>
      </c>
      <c r="CN110" s="659">
        <v>0</v>
      </c>
      <c r="CO110" s="659">
        <v>0</v>
      </c>
      <c r="CP110" s="659">
        <v>0</v>
      </c>
      <c r="CQ110" s="659">
        <v>0</v>
      </c>
      <c r="CR110" s="659">
        <v>0</v>
      </c>
      <c r="CS110" s="659">
        <v>0</v>
      </c>
      <c r="CT110" s="659">
        <v>0</v>
      </c>
      <c r="CU110" s="659">
        <v>15</v>
      </c>
      <c r="CV110" s="659">
        <v>0</v>
      </c>
      <c r="CW110" s="659">
        <v>0</v>
      </c>
      <c r="CX110" s="659">
        <v>2250</v>
      </c>
      <c r="CY110" s="659">
        <v>0</v>
      </c>
      <c r="CZ110" s="659">
        <v>0</v>
      </c>
      <c r="DA110" s="659">
        <v>2250</v>
      </c>
      <c r="DB110" s="659">
        <v>40</v>
      </c>
      <c r="DC110" s="659">
        <v>0</v>
      </c>
      <c r="DD110" s="659">
        <v>0</v>
      </c>
      <c r="DE110" s="659">
        <v>7200</v>
      </c>
      <c r="DF110" s="659">
        <v>0</v>
      </c>
      <c r="DG110" s="659">
        <v>0</v>
      </c>
      <c r="DH110" s="659">
        <v>6800</v>
      </c>
      <c r="DI110" s="659">
        <v>20</v>
      </c>
      <c r="DJ110" s="659">
        <v>0</v>
      </c>
      <c r="DK110" s="659">
        <v>0</v>
      </c>
      <c r="DL110" s="659">
        <v>4000</v>
      </c>
      <c r="DM110" s="659">
        <v>0</v>
      </c>
      <c r="DN110" s="659">
        <v>0</v>
      </c>
      <c r="DO110" s="659">
        <v>3500</v>
      </c>
      <c r="DP110" s="659">
        <v>30</v>
      </c>
      <c r="DQ110" s="659">
        <v>0</v>
      </c>
      <c r="DR110" s="659">
        <v>0</v>
      </c>
      <c r="DS110" s="659">
        <v>6263</v>
      </c>
      <c r="DT110" s="659">
        <v>0</v>
      </c>
      <c r="DU110" s="659">
        <v>0</v>
      </c>
      <c r="DV110" s="659">
        <v>6250</v>
      </c>
      <c r="DW110" s="659">
        <v>63</v>
      </c>
      <c r="DX110" s="659">
        <v>0</v>
      </c>
      <c r="DY110" s="659">
        <v>0</v>
      </c>
      <c r="DZ110" s="659">
        <v>14745</v>
      </c>
      <c r="EA110" s="659">
        <v>0</v>
      </c>
      <c r="EB110" s="659">
        <v>0</v>
      </c>
      <c r="EC110" s="659">
        <v>14635</v>
      </c>
      <c r="ED110" s="659">
        <v>0</v>
      </c>
      <c r="EE110" s="659">
        <v>0</v>
      </c>
      <c r="EF110" s="659">
        <v>0</v>
      </c>
      <c r="EG110" s="659">
        <v>0</v>
      </c>
      <c r="EH110" s="659">
        <v>0</v>
      </c>
      <c r="EI110" s="659">
        <v>0</v>
      </c>
      <c r="EJ110" s="659">
        <v>0</v>
      </c>
      <c r="EK110" s="659">
        <v>0</v>
      </c>
      <c r="EL110" s="659">
        <v>0</v>
      </c>
      <c r="EM110" s="659">
        <v>0</v>
      </c>
      <c r="EN110" s="659">
        <v>0</v>
      </c>
      <c r="EO110" s="659">
        <v>0</v>
      </c>
      <c r="EP110" s="659">
        <v>0</v>
      </c>
      <c r="EQ110" s="659">
        <v>0</v>
      </c>
    </row>
    <row r="111" spans="1:147" ht="20.7" customHeight="1" x14ac:dyDescent="0.3">
      <c r="A111" s="657" t="s">
        <v>1767</v>
      </c>
      <c r="B111" s="658" t="s">
        <v>269</v>
      </c>
      <c r="C111" s="659">
        <v>0</v>
      </c>
      <c r="D111" s="659">
        <v>0</v>
      </c>
      <c r="E111" s="659">
        <v>0</v>
      </c>
      <c r="F111" s="659">
        <v>0</v>
      </c>
      <c r="G111" s="659">
        <v>0</v>
      </c>
      <c r="H111" s="659">
        <v>0</v>
      </c>
      <c r="I111" s="659">
        <v>0</v>
      </c>
      <c r="J111" s="801">
        <v>0</v>
      </c>
      <c r="K111" s="659">
        <v>0</v>
      </c>
      <c r="L111" s="659">
        <v>0</v>
      </c>
      <c r="M111" s="659">
        <v>0</v>
      </c>
      <c r="N111" s="659">
        <v>0</v>
      </c>
      <c r="O111" s="659">
        <v>0</v>
      </c>
      <c r="P111" s="659">
        <v>0</v>
      </c>
      <c r="Q111" s="801">
        <v>0</v>
      </c>
      <c r="R111" s="659">
        <v>0</v>
      </c>
      <c r="S111" s="659">
        <v>0</v>
      </c>
      <c r="T111" s="659">
        <v>0</v>
      </c>
      <c r="U111" s="659">
        <v>0</v>
      </c>
      <c r="V111" s="659">
        <v>0</v>
      </c>
      <c r="W111" s="801">
        <v>0</v>
      </c>
      <c r="X111" s="659">
        <v>0</v>
      </c>
      <c r="Y111" s="659">
        <v>0</v>
      </c>
      <c r="Z111" s="659">
        <v>0</v>
      </c>
      <c r="AA111" s="659">
        <v>0</v>
      </c>
      <c r="AB111" s="659">
        <v>0</v>
      </c>
      <c r="AC111" s="659">
        <v>0</v>
      </c>
      <c r="AD111" s="801">
        <v>0</v>
      </c>
      <c r="AE111" s="659">
        <v>0</v>
      </c>
      <c r="AF111" s="659">
        <v>0</v>
      </c>
      <c r="AG111" s="659">
        <v>0</v>
      </c>
      <c r="AH111" s="659">
        <v>0</v>
      </c>
      <c r="AI111" s="659">
        <v>0</v>
      </c>
      <c r="AJ111" s="659">
        <v>0</v>
      </c>
      <c r="AK111" s="801">
        <v>0</v>
      </c>
      <c r="AL111" s="659">
        <v>0</v>
      </c>
      <c r="AM111" s="659">
        <v>0</v>
      </c>
      <c r="AN111" s="659">
        <v>0</v>
      </c>
      <c r="AO111" s="659">
        <v>0</v>
      </c>
      <c r="AP111" s="659">
        <v>0</v>
      </c>
      <c r="AQ111" s="801">
        <v>0</v>
      </c>
      <c r="AR111" s="659">
        <v>0</v>
      </c>
      <c r="AS111" s="659">
        <v>0</v>
      </c>
      <c r="AT111" s="659">
        <v>0</v>
      </c>
      <c r="AU111" s="659">
        <v>0</v>
      </c>
      <c r="AV111" s="659">
        <v>0</v>
      </c>
      <c r="AW111" s="659">
        <v>0</v>
      </c>
      <c r="AX111" s="659">
        <v>0</v>
      </c>
      <c r="AY111" s="659">
        <v>0</v>
      </c>
      <c r="AZ111" s="659">
        <v>0</v>
      </c>
      <c r="BA111" s="659">
        <v>0</v>
      </c>
      <c r="BB111" s="659">
        <v>0</v>
      </c>
      <c r="BC111" s="659">
        <v>0</v>
      </c>
      <c r="BD111" s="659">
        <v>0</v>
      </c>
      <c r="BE111" s="801">
        <v>0</v>
      </c>
      <c r="BF111" s="659">
        <v>0</v>
      </c>
      <c r="BG111" s="659">
        <v>0</v>
      </c>
      <c r="BH111" s="659">
        <v>0</v>
      </c>
      <c r="BI111" s="659">
        <v>0</v>
      </c>
      <c r="BJ111" s="659">
        <v>0</v>
      </c>
      <c r="BK111" s="659">
        <v>0</v>
      </c>
      <c r="BL111" s="659">
        <v>0</v>
      </c>
      <c r="BM111" s="659">
        <v>0</v>
      </c>
      <c r="BN111" s="659">
        <v>0</v>
      </c>
      <c r="BO111" s="659">
        <v>0</v>
      </c>
      <c r="BP111" s="659">
        <v>0</v>
      </c>
      <c r="BQ111" s="659">
        <v>0</v>
      </c>
      <c r="BR111" s="659">
        <v>0</v>
      </c>
      <c r="BS111" s="659">
        <v>0</v>
      </c>
      <c r="BT111" s="659">
        <v>0</v>
      </c>
      <c r="BU111" s="659">
        <v>0</v>
      </c>
      <c r="BV111" s="659">
        <v>0</v>
      </c>
      <c r="BW111" s="659">
        <v>0</v>
      </c>
      <c r="BX111" s="659">
        <v>0</v>
      </c>
      <c r="BY111" s="659">
        <v>0</v>
      </c>
      <c r="BZ111" s="659">
        <v>0</v>
      </c>
      <c r="CA111" s="659">
        <v>0</v>
      </c>
      <c r="CB111" s="659">
        <v>0</v>
      </c>
      <c r="CC111" s="659">
        <v>0</v>
      </c>
      <c r="CD111" s="659">
        <v>0</v>
      </c>
      <c r="CE111" s="659">
        <v>0</v>
      </c>
      <c r="CF111" s="659">
        <v>0</v>
      </c>
      <c r="CG111" s="659">
        <v>0</v>
      </c>
      <c r="CH111" s="659">
        <v>0</v>
      </c>
      <c r="CI111" s="659">
        <v>0</v>
      </c>
      <c r="CJ111" s="659">
        <v>0</v>
      </c>
      <c r="CK111" s="659">
        <v>0</v>
      </c>
      <c r="CL111" s="659">
        <v>0</v>
      </c>
      <c r="CM111" s="659">
        <v>0</v>
      </c>
      <c r="CN111" s="659">
        <v>0</v>
      </c>
      <c r="CO111" s="659">
        <v>0</v>
      </c>
      <c r="CP111" s="659">
        <v>0</v>
      </c>
      <c r="CQ111" s="659">
        <v>0</v>
      </c>
      <c r="CR111" s="659">
        <v>0</v>
      </c>
      <c r="CS111" s="659">
        <v>0</v>
      </c>
      <c r="CT111" s="659">
        <v>0</v>
      </c>
      <c r="CU111" s="659">
        <v>0</v>
      </c>
      <c r="CV111" s="659">
        <v>0</v>
      </c>
      <c r="CW111" s="659">
        <v>0</v>
      </c>
      <c r="CX111" s="659">
        <v>0</v>
      </c>
      <c r="CY111" s="659">
        <v>0</v>
      </c>
      <c r="CZ111" s="659">
        <v>0</v>
      </c>
      <c r="DA111" s="659">
        <v>0</v>
      </c>
      <c r="DB111" s="659">
        <v>0</v>
      </c>
      <c r="DC111" s="659">
        <v>0</v>
      </c>
      <c r="DD111" s="659">
        <v>0</v>
      </c>
      <c r="DE111" s="659">
        <v>0</v>
      </c>
      <c r="DF111" s="659">
        <v>0</v>
      </c>
      <c r="DG111" s="659">
        <v>0</v>
      </c>
      <c r="DH111" s="659">
        <v>0</v>
      </c>
      <c r="DI111" s="659">
        <v>0</v>
      </c>
      <c r="DJ111" s="659">
        <v>0</v>
      </c>
      <c r="DK111" s="659">
        <v>0</v>
      </c>
      <c r="DL111" s="659">
        <v>0</v>
      </c>
      <c r="DM111" s="659">
        <v>0</v>
      </c>
      <c r="DN111" s="659">
        <v>0</v>
      </c>
      <c r="DO111" s="659">
        <v>0</v>
      </c>
      <c r="DP111" s="659">
        <v>0</v>
      </c>
      <c r="DQ111" s="659">
        <v>0</v>
      </c>
      <c r="DR111" s="659">
        <v>0</v>
      </c>
      <c r="DS111" s="659">
        <v>0</v>
      </c>
      <c r="DT111" s="659">
        <v>0</v>
      </c>
      <c r="DU111" s="659">
        <v>0</v>
      </c>
      <c r="DV111" s="659">
        <v>0</v>
      </c>
      <c r="DW111" s="659">
        <v>0</v>
      </c>
      <c r="DX111" s="659">
        <v>0</v>
      </c>
      <c r="DY111" s="659">
        <v>0</v>
      </c>
      <c r="DZ111" s="659">
        <v>0</v>
      </c>
      <c r="EA111" s="659">
        <v>0</v>
      </c>
      <c r="EB111" s="659">
        <v>0</v>
      </c>
      <c r="EC111" s="659">
        <v>0</v>
      </c>
      <c r="ED111" s="659">
        <v>0</v>
      </c>
      <c r="EE111" s="659">
        <v>0</v>
      </c>
      <c r="EF111" s="659">
        <v>0</v>
      </c>
      <c r="EG111" s="659">
        <v>0</v>
      </c>
      <c r="EH111" s="659">
        <v>0</v>
      </c>
      <c r="EI111" s="659">
        <v>0</v>
      </c>
      <c r="EJ111" s="659">
        <v>0</v>
      </c>
      <c r="EK111" s="659">
        <v>0</v>
      </c>
      <c r="EL111" s="659">
        <v>0</v>
      </c>
      <c r="EM111" s="659">
        <v>0</v>
      </c>
      <c r="EN111" s="659">
        <v>0</v>
      </c>
      <c r="EO111" s="659">
        <v>0</v>
      </c>
      <c r="EP111" s="659">
        <v>0</v>
      </c>
      <c r="EQ111" s="659">
        <v>0</v>
      </c>
    </row>
    <row r="112" spans="1:147" ht="13.95" customHeight="1" x14ac:dyDescent="0.3">
      <c r="A112" s="657" t="s">
        <v>1768</v>
      </c>
      <c r="B112" s="658" t="s">
        <v>269</v>
      </c>
      <c r="C112" s="659">
        <v>0</v>
      </c>
      <c r="D112" s="659">
        <v>0</v>
      </c>
      <c r="E112" s="659">
        <v>0</v>
      </c>
      <c r="F112" s="659">
        <v>0</v>
      </c>
      <c r="G112" s="659">
        <v>0</v>
      </c>
      <c r="H112" s="659">
        <v>0</v>
      </c>
      <c r="I112" s="659">
        <v>0</v>
      </c>
      <c r="J112" s="801">
        <v>0</v>
      </c>
      <c r="K112" s="659">
        <v>0</v>
      </c>
      <c r="L112" s="659">
        <v>0</v>
      </c>
      <c r="M112" s="659">
        <v>0</v>
      </c>
      <c r="N112" s="659">
        <v>0</v>
      </c>
      <c r="O112" s="659">
        <v>0</v>
      </c>
      <c r="P112" s="659">
        <v>0</v>
      </c>
      <c r="Q112" s="801">
        <v>0</v>
      </c>
      <c r="R112" s="659">
        <v>0</v>
      </c>
      <c r="S112" s="659">
        <v>0</v>
      </c>
      <c r="T112" s="659">
        <v>0</v>
      </c>
      <c r="U112" s="659">
        <v>0</v>
      </c>
      <c r="V112" s="659">
        <v>0</v>
      </c>
      <c r="W112" s="801">
        <v>0</v>
      </c>
      <c r="X112" s="659">
        <v>0</v>
      </c>
      <c r="Y112" s="659">
        <v>0</v>
      </c>
      <c r="Z112" s="659">
        <v>0</v>
      </c>
      <c r="AA112" s="659">
        <v>0</v>
      </c>
      <c r="AB112" s="659">
        <v>0</v>
      </c>
      <c r="AC112" s="659">
        <v>0</v>
      </c>
      <c r="AD112" s="801">
        <v>0</v>
      </c>
      <c r="AE112" s="659">
        <v>0</v>
      </c>
      <c r="AF112" s="659">
        <v>0</v>
      </c>
      <c r="AG112" s="659">
        <v>0</v>
      </c>
      <c r="AH112" s="659">
        <v>0</v>
      </c>
      <c r="AI112" s="659">
        <v>0</v>
      </c>
      <c r="AJ112" s="659">
        <v>0</v>
      </c>
      <c r="AK112" s="801">
        <v>0</v>
      </c>
      <c r="AL112" s="659">
        <v>0</v>
      </c>
      <c r="AM112" s="659">
        <v>0</v>
      </c>
      <c r="AN112" s="659">
        <v>0</v>
      </c>
      <c r="AO112" s="659">
        <v>0</v>
      </c>
      <c r="AP112" s="659">
        <v>0</v>
      </c>
      <c r="AQ112" s="801">
        <v>0</v>
      </c>
      <c r="AR112" s="659">
        <v>0</v>
      </c>
      <c r="AS112" s="659">
        <v>0</v>
      </c>
      <c r="AT112" s="659">
        <v>0</v>
      </c>
      <c r="AU112" s="659">
        <v>0</v>
      </c>
      <c r="AV112" s="659">
        <v>0</v>
      </c>
      <c r="AW112" s="659">
        <v>0</v>
      </c>
      <c r="AX112" s="659">
        <v>0</v>
      </c>
      <c r="AY112" s="659">
        <v>0</v>
      </c>
      <c r="AZ112" s="659">
        <v>0</v>
      </c>
      <c r="BA112" s="659">
        <v>0</v>
      </c>
      <c r="BB112" s="659">
        <v>0</v>
      </c>
      <c r="BC112" s="659">
        <v>0</v>
      </c>
      <c r="BD112" s="659">
        <v>0</v>
      </c>
      <c r="BE112" s="801">
        <v>0</v>
      </c>
      <c r="BF112" s="659">
        <v>0</v>
      </c>
      <c r="BG112" s="659">
        <v>0</v>
      </c>
      <c r="BH112" s="659">
        <v>0</v>
      </c>
      <c r="BI112" s="659">
        <v>0</v>
      </c>
      <c r="BJ112" s="659">
        <v>0</v>
      </c>
      <c r="BK112" s="659">
        <v>0</v>
      </c>
      <c r="BL112" s="659">
        <v>0</v>
      </c>
      <c r="BM112" s="659">
        <v>0</v>
      </c>
      <c r="BN112" s="659">
        <v>0</v>
      </c>
      <c r="BO112" s="659">
        <v>0</v>
      </c>
      <c r="BP112" s="659">
        <v>0</v>
      </c>
      <c r="BQ112" s="659">
        <v>0</v>
      </c>
      <c r="BR112" s="659">
        <v>0</v>
      </c>
      <c r="BS112" s="659">
        <v>0</v>
      </c>
      <c r="BT112" s="659">
        <v>0</v>
      </c>
      <c r="BU112" s="659">
        <v>0</v>
      </c>
      <c r="BV112" s="659">
        <v>0</v>
      </c>
      <c r="BW112" s="659">
        <v>0</v>
      </c>
      <c r="BX112" s="659">
        <v>0</v>
      </c>
      <c r="BY112" s="659">
        <v>0</v>
      </c>
      <c r="BZ112" s="659">
        <v>0</v>
      </c>
      <c r="CA112" s="659">
        <v>0</v>
      </c>
      <c r="CB112" s="659">
        <v>0</v>
      </c>
      <c r="CC112" s="659">
        <v>0</v>
      </c>
      <c r="CD112" s="659">
        <v>0</v>
      </c>
      <c r="CE112" s="659">
        <v>0</v>
      </c>
      <c r="CF112" s="659">
        <v>0</v>
      </c>
      <c r="CG112" s="659">
        <v>0</v>
      </c>
      <c r="CH112" s="659">
        <v>0</v>
      </c>
      <c r="CI112" s="659">
        <v>0</v>
      </c>
      <c r="CJ112" s="659">
        <v>0</v>
      </c>
      <c r="CK112" s="659">
        <v>0</v>
      </c>
      <c r="CL112" s="659">
        <v>0</v>
      </c>
      <c r="CM112" s="659">
        <v>0</v>
      </c>
      <c r="CN112" s="659">
        <v>0</v>
      </c>
      <c r="CO112" s="659">
        <v>0</v>
      </c>
      <c r="CP112" s="659">
        <v>0</v>
      </c>
      <c r="CQ112" s="659">
        <v>0</v>
      </c>
      <c r="CR112" s="659">
        <v>0</v>
      </c>
      <c r="CS112" s="659">
        <v>0</v>
      </c>
      <c r="CT112" s="659">
        <v>0</v>
      </c>
      <c r="CU112" s="659">
        <v>0</v>
      </c>
      <c r="CV112" s="659">
        <v>0</v>
      </c>
      <c r="CW112" s="659">
        <v>0</v>
      </c>
      <c r="CX112" s="659">
        <v>0</v>
      </c>
      <c r="CY112" s="659">
        <v>0</v>
      </c>
      <c r="CZ112" s="659">
        <v>0</v>
      </c>
      <c r="DA112" s="659">
        <v>0</v>
      </c>
      <c r="DB112" s="659">
        <v>0</v>
      </c>
      <c r="DC112" s="659">
        <v>0</v>
      </c>
      <c r="DD112" s="659">
        <v>0</v>
      </c>
      <c r="DE112" s="659">
        <v>0</v>
      </c>
      <c r="DF112" s="659">
        <v>0</v>
      </c>
      <c r="DG112" s="659">
        <v>0</v>
      </c>
      <c r="DH112" s="659">
        <v>0</v>
      </c>
      <c r="DI112" s="659">
        <v>0</v>
      </c>
      <c r="DJ112" s="659">
        <v>0</v>
      </c>
      <c r="DK112" s="659">
        <v>0</v>
      </c>
      <c r="DL112" s="659">
        <v>0</v>
      </c>
      <c r="DM112" s="659">
        <v>0</v>
      </c>
      <c r="DN112" s="659">
        <v>0</v>
      </c>
      <c r="DO112" s="659">
        <v>0</v>
      </c>
      <c r="DP112" s="659">
        <v>0</v>
      </c>
      <c r="DQ112" s="659">
        <v>0</v>
      </c>
      <c r="DR112" s="659">
        <v>0</v>
      </c>
      <c r="DS112" s="659">
        <v>0</v>
      </c>
      <c r="DT112" s="659">
        <v>0</v>
      </c>
      <c r="DU112" s="659">
        <v>0</v>
      </c>
      <c r="DV112" s="659">
        <v>0</v>
      </c>
      <c r="DW112" s="659">
        <v>0</v>
      </c>
      <c r="DX112" s="659">
        <v>0</v>
      </c>
      <c r="DY112" s="659">
        <v>0</v>
      </c>
      <c r="DZ112" s="659">
        <v>0</v>
      </c>
      <c r="EA112" s="659">
        <v>0</v>
      </c>
      <c r="EB112" s="659">
        <v>0</v>
      </c>
      <c r="EC112" s="659">
        <v>0</v>
      </c>
      <c r="ED112" s="659">
        <v>0</v>
      </c>
      <c r="EE112" s="659">
        <v>0</v>
      </c>
      <c r="EF112" s="659">
        <v>0</v>
      </c>
      <c r="EG112" s="659">
        <v>0</v>
      </c>
      <c r="EH112" s="659">
        <v>0</v>
      </c>
      <c r="EI112" s="659">
        <v>0</v>
      </c>
      <c r="EJ112" s="659">
        <v>0</v>
      </c>
      <c r="EK112" s="659">
        <v>0</v>
      </c>
      <c r="EL112" s="659">
        <v>0</v>
      </c>
      <c r="EM112" s="659">
        <v>0</v>
      </c>
      <c r="EN112" s="659">
        <v>0</v>
      </c>
      <c r="EO112" s="659">
        <v>0</v>
      </c>
      <c r="EP112" s="659">
        <v>0</v>
      </c>
      <c r="EQ112" s="659">
        <v>0</v>
      </c>
    </row>
    <row r="113" spans="1:147" ht="13.95" customHeight="1" x14ac:dyDescent="0.3">
      <c r="A113" s="657" t="s">
        <v>1769</v>
      </c>
      <c r="B113" s="658" t="s">
        <v>269</v>
      </c>
      <c r="C113" s="659">
        <v>0</v>
      </c>
      <c r="D113" s="659">
        <v>0</v>
      </c>
      <c r="E113" s="659">
        <v>0</v>
      </c>
      <c r="F113" s="659">
        <v>0</v>
      </c>
      <c r="G113" s="659">
        <v>0</v>
      </c>
      <c r="H113" s="659">
        <v>0</v>
      </c>
      <c r="I113" s="659">
        <v>0</v>
      </c>
      <c r="J113" s="801">
        <v>0</v>
      </c>
      <c r="K113" s="659">
        <v>0</v>
      </c>
      <c r="L113" s="659">
        <v>0</v>
      </c>
      <c r="M113" s="659">
        <v>0</v>
      </c>
      <c r="N113" s="659">
        <v>0</v>
      </c>
      <c r="O113" s="659">
        <v>0</v>
      </c>
      <c r="P113" s="659">
        <v>0</v>
      </c>
      <c r="Q113" s="801">
        <v>0</v>
      </c>
      <c r="R113" s="659">
        <v>0</v>
      </c>
      <c r="S113" s="659">
        <v>0</v>
      </c>
      <c r="T113" s="659">
        <v>0</v>
      </c>
      <c r="U113" s="659">
        <v>0</v>
      </c>
      <c r="V113" s="659">
        <v>0</v>
      </c>
      <c r="W113" s="801">
        <v>0</v>
      </c>
      <c r="X113" s="659">
        <v>0</v>
      </c>
      <c r="Y113" s="659">
        <v>0</v>
      </c>
      <c r="Z113" s="659">
        <v>0</v>
      </c>
      <c r="AA113" s="659">
        <v>0</v>
      </c>
      <c r="AB113" s="659">
        <v>0</v>
      </c>
      <c r="AC113" s="659">
        <v>0</v>
      </c>
      <c r="AD113" s="801">
        <v>0</v>
      </c>
      <c r="AE113" s="659">
        <v>0</v>
      </c>
      <c r="AF113" s="659">
        <v>0</v>
      </c>
      <c r="AG113" s="659">
        <v>0</v>
      </c>
      <c r="AH113" s="659">
        <v>0</v>
      </c>
      <c r="AI113" s="659">
        <v>0</v>
      </c>
      <c r="AJ113" s="659">
        <v>0</v>
      </c>
      <c r="AK113" s="801">
        <v>0</v>
      </c>
      <c r="AL113" s="659">
        <v>0</v>
      </c>
      <c r="AM113" s="659">
        <v>0</v>
      </c>
      <c r="AN113" s="659">
        <v>0</v>
      </c>
      <c r="AO113" s="659">
        <v>0</v>
      </c>
      <c r="AP113" s="659">
        <v>0</v>
      </c>
      <c r="AQ113" s="801">
        <v>0</v>
      </c>
      <c r="AR113" s="659">
        <v>0</v>
      </c>
      <c r="AS113" s="659">
        <v>0</v>
      </c>
      <c r="AT113" s="659">
        <v>0</v>
      </c>
      <c r="AU113" s="659">
        <v>0</v>
      </c>
      <c r="AV113" s="659">
        <v>0</v>
      </c>
      <c r="AW113" s="659">
        <v>0</v>
      </c>
      <c r="AX113" s="659">
        <v>0</v>
      </c>
      <c r="AY113" s="659">
        <v>0</v>
      </c>
      <c r="AZ113" s="659">
        <v>0</v>
      </c>
      <c r="BA113" s="659">
        <v>0</v>
      </c>
      <c r="BB113" s="659">
        <v>0</v>
      </c>
      <c r="BC113" s="659">
        <v>0</v>
      </c>
      <c r="BD113" s="659">
        <v>0</v>
      </c>
      <c r="BE113" s="801">
        <v>0</v>
      </c>
      <c r="BF113" s="659">
        <v>0</v>
      </c>
      <c r="BG113" s="659">
        <v>0</v>
      </c>
      <c r="BH113" s="659">
        <v>0</v>
      </c>
      <c r="BI113" s="659">
        <v>0</v>
      </c>
      <c r="BJ113" s="659">
        <v>0</v>
      </c>
      <c r="BK113" s="659">
        <v>0</v>
      </c>
      <c r="BL113" s="659">
        <v>0</v>
      </c>
      <c r="BM113" s="659">
        <v>0</v>
      </c>
      <c r="BN113" s="659">
        <v>0</v>
      </c>
      <c r="BO113" s="659">
        <v>0</v>
      </c>
      <c r="BP113" s="659">
        <v>0</v>
      </c>
      <c r="BQ113" s="659">
        <v>0</v>
      </c>
      <c r="BR113" s="659">
        <v>0</v>
      </c>
      <c r="BS113" s="659">
        <v>0</v>
      </c>
      <c r="BT113" s="659">
        <v>0</v>
      </c>
      <c r="BU113" s="659">
        <v>0</v>
      </c>
      <c r="BV113" s="659">
        <v>0</v>
      </c>
      <c r="BW113" s="659">
        <v>0</v>
      </c>
      <c r="BX113" s="659">
        <v>0</v>
      </c>
      <c r="BY113" s="659">
        <v>0</v>
      </c>
      <c r="BZ113" s="659">
        <v>0</v>
      </c>
      <c r="CA113" s="659">
        <v>0</v>
      </c>
      <c r="CB113" s="659">
        <v>0</v>
      </c>
      <c r="CC113" s="659">
        <v>0</v>
      </c>
      <c r="CD113" s="659">
        <v>0</v>
      </c>
      <c r="CE113" s="659">
        <v>0</v>
      </c>
      <c r="CF113" s="659">
        <v>0</v>
      </c>
      <c r="CG113" s="659">
        <v>0</v>
      </c>
      <c r="CH113" s="659">
        <v>0</v>
      </c>
      <c r="CI113" s="659">
        <v>0</v>
      </c>
      <c r="CJ113" s="659">
        <v>0</v>
      </c>
      <c r="CK113" s="659">
        <v>0</v>
      </c>
      <c r="CL113" s="659">
        <v>0</v>
      </c>
      <c r="CM113" s="659">
        <v>0</v>
      </c>
      <c r="CN113" s="659">
        <v>0</v>
      </c>
      <c r="CO113" s="659">
        <v>0</v>
      </c>
      <c r="CP113" s="659">
        <v>0</v>
      </c>
      <c r="CQ113" s="659">
        <v>0</v>
      </c>
      <c r="CR113" s="659">
        <v>0</v>
      </c>
      <c r="CS113" s="659">
        <v>0</v>
      </c>
      <c r="CT113" s="659">
        <v>0</v>
      </c>
      <c r="CU113" s="659">
        <v>0</v>
      </c>
      <c r="CV113" s="659">
        <v>0</v>
      </c>
      <c r="CW113" s="659">
        <v>0</v>
      </c>
      <c r="CX113" s="659">
        <v>0</v>
      </c>
      <c r="CY113" s="659">
        <v>0</v>
      </c>
      <c r="CZ113" s="659">
        <v>0</v>
      </c>
      <c r="DA113" s="659">
        <v>0</v>
      </c>
      <c r="DB113" s="659">
        <v>0</v>
      </c>
      <c r="DC113" s="659">
        <v>0</v>
      </c>
      <c r="DD113" s="659">
        <v>0</v>
      </c>
      <c r="DE113" s="659">
        <v>0</v>
      </c>
      <c r="DF113" s="659">
        <v>0</v>
      </c>
      <c r="DG113" s="659">
        <v>0</v>
      </c>
      <c r="DH113" s="659">
        <v>0</v>
      </c>
      <c r="DI113" s="659">
        <v>0</v>
      </c>
      <c r="DJ113" s="659">
        <v>0</v>
      </c>
      <c r="DK113" s="659">
        <v>0</v>
      </c>
      <c r="DL113" s="659">
        <v>0</v>
      </c>
      <c r="DM113" s="659">
        <v>0</v>
      </c>
      <c r="DN113" s="659">
        <v>0</v>
      </c>
      <c r="DO113" s="659">
        <v>0</v>
      </c>
      <c r="DP113" s="659">
        <v>0</v>
      </c>
      <c r="DQ113" s="659">
        <v>0</v>
      </c>
      <c r="DR113" s="659">
        <v>0</v>
      </c>
      <c r="DS113" s="659">
        <v>0</v>
      </c>
      <c r="DT113" s="659">
        <v>0</v>
      </c>
      <c r="DU113" s="659">
        <v>0</v>
      </c>
      <c r="DV113" s="659">
        <v>0</v>
      </c>
      <c r="DW113" s="659">
        <v>0</v>
      </c>
      <c r="DX113" s="659">
        <v>0</v>
      </c>
      <c r="DY113" s="659">
        <v>0</v>
      </c>
      <c r="DZ113" s="659">
        <v>0</v>
      </c>
      <c r="EA113" s="659">
        <v>0</v>
      </c>
      <c r="EB113" s="659">
        <v>0</v>
      </c>
      <c r="EC113" s="659">
        <v>0</v>
      </c>
      <c r="ED113" s="659">
        <v>0</v>
      </c>
      <c r="EE113" s="659">
        <v>0</v>
      </c>
      <c r="EF113" s="659">
        <v>0</v>
      </c>
      <c r="EG113" s="659">
        <v>0</v>
      </c>
      <c r="EH113" s="659">
        <v>0</v>
      </c>
      <c r="EI113" s="659">
        <v>0</v>
      </c>
      <c r="EJ113" s="659">
        <v>0</v>
      </c>
      <c r="EK113" s="659">
        <v>0</v>
      </c>
      <c r="EL113" s="659">
        <v>0</v>
      </c>
      <c r="EM113" s="659">
        <v>0</v>
      </c>
      <c r="EN113" s="659">
        <v>0</v>
      </c>
      <c r="EO113" s="659">
        <v>0</v>
      </c>
      <c r="EP113" s="659">
        <v>0</v>
      </c>
      <c r="EQ113" s="659">
        <v>0</v>
      </c>
    </row>
    <row r="114" spans="1:147" ht="13.95" customHeight="1" x14ac:dyDescent="0.3">
      <c r="A114" s="657" t="s">
        <v>1770</v>
      </c>
      <c r="B114" s="658" t="s">
        <v>269</v>
      </c>
      <c r="C114" s="659">
        <v>4107</v>
      </c>
      <c r="D114" s="659">
        <v>0</v>
      </c>
      <c r="E114" s="659">
        <v>0</v>
      </c>
      <c r="F114" s="659">
        <v>1025963</v>
      </c>
      <c r="G114" s="659">
        <v>0</v>
      </c>
      <c r="H114" s="659">
        <v>0</v>
      </c>
      <c r="I114" s="659">
        <v>1000746</v>
      </c>
      <c r="J114" s="801">
        <v>331</v>
      </c>
      <c r="K114" s="659">
        <v>0</v>
      </c>
      <c r="L114" s="659">
        <v>0</v>
      </c>
      <c r="M114" s="659">
        <v>86760</v>
      </c>
      <c r="N114" s="659">
        <v>0</v>
      </c>
      <c r="O114" s="659">
        <v>0</v>
      </c>
      <c r="P114" s="659">
        <v>86760</v>
      </c>
      <c r="Q114" s="801">
        <v>0</v>
      </c>
      <c r="R114" s="659">
        <v>0</v>
      </c>
      <c r="S114" s="659">
        <v>0</v>
      </c>
      <c r="T114" s="659">
        <v>0</v>
      </c>
      <c r="U114" s="659">
        <v>0</v>
      </c>
      <c r="V114" s="659">
        <v>0</v>
      </c>
      <c r="W114" s="801">
        <v>11</v>
      </c>
      <c r="X114" s="659">
        <v>0</v>
      </c>
      <c r="Y114" s="659">
        <v>0</v>
      </c>
      <c r="Z114" s="659">
        <v>3060</v>
      </c>
      <c r="AA114" s="659">
        <v>0</v>
      </c>
      <c r="AB114" s="659">
        <v>0</v>
      </c>
      <c r="AC114" s="659">
        <v>3050</v>
      </c>
      <c r="AD114" s="801">
        <v>111</v>
      </c>
      <c r="AE114" s="659">
        <v>0</v>
      </c>
      <c r="AF114" s="659">
        <v>0</v>
      </c>
      <c r="AG114" s="659">
        <v>40190</v>
      </c>
      <c r="AH114" s="659">
        <v>0</v>
      </c>
      <c r="AI114" s="659">
        <v>0</v>
      </c>
      <c r="AJ114" s="659">
        <v>40190</v>
      </c>
      <c r="AK114" s="801">
        <v>6</v>
      </c>
      <c r="AL114" s="659">
        <v>0</v>
      </c>
      <c r="AM114" s="659">
        <v>1500</v>
      </c>
      <c r="AN114" s="659">
        <v>0</v>
      </c>
      <c r="AO114" s="659">
        <v>0</v>
      </c>
      <c r="AP114" s="659">
        <v>1500</v>
      </c>
      <c r="AQ114" s="801">
        <v>107</v>
      </c>
      <c r="AR114" s="659">
        <v>0</v>
      </c>
      <c r="AS114" s="659">
        <v>0</v>
      </c>
      <c r="AT114" s="659">
        <v>38550</v>
      </c>
      <c r="AU114" s="659">
        <v>0</v>
      </c>
      <c r="AV114" s="659">
        <v>0</v>
      </c>
      <c r="AW114" s="659">
        <v>36435</v>
      </c>
      <c r="AX114" s="659">
        <v>7</v>
      </c>
      <c r="AY114" s="659">
        <v>0</v>
      </c>
      <c r="AZ114" s="659">
        <v>0</v>
      </c>
      <c r="BA114" s="659">
        <v>1325</v>
      </c>
      <c r="BB114" s="659">
        <v>0</v>
      </c>
      <c r="BC114" s="659">
        <v>0</v>
      </c>
      <c r="BD114" s="659">
        <v>1250</v>
      </c>
      <c r="BE114" s="801">
        <v>50</v>
      </c>
      <c r="BF114" s="659">
        <v>0</v>
      </c>
      <c r="BG114" s="659">
        <v>0</v>
      </c>
      <c r="BH114" s="659">
        <v>18745</v>
      </c>
      <c r="BI114" s="659">
        <v>0</v>
      </c>
      <c r="BJ114" s="659">
        <v>0</v>
      </c>
      <c r="BK114" s="659">
        <v>18745</v>
      </c>
      <c r="BL114" s="659">
        <v>142</v>
      </c>
      <c r="BM114" s="659">
        <v>0</v>
      </c>
      <c r="BN114" s="659">
        <v>0</v>
      </c>
      <c r="BO114" s="659">
        <v>33189</v>
      </c>
      <c r="BP114" s="659">
        <v>0</v>
      </c>
      <c r="BQ114" s="659">
        <v>0</v>
      </c>
      <c r="BR114" s="659">
        <v>32807</v>
      </c>
      <c r="BS114" s="659">
        <v>44</v>
      </c>
      <c r="BT114" s="659">
        <v>0</v>
      </c>
      <c r="BU114" s="659">
        <v>0</v>
      </c>
      <c r="BV114" s="659">
        <v>8720</v>
      </c>
      <c r="BW114" s="659">
        <v>0</v>
      </c>
      <c r="BX114" s="659">
        <v>0</v>
      </c>
      <c r="BY114" s="659">
        <v>8720</v>
      </c>
      <c r="BZ114" s="659">
        <v>292</v>
      </c>
      <c r="CA114" s="659">
        <v>0</v>
      </c>
      <c r="CB114" s="659">
        <v>0</v>
      </c>
      <c r="CC114" s="659">
        <v>94527</v>
      </c>
      <c r="CD114" s="659">
        <v>0</v>
      </c>
      <c r="CE114" s="659">
        <v>0</v>
      </c>
      <c r="CF114" s="659">
        <v>93878</v>
      </c>
      <c r="CG114" s="659">
        <v>214</v>
      </c>
      <c r="CH114" s="659">
        <v>0</v>
      </c>
      <c r="CI114" s="659">
        <v>0</v>
      </c>
      <c r="CJ114" s="659">
        <v>47640</v>
      </c>
      <c r="CK114" s="659">
        <v>0</v>
      </c>
      <c r="CL114" s="659">
        <v>0</v>
      </c>
      <c r="CM114" s="659">
        <v>44650</v>
      </c>
      <c r="CN114" s="659">
        <v>516</v>
      </c>
      <c r="CO114" s="659">
        <v>0</v>
      </c>
      <c r="CP114" s="659">
        <v>0</v>
      </c>
      <c r="CQ114" s="659">
        <v>133140</v>
      </c>
      <c r="CR114" s="659">
        <v>0</v>
      </c>
      <c r="CS114" s="659">
        <v>0</v>
      </c>
      <c r="CT114" s="659">
        <v>130140</v>
      </c>
      <c r="CU114" s="659">
        <v>35</v>
      </c>
      <c r="CV114" s="659">
        <v>0</v>
      </c>
      <c r="CW114" s="659">
        <v>0</v>
      </c>
      <c r="CX114" s="659">
        <v>5800</v>
      </c>
      <c r="CY114" s="659">
        <v>0</v>
      </c>
      <c r="CZ114" s="659">
        <v>0</v>
      </c>
      <c r="DA114" s="659">
        <v>5800</v>
      </c>
      <c r="DB114" s="659">
        <v>282</v>
      </c>
      <c r="DC114" s="659">
        <v>0</v>
      </c>
      <c r="DD114" s="659">
        <v>0</v>
      </c>
      <c r="DE114" s="659">
        <v>71590</v>
      </c>
      <c r="DF114" s="659">
        <v>0</v>
      </c>
      <c r="DG114" s="659">
        <v>0</v>
      </c>
      <c r="DH114" s="659">
        <v>67100</v>
      </c>
      <c r="DI114" s="659">
        <v>1280</v>
      </c>
      <c r="DJ114" s="659">
        <v>0</v>
      </c>
      <c r="DK114" s="659">
        <v>0</v>
      </c>
      <c r="DL114" s="659">
        <v>291400</v>
      </c>
      <c r="DM114" s="659">
        <v>0</v>
      </c>
      <c r="DN114" s="659">
        <v>0</v>
      </c>
      <c r="DO114" s="659">
        <v>283315</v>
      </c>
      <c r="DP114" s="659">
        <v>168</v>
      </c>
      <c r="DQ114" s="659">
        <v>0</v>
      </c>
      <c r="DR114" s="659">
        <v>0</v>
      </c>
      <c r="DS114" s="659">
        <v>37597</v>
      </c>
      <c r="DT114" s="659">
        <v>0</v>
      </c>
      <c r="DU114" s="659">
        <v>0</v>
      </c>
      <c r="DV114" s="659">
        <v>37241</v>
      </c>
      <c r="DW114" s="659">
        <v>350</v>
      </c>
      <c r="DX114" s="659">
        <v>0</v>
      </c>
      <c r="DY114" s="659">
        <v>0</v>
      </c>
      <c r="DZ114" s="659">
        <v>85700</v>
      </c>
      <c r="EA114" s="659">
        <v>0</v>
      </c>
      <c r="EB114" s="659">
        <v>0</v>
      </c>
      <c r="EC114" s="659">
        <v>83985</v>
      </c>
      <c r="ED114" s="659">
        <v>140</v>
      </c>
      <c r="EE114" s="659">
        <v>0</v>
      </c>
      <c r="EF114" s="659">
        <v>0</v>
      </c>
      <c r="EG114" s="659">
        <v>21800</v>
      </c>
      <c r="EH114" s="659">
        <v>0</v>
      </c>
      <c r="EI114" s="659">
        <v>0</v>
      </c>
      <c r="EJ114" s="659">
        <v>20450</v>
      </c>
      <c r="EK114" s="659">
        <v>21</v>
      </c>
      <c r="EL114" s="659">
        <v>0</v>
      </c>
      <c r="EM114" s="659">
        <v>0</v>
      </c>
      <c r="EN114" s="659">
        <v>4730</v>
      </c>
      <c r="EO114" s="659">
        <v>0</v>
      </c>
      <c r="EP114" s="659">
        <v>0</v>
      </c>
      <c r="EQ114" s="659">
        <v>4730</v>
      </c>
    </row>
    <row r="115" spans="1:147" ht="13.95" customHeight="1" x14ac:dyDescent="0.3">
      <c r="A115" s="657" t="s">
        <v>1771</v>
      </c>
      <c r="B115" s="658" t="s">
        <v>269</v>
      </c>
      <c r="C115" s="659">
        <v>0</v>
      </c>
      <c r="D115" s="659">
        <v>0</v>
      </c>
      <c r="E115" s="659">
        <v>0</v>
      </c>
      <c r="F115" s="659">
        <v>0</v>
      </c>
      <c r="G115" s="659">
        <v>0</v>
      </c>
      <c r="H115" s="659">
        <v>0</v>
      </c>
      <c r="I115" s="659">
        <v>0</v>
      </c>
      <c r="J115" s="801">
        <v>0</v>
      </c>
      <c r="K115" s="659">
        <v>0</v>
      </c>
      <c r="L115" s="659">
        <v>0</v>
      </c>
      <c r="M115" s="659">
        <v>0</v>
      </c>
      <c r="N115" s="659">
        <v>0</v>
      </c>
      <c r="O115" s="659">
        <v>0</v>
      </c>
      <c r="P115" s="659">
        <v>0</v>
      </c>
      <c r="Q115" s="801">
        <v>0</v>
      </c>
      <c r="R115" s="659">
        <v>0</v>
      </c>
      <c r="S115" s="659">
        <v>0</v>
      </c>
      <c r="T115" s="659">
        <v>0</v>
      </c>
      <c r="U115" s="659">
        <v>0</v>
      </c>
      <c r="V115" s="659">
        <v>0</v>
      </c>
      <c r="W115" s="801">
        <v>0</v>
      </c>
      <c r="X115" s="659">
        <v>0</v>
      </c>
      <c r="Y115" s="659">
        <v>0</v>
      </c>
      <c r="Z115" s="659">
        <v>0</v>
      </c>
      <c r="AA115" s="659">
        <v>0</v>
      </c>
      <c r="AB115" s="659">
        <v>0</v>
      </c>
      <c r="AC115" s="659">
        <v>0</v>
      </c>
      <c r="AD115" s="801">
        <v>0</v>
      </c>
      <c r="AE115" s="659">
        <v>0</v>
      </c>
      <c r="AF115" s="659">
        <v>0</v>
      </c>
      <c r="AG115" s="659">
        <v>0</v>
      </c>
      <c r="AH115" s="659">
        <v>0</v>
      </c>
      <c r="AI115" s="659">
        <v>0</v>
      </c>
      <c r="AJ115" s="659">
        <v>0</v>
      </c>
      <c r="AK115" s="801">
        <v>0</v>
      </c>
      <c r="AL115" s="659">
        <v>0</v>
      </c>
      <c r="AM115" s="659">
        <v>0</v>
      </c>
      <c r="AN115" s="659">
        <v>0</v>
      </c>
      <c r="AO115" s="659">
        <v>0</v>
      </c>
      <c r="AP115" s="659">
        <v>0</v>
      </c>
      <c r="AQ115" s="801">
        <v>0</v>
      </c>
      <c r="AR115" s="659">
        <v>0</v>
      </c>
      <c r="AS115" s="659">
        <v>0</v>
      </c>
      <c r="AT115" s="659">
        <v>0</v>
      </c>
      <c r="AU115" s="659">
        <v>0</v>
      </c>
      <c r="AV115" s="659">
        <v>0</v>
      </c>
      <c r="AW115" s="659">
        <v>0</v>
      </c>
      <c r="AX115" s="659">
        <v>0</v>
      </c>
      <c r="AY115" s="659">
        <v>0</v>
      </c>
      <c r="AZ115" s="659">
        <v>0</v>
      </c>
      <c r="BA115" s="659">
        <v>0</v>
      </c>
      <c r="BB115" s="659">
        <v>0</v>
      </c>
      <c r="BC115" s="659">
        <v>0</v>
      </c>
      <c r="BD115" s="659">
        <v>0</v>
      </c>
      <c r="BE115" s="801">
        <v>0</v>
      </c>
      <c r="BF115" s="659">
        <v>0</v>
      </c>
      <c r="BG115" s="659">
        <v>0</v>
      </c>
      <c r="BH115" s="659">
        <v>0</v>
      </c>
      <c r="BI115" s="659">
        <v>0</v>
      </c>
      <c r="BJ115" s="659">
        <v>0</v>
      </c>
      <c r="BK115" s="659">
        <v>0</v>
      </c>
      <c r="BL115" s="659">
        <v>0</v>
      </c>
      <c r="BM115" s="659">
        <v>0</v>
      </c>
      <c r="BN115" s="659">
        <v>0</v>
      </c>
      <c r="BO115" s="659">
        <v>0</v>
      </c>
      <c r="BP115" s="659">
        <v>0</v>
      </c>
      <c r="BQ115" s="659">
        <v>0</v>
      </c>
      <c r="BR115" s="659">
        <v>0</v>
      </c>
      <c r="BS115" s="659">
        <v>0</v>
      </c>
      <c r="BT115" s="659">
        <v>0</v>
      </c>
      <c r="BU115" s="659">
        <v>0</v>
      </c>
      <c r="BV115" s="659">
        <v>0</v>
      </c>
      <c r="BW115" s="659">
        <v>0</v>
      </c>
      <c r="BX115" s="659">
        <v>0</v>
      </c>
      <c r="BY115" s="659">
        <v>0</v>
      </c>
      <c r="BZ115" s="659">
        <v>0</v>
      </c>
      <c r="CA115" s="659">
        <v>0</v>
      </c>
      <c r="CB115" s="659">
        <v>0</v>
      </c>
      <c r="CC115" s="659">
        <v>0</v>
      </c>
      <c r="CD115" s="659">
        <v>0</v>
      </c>
      <c r="CE115" s="659">
        <v>0</v>
      </c>
      <c r="CF115" s="659">
        <v>0</v>
      </c>
      <c r="CG115" s="659">
        <v>0</v>
      </c>
      <c r="CH115" s="659">
        <v>0</v>
      </c>
      <c r="CI115" s="659">
        <v>0</v>
      </c>
      <c r="CJ115" s="659">
        <v>0</v>
      </c>
      <c r="CK115" s="659">
        <v>0</v>
      </c>
      <c r="CL115" s="659">
        <v>0</v>
      </c>
      <c r="CM115" s="659">
        <v>0</v>
      </c>
      <c r="CN115" s="659">
        <v>0</v>
      </c>
      <c r="CO115" s="659">
        <v>0</v>
      </c>
      <c r="CP115" s="659">
        <v>0</v>
      </c>
      <c r="CQ115" s="659">
        <v>0</v>
      </c>
      <c r="CR115" s="659">
        <v>0</v>
      </c>
      <c r="CS115" s="659">
        <v>0</v>
      </c>
      <c r="CT115" s="659">
        <v>0</v>
      </c>
      <c r="CU115" s="659">
        <v>0</v>
      </c>
      <c r="CV115" s="659">
        <v>0</v>
      </c>
      <c r="CW115" s="659">
        <v>0</v>
      </c>
      <c r="CX115" s="659">
        <v>0</v>
      </c>
      <c r="CY115" s="659">
        <v>0</v>
      </c>
      <c r="CZ115" s="659">
        <v>0</v>
      </c>
      <c r="DA115" s="659">
        <v>0</v>
      </c>
      <c r="DB115" s="659">
        <v>0</v>
      </c>
      <c r="DC115" s="659">
        <v>0</v>
      </c>
      <c r="DD115" s="659">
        <v>0</v>
      </c>
      <c r="DE115" s="659">
        <v>0</v>
      </c>
      <c r="DF115" s="659">
        <v>0</v>
      </c>
      <c r="DG115" s="659">
        <v>0</v>
      </c>
      <c r="DH115" s="659">
        <v>0</v>
      </c>
      <c r="DI115" s="659">
        <v>0</v>
      </c>
      <c r="DJ115" s="659">
        <v>0</v>
      </c>
      <c r="DK115" s="659">
        <v>0</v>
      </c>
      <c r="DL115" s="659">
        <v>0</v>
      </c>
      <c r="DM115" s="659">
        <v>0</v>
      </c>
      <c r="DN115" s="659">
        <v>0</v>
      </c>
      <c r="DO115" s="659">
        <v>0</v>
      </c>
      <c r="DP115" s="659">
        <v>0</v>
      </c>
      <c r="DQ115" s="659">
        <v>0</v>
      </c>
      <c r="DR115" s="659">
        <v>0</v>
      </c>
      <c r="DS115" s="659">
        <v>0</v>
      </c>
      <c r="DT115" s="659">
        <v>0</v>
      </c>
      <c r="DU115" s="659">
        <v>0</v>
      </c>
      <c r="DV115" s="659">
        <v>0</v>
      </c>
      <c r="DW115" s="659">
        <v>0</v>
      </c>
      <c r="DX115" s="659">
        <v>0</v>
      </c>
      <c r="DY115" s="659">
        <v>0</v>
      </c>
      <c r="DZ115" s="659">
        <v>0</v>
      </c>
      <c r="EA115" s="659">
        <v>0</v>
      </c>
      <c r="EB115" s="659">
        <v>0</v>
      </c>
      <c r="EC115" s="659">
        <v>0</v>
      </c>
      <c r="ED115" s="659">
        <v>0</v>
      </c>
      <c r="EE115" s="659">
        <v>0</v>
      </c>
      <c r="EF115" s="659">
        <v>0</v>
      </c>
      <c r="EG115" s="659">
        <v>0</v>
      </c>
      <c r="EH115" s="659">
        <v>0</v>
      </c>
      <c r="EI115" s="659">
        <v>0</v>
      </c>
      <c r="EJ115" s="659">
        <v>0</v>
      </c>
      <c r="EK115" s="659">
        <v>0</v>
      </c>
      <c r="EL115" s="659">
        <v>0</v>
      </c>
      <c r="EM115" s="659">
        <v>0</v>
      </c>
      <c r="EN115" s="659">
        <v>0</v>
      </c>
      <c r="EO115" s="659">
        <v>0</v>
      </c>
      <c r="EP115" s="659">
        <v>0</v>
      </c>
      <c r="EQ115" s="659">
        <v>0</v>
      </c>
    </row>
    <row r="116" spans="1:147" ht="20.7" customHeight="1" x14ac:dyDescent="0.3">
      <c r="A116" s="657" t="s">
        <v>1772</v>
      </c>
      <c r="B116" s="658" t="s">
        <v>269</v>
      </c>
      <c r="C116" s="659">
        <v>10004</v>
      </c>
      <c r="D116" s="659">
        <v>0</v>
      </c>
      <c r="E116" s="659">
        <v>0</v>
      </c>
      <c r="F116" s="659">
        <v>1674217</v>
      </c>
      <c r="G116" s="659">
        <v>0</v>
      </c>
      <c r="H116" s="659">
        <v>0</v>
      </c>
      <c r="I116" s="659">
        <v>1569205</v>
      </c>
      <c r="J116" s="801">
        <v>46</v>
      </c>
      <c r="K116" s="659">
        <v>0</v>
      </c>
      <c r="L116" s="659">
        <v>0</v>
      </c>
      <c r="M116" s="659">
        <v>6476</v>
      </c>
      <c r="N116" s="659">
        <v>0</v>
      </c>
      <c r="O116" s="659">
        <v>0</v>
      </c>
      <c r="P116" s="659">
        <v>6476</v>
      </c>
      <c r="Q116" s="801">
        <v>0</v>
      </c>
      <c r="R116" s="659">
        <v>0</v>
      </c>
      <c r="S116" s="659">
        <v>0</v>
      </c>
      <c r="T116" s="659">
        <v>0</v>
      </c>
      <c r="U116" s="659">
        <v>0</v>
      </c>
      <c r="V116" s="659">
        <v>0</v>
      </c>
      <c r="W116" s="801">
        <v>11</v>
      </c>
      <c r="X116" s="659">
        <v>0</v>
      </c>
      <c r="Y116" s="659">
        <v>0</v>
      </c>
      <c r="Z116" s="659">
        <v>3575</v>
      </c>
      <c r="AA116" s="659">
        <v>0</v>
      </c>
      <c r="AB116" s="659">
        <v>0</v>
      </c>
      <c r="AC116" s="659">
        <v>3575</v>
      </c>
      <c r="AD116" s="801">
        <v>0</v>
      </c>
      <c r="AE116" s="659">
        <v>0</v>
      </c>
      <c r="AF116" s="659">
        <v>0</v>
      </c>
      <c r="AG116" s="659">
        <v>0</v>
      </c>
      <c r="AH116" s="659">
        <v>0</v>
      </c>
      <c r="AI116" s="659">
        <v>0</v>
      </c>
      <c r="AJ116" s="659">
        <v>0</v>
      </c>
      <c r="AK116" s="801">
        <v>0</v>
      </c>
      <c r="AL116" s="659">
        <v>0</v>
      </c>
      <c r="AM116" s="659">
        <v>0</v>
      </c>
      <c r="AN116" s="659">
        <v>0</v>
      </c>
      <c r="AO116" s="659">
        <v>0</v>
      </c>
      <c r="AP116" s="659">
        <v>0</v>
      </c>
      <c r="AQ116" s="801">
        <v>22</v>
      </c>
      <c r="AR116" s="659">
        <v>0</v>
      </c>
      <c r="AS116" s="659">
        <v>0</v>
      </c>
      <c r="AT116" s="659">
        <v>3400</v>
      </c>
      <c r="AU116" s="659">
        <v>0</v>
      </c>
      <c r="AV116" s="659">
        <v>0</v>
      </c>
      <c r="AW116" s="659">
        <v>3020</v>
      </c>
      <c r="AX116" s="659">
        <v>0</v>
      </c>
      <c r="AY116" s="659">
        <v>0</v>
      </c>
      <c r="AZ116" s="659">
        <v>0</v>
      </c>
      <c r="BA116" s="659">
        <v>0</v>
      </c>
      <c r="BB116" s="659">
        <v>0</v>
      </c>
      <c r="BC116" s="659">
        <v>0</v>
      </c>
      <c r="BD116" s="659">
        <v>0</v>
      </c>
      <c r="BE116" s="801">
        <v>0</v>
      </c>
      <c r="BF116" s="659">
        <v>0</v>
      </c>
      <c r="BG116" s="659">
        <v>0</v>
      </c>
      <c r="BH116" s="659">
        <v>0</v>
      </c>
      <c r="BI116" s="659">
        <v>0</v>
      </c>
      <c r="BJ116" s="659">
        <v>0</v>
      </c>
      <c r="BK116" s="659">
        <v>0</v>
      </c>
      <c r="BL116" s="659">
        <v>168</v>
      </c>
      <c r="BM116" s="659">
        <v>0</v>
      </c>
      <c r="BN116" s="659">
        <v>0</v>
      </c>
      <c r="BO116" s="659">
        <v>31890</v>
      </c>
      <c r="BP116" s="659">
        <v>0</v>
      </c>
      <c r="BQ116" s="659">
        <v>0</v>
      </c>
      <c r="BR116" s="659">
        <v>29835</v>
      </c>
      <c r="BS116" s="659">
        <v>3</v>
      </c>
      <c r="BT116" s="659">
        <v>0</v>
      </c>
      <c r="BU116" s="659">
        <v>0</v>
      </c>
      <c r="BV116" s="659">
        <v>525</v>
      </c>
      <c r="BW116" s="659">
        <v>0</v>
      </c>
      <c r="BX116" s="659">
        <v>0</v>
      </c>
      <c r="BY116" s="659">
        <v>525</v>
      </c>
      <c r="BZ116" s="659">
        <v>79</v>
      </c>
      <c r="CA116" s="659">
        <v>0</v>
      </c>
      <c r="CB116" s="659">
        <v>0</v>
      </c>
      <c r="CC116" s="659">
        <v>11051</v>
      </c>
      <c r="CD116" s="659">
        <v>0</v>
      </c>
      <c r="CE116" s="659">
        <v>0</v>
      </c>
      <c r="CF116" s="659">
        <v>10892</v>
      </c>
      <c r="CG116" s="659">
        <v>600</v>
      </c>
      <c r="CH116" s="659">
        <v>0</v>
      </c>
      <c r="CI116" s="659">
        <v>0</v>
      </c>
      <c r="CJ116" s="659">
        <v>129500</v>
      </c>
      <c r="CK116" s="659">
        <v>0</v>
      </c>
      <c r="CL116" s="659">
        <v>0</v>
      </c>
      <c r="CM116" s="659">
        <v>99000</v>
      </c>
      <c r="CN116" s="659">
        <v>490</v>
      </c>
      <c r="CO116" s="659">
        <v>0</v>
      </c>
      <c r="CP116" s="659">
        <v>0</v>
      </c>
      <c r="CQ116" s="659">
        <v>103520</v>
      </c>
      <c r="CR116" s="659">
        <v>0</v>
      </c>
      <c r="CS116" s="659">
        <v>0</v>
      </c>
      <c r="CT116" s="659">
        <v>99520</v>
      </c>
      <c r="CU116" s="659">
        <v>50</v>
      </c>
      <c r="CV116" s="659">
        <v>0</v>
      </c>
      <c r="CW116" s="659">
        <v>0</v>
      </c>
      <c r="CX116" s="659">
        <v>7000</v>
      </c>
      <c r="CY116" s="659">
        <v>0</v>
      </c>
      <c r="CZ116" s="659">
        <v>0</v>
      </c>
      <c r="DA116" s="659">
        <v>7000</v>
      </c>
      <c r="DB116" s="659">
        <v>3624</v>
      </c>
      <c r="DC116" s="659">
        <v>0</v>
      </c>
      <c r="DD116" s="659">
        <v>0</v>
      </c>
      <c r="DE116" s="659">
        <v>553726</v>
      </c>
      <c r="DF116" s="659">
        <v>0</v>
      </c>
      <c r="DG116" s="659">
        <v>0</v>
      </c>
      <c r="DH116" s="659">
        <v>512872</v>
      </c>
      <c r="DI116" s="659">
        <v>3560</v>
      </c>
      <c r="DJ116" s="659">
        <v>0</v>
      </c>
      <c r="DK116" s="659">
        <v>0</v>
      </c>
      <c r="DL116" s="659">
        <v>601000</v>
      </c>
      <c r="DM116" s="659">
        <v>0</v>
      </c>
      <c r="DN116" s="659">
        <v>0</v>
      </c>
      <c r="DO116" s="659">
        <v>580050</v>
      </c>
      <c r="DP116" s="659">
        <v>608</v>
      </c>
      <c r="DQ116" s="659">
        <v>0</v>
      </c>
      <c r="DR116" s="659">
        <v>0</v>
      </c>
      <c r="DS116" s="659">
        <v>77927</v>
      </c>
      <c r="DT116" s="659">
        <v>0</v>
      </c>
      <c r="DU116" s="659">
        <v>0</v>
      </c>
      <c r="DV116" s="659">
        <v>76218</v>
      </c>
      <c r="DW116" s="659">
        <v>724</v>
      </c>
      <c r="DX116" s="659">
        <v>0</v>
      </c>
      <c r="DY116" s="659">
        <v>0</v>
      </c>
      <c r="DZ116" s="659">
        <v>142880</v>
      </c>
      <c r="EA116" s="659">
        <v>0</v>
      </c>
      <c r="EB116" s="659">
        <v>0</v>
      </c>
      <c r="EC116" s="659">
        <v>138475</v>
      </c>
      <c r="ED116" s="659">
        <v>0</v>
      </c>
      <c r="EE116" s="659">
        <v>0</v>
      </c>
      <c r="EF116" s="659">
        <v>0</v>
      </c>
      <c r="EG116" s="659">
        <v>0</v>
      </c>
      <c r="EH116" s="659">
        <v>0</v>
      </c>
      <c r="EI116" s="659">
        <v>0</v>
      </c>
      <c r="EJ116" s="659">
        <v>0</v>
      </c>
      <c r="EK116" s="659">
        <v>19</v>
      </c>
      <c r="EL116" s="659">
        <v>0</v>
      </c>
      <c r="EM116" s="659">
        <v>0</v>
      </c>
      <c r="EN116" s="659">
        <v>1747</v>
      </c>
      <c r="EO116" s="659">
        <v>0</v>
      </c>
      <c r="EP116" s="659">
        <v>0</v>
      </c>
      <c r="EQ116" s="659">
        <v>1747</v>
      </c>
    </row>
    <row r="117" spans="1:147" ht="20.7" customHeight="1" x14ac:dyDescent="0.3">
      <c r="A117" s="657" t="s">
        <v>1773</v>
      </c>
      <c r="B117" s="658" t="s">
        <v>269</v>
      </c>
      <c r="C117" s="659">
        <v>0</v>
      </c>
      <c r="D117" s="659">
        <v>0</v>
      </c>
      <c r="E117" s="659">
        <v>0</v>
      </c>
      <c r="F117" s="659">
        <v>0</v>
      </c>
      <c r="G117" s="659">
        <v>0</v>
      </c>
      <c r="H117" s="659">
        <v>0</v>
      </c>
      <c r="I117" s="659">
        <v>0</v>
      </c>
      <c r="J117" s="801">
        <v>0</v>
      </c>
      <c r="K117" s="659">
        <v>0</v>
      </c>
      <c r="L117" s="659">
        <v>0</v>
      </c>
      <c r="M117" s="659">
        <v>0</v>
      </c>
      <c r="N117" s="659">
        <v>0</v>
      </c>
      <c r="O117" s="659">
        <v>0</v>
      </c>
      <c r="P117" s="659">
        <v>0</v>
      </c>
      <c r="Q117" s="801">
        <v>0</v>
      </c>
      <c r="R117" s="659">
        <v>0</v>
      </c>
      <c r="S117" s="659">
        <v>0</v>
      </c>
      <c r="T117" s="659">
        <v>0</v>
      </c>
      <c r="U117" s="659">
        <v>0</v>
      </c>
      <c r="V117" s="659">
        <v>0</v>
      </c>
      <c r="W117" s="801">
        <v>0</v>
      </c>
      <c r="X117" s="659">
        <v>0</v>
      </c>
      <c r="Y117" s="659">
        <v>0</v>
      </c>
      <c r="Z117" s="659">
        <v>0</v>
      </c>
      <c r="AA117" s="659">
        <v>0</v>
      </c>
      <c r="AB117" s="659">
        <v>0</v>
      </c>
      <c r="AC117" s="659">
        <v>0</v>
      </c>
      <c r="AD117" s="801">
        <v>0</v>
      </c>
      <c r="AE117" s="659">
        <v>0</v>
      </c>
      <c r="AF117" s="659">
        <v>0</v>
      </c>
      <c r="AG117" s="659">
        <v>0</v>
      </c>
      <c r="AH117" s="659">
        <v>0</v>
      </c>
      <c r="AI117" s="659">
        <v>0</v>
      </c>
      <c r="AJ117" s="659">
        <v>0</v>
      </c>
      <c r="AK117" s="801">
        <v>0</v>
      </c>
      <c r="AL117" s="659">
        <v>0</v>
      </c>
      <c r="AM117" s="659">
        <v>0</v>
      </c>
      <c r="AN117" s="659">
        <v>0</v>
      </c>
      <c r="AO117" s="659">
        <v>0</v>
      </c>
      <c r="AP117" s="659">
        <v>0</v>
      </c>
      <c r="AQ117" s="801">
        <v>0</v>
      </c>
      <c r="AR117" s="659">
        <v>0</v>
      </c>
      <c r="AS117" s="659">
        <v>0</v>
      </c>
      <c r="AT117" s="659">
        <v>0</v>
      </c>
      <c r="AU117" s="659">
        <v>0</v>
      </c>
      <c r="AV117" s="659">
        <v>0</v>
      </c>
      <c r="AW117" s="659">
        <v>0</v>
      </c>
      <c r="AX117" s="659">
        <v>0</v>
      </c>
      <c r="AY117" s="659">
        <v>0</v>
      </c>
      <c r="AZ117" s="659">
        <v>0</v>
      </c>
      <c r="BA117" s="659">
        <v>0</v>
      </c>
      <c r="BB117" s="659">
        <v>0</v>
      </c>
      <c r="BC117" s="659">
        <v>0</v>
      </c>
      <c r="BD117" s="659">
        <v>0</v>
      </c>
      <c r="BE117" s="801">
        <v>0</v>
      </c>
      <c r="BF117" s="659">
        <v>0</v>
      </c>
      <c r="BG117" s="659">
        <v>0</v>
      </c>
      <c r="BH117" s="659">
        <v>0</v>
      </c>
      <c r="BI117" s="659">
        <v>0</v>
      </c>
      <c r="BJ117" s="659">
        <v>0</v>
      </c>
      <c r="BK117" s="659">
        <v>0</v>
      </c>
      <c r="BL117" s="659">
        <v>0</v>
      </c>
      <c r="BM117" s="659">
        <v>0</v>
      </c>
      <c r="BN117" s="659">
        <v>0</v>
      </c>
      <c r="BO117" s="659">
        <v>0</v>
      </c>
      <c r="BP117" s="659">
        <v>0</v>
      </c>
      <c r="BQ117" s="659">
        <v>0</v>
      </c>
      <c r="BR117" s="659">
        <v>0</v>
      </c>
      <c r="BS117" s="659">
        <v>0</v>
      </c>
      <c r="BT117" s="659">
        <v>0</v>
      </c>
      <c r="BU117" s="659">
        <v>0</v>
      </c>
      <c r="BV117" s="659">
        <v>0</v>
      </c>
      <c r="BW117" s="659">
        <v>0</v>
      </c>
      <c r="BX117" s="659">
        <v>0</v>
      </c>
      <c r="BY117" s="659">
        <v>0</v>
      </c>
      <c r="BZ117" s="659">
        <v>0</v>
      </c>
      <c r="CA117" s="659">
        <v>0</v>
      </c>
      <c r="CB117" s="659">
        <v>0</v>
      </c>
      <c r="CC117" s="659">
        <v>0</v>
      </c>
      <c r="CD117" s="659">
        <v>0</v>
      </c>
      <c r="CE117" s="659">
        <v>0</v>
      </c>
      <c r="CF117" s="659">
        <v>0</v>
      </c>
      <c r="CG117" s="659">
        <v>0</v>
      </c>
      <c r="CH117" s="659">
        <v>0</v>
      </c>
      <c r="CI117" s="659">
        <v>0</v>
      </c>
      <c r="CJ117" s="659">
        <v>0</v>
      </c>
      <c r="CK117" s="659">
        <v>0</v>
      </c>
      <c r="CL117" s="659">
        <v>0</v>
      </c>
      <c r="CM117" s="659">
        <v>0</v>
      </c>
      <c r="CN117" s="659">
        <v>0</v>
      </c>
      <c r="CO117" s="659">
        <v>0</v>
      </c>
      <c r="CP117" s="659">
        <v>0</v>
      </c>
      <c r="CQ117" s="659">
        <v>0</v>
      </c>
      <c r="CR117" s="659">
        <v>0</v>
      </c>
      <c r="CS117" s="659">
        <v>0</v>
      </c>
      <c r="CT117" s="659">
        <v>0</v>
      </c>
      <c r="CU117" s="659">
        <v>0</v>
      </c>
      <c r="CV117" s="659">
        <v>0</v>
      </c>
      <c r="CW117" s="659">
        <v>0</v>
      </c>
      <c r="CX117" s="659">
        <v>0</v>
      </c>
      <c r="CY117" s="659">
        <v>0</v>
      </c>
      <c r="CZ117" s="659">
        <v>0</v>
      </c>
      <c r="DA117" s="659">
        <v>0</v>
      </c>
      <c r="DB117" s="659">
        <v>0</v>
      </c>
      <c r="DC117" s="659">
        <v>0</v>
      </c>
      <c r="DD117" s="659">
        <v>0</v>
      </c>
      <c r="DE117" s="659">
        <v>0</v>
      </c>
      <c r="DF117" s="659">
        <v>0</v>
      </c>
      <c r="DG117" s="659">
        <v>0</v>
      </c>
      <c r="DH117" s="659">
        <v>0</v>
      </c>
      <c r="DI117" s="659">
        <v>0</v>
      </c>
      <c r="DJ117" s="659">
        <v>0</v>
      </c>
      <c r="DK117" s="659">
        <v>0</v>
      </c>
      <c r="DL117" s="659">
        <v>0</v>
      </c>
      <c r="DM117" s="659">
        <v>0</v>
      </c>
      <c r="DN117" s="659">
        <v>0</v>
      </c>
      <c r="DO117" s="659">
        <v>0</v>
      </c>
      <c r="DP117" s="659">
        <v>0</v>
      </c>
      <c r="DQ117" s="659">
        <v>0</v>
      </c>
      <c r="DR117" s="659">
        <v>0</v>
      </c>
      <c r="DS117" s="659">
        <v>0</v>
      </c>
      <c r="DT117" s="659">
        <v>0</v>
      </c>
      <c r="DU117" s="659">
        <v>0</v>
      </c>
      <c r="DV117" s="659">
        <v>0</v>
      </c>
      <c r="DW117" s="659">
        <v>0</v>
      </c>
      <c r="DX117" s="659">
        <v>0</v>
      </c>
      <c r="DY117" s="659">
        <v>0</v>
      </c>
      <c r="DZ117" s="659">
        <v>0</v>
      </c>
      <c r="EA117" s="659">
        <v>0</v>
      </c>
      <c r="EB117" s="659">
        <v>0</v>
      </c>
      <c r="EC117" s="659">
        <v>0</v>
      </c>
      <c r="ED117" s="659">
        <v>0</v>
      </c>
      <c r="EE117" s="659">
        <v>0</v>
      </c>
      <c r="EF117" s="659">
        <v>0</v>
      </c>
      <c r="EG117" s="659">
        <v>0</v>
      </c>
      <c r="EH117" s="659">
        <v>0</v>
      </c>
      <c r="EI117" s="659">
        <v>0</v>
      </c>
      <c r="EJ117" s="659">
        <v>0</v>
      </c>
      <c r="EK117" s="659">
        <v>0</v>
      </c>
      <c r="EL117" s="659">
        <v>0</v>
      </c>
      <c r="EM117" s="659">
        <v>0</v>
      </c>
      <c r="EN117" s="659">
        <v>0</v>
      </c>
      <c r="EO117" s="659">
        <v>0</v>
      </c>
      <c r="EP117" s="659">
        <v>0</v>
      </c>
      <c r="EQ117" s="659">
        <v>0</v>
      </c>
    </row>
    <row r="118" spans="1:147" ht="20.7" customHeight="1" x14ac:dyDescent="0.3">
      <c r="A118" s="657" t="s">
        <v>1774</v>
      </c>
      <c r="B118" s="658" t="s">
        <v>269</v>
      </c>
      <c r="C118" s="659">
        <v>15670</v>
      </c>
      <c r="D118" s="659">
        <v>0</v>
      </c>
      <c r="E118" s="659">
        <v>0</v>
      </c>
      <c r="F118" s="659">
        <v>3789405</v>
      </c>
      <c r="G118" s="659">
        <v>0</v>
      </c>
      <c r="H118" s="659">
        <v>0</v>
      </c>
      <c r="I118" s="659">
        <v>3681541</v>
      </c>
      <c r="J118" s="801">
        <v>276</v>
      </c>
      <c r="K118" s="659">
        <v>0</v>
      </c>
      <c r="L118" s="659">
        <v>0</v>
      </c>
      <c r="M118" s="659">
        <v>61502</v>
      </c>
      <c r="N118" s="659">
        <v>0</v>
      </c>
      <c r="O118" s="659">
        <v>0</v>
      </c>
      <c r="P118" s="659">
        <v>61502</v>
      </c>
      <c r="Q118" s="801">
        <v>0</v>
      </c>
      <c r="R118" s="659">
        <v>0</v>
      </c>
      <c r="S118" s="659">
        <v>0</v>
      </c>
      <c r="T118" s="659">
        <v>0</v>
      </c>
      <c r="U118" s="659">
        <v>0</v>
      </c>
      <c r="V118" s="659">
        <v>0</v>
      </c>
      <c r="W118" s="801">
        <v>10</v>
      </c>
      <c r="X118" s="659">
        <v>0</v>
      </c>
      <c r="Y118" s="659">
        <v>0</v>
      </c>
      <c r="Z118" s="659">
        <v>3000</v>
      </c>
      <c r="AA118" s="659">
        <v>0</v>
      </c>
      <c r="AB118" s="659">
        <v>0</v>
      </c>
      <c r="AC118" s="659">
        <v>3000</v>
      </c>
      <c r="AD118" s="801">
        <v>41</v>
      </c>
      <c r="AE118" s="659">
        <v>0</v>
      </c>
      <c r="AF118" s="659">
        <v>0</v>
      </c>
      <c r="AG118" s="659">
        <v>12950</v>
      </c>
      <c r="AH118" s="659">
        <v>0</v>
      </c>
      <c r="AI118" s="659">
        <v>0</v>
      </c>
      <c r="AJ118" s="659">
        <v>12950</v>
      </c>
      <c r="AK118" s="801">
        <v>104</v>
      </c>
      <c r="AL118" s="659">
        <v>0</v>
      </c>
      <c r="AM118" s="659">
        <v>36961</v>
      </c>
      <c r="AN118" s="659">
        <v>0</v>
      </c>
      <c r="AO118" s="659">
        <v>0</v>
      </c>
      <c r="AP118" s="659">
        <v>36961</v>
      </c>
      <c r="AQ118" s="801">
        <v>181</v>
      </c>
      <c r="AR118" s="659">
        <v>0</v>
      </c>
      <c r="AS118" s="659">
        <v>0</v>
      </c>
      <c r="AT118" s="659">
        <v>49605</v>
      </c>
      <c r="AU118" s="659">
        <v>0</v>
      </c>
      <c r="AV118" s="659">
        <v>0</v>
      </c>
      <c r="AW118" s="659">
        <v>46885</v>
      </c>
      <c r="AX118" s="659">
        <v>20</v>
      </c>
      <c r="AY118" s="659">
        <v>0</v>
      </c>
      <c r="AZ118" s="659">
        <v>0</v>
      </c>
      <c r="BA118" s="659">
        <v>3233</v>
      </c>
      <c r="BB118" s="659">
        <v>0</v>
      </c>
      <c r="BC118" s="659">
        <v>0</v>
      </c>
      <c r="BD118" s="659">
        <v>3220</v>
      </c>
      <c r="BE118" s="801">
        <v>172</v>
      </c>
      <c r="BF118" s="659">
        <v>0</v>
      </c>
      <c r="BG118" s="659">
        <v>0</v>
      </c>
      <c r="BH118" s="659">
        <v>49980</v>
      </c>
      <c r="BI118" s="659">
        <v>0</v>
      </c>
      <c r="BJ118" s="659">
        <v>0</v>
      </c>
      <c r="BK118" s="659">
        <v>49980</v>
      </c>
      <c r="BL118" s="659">
        <v>88</v>
      </c>
      <c r="BM118" s="659">
        <v>0</v>
      </c>
      <c r="BN118" s="659">
        <v>0</v>
      </c>
      <c r="BO118" s="659">
        <v>21882</v>
      </c>
      <c r="BP118" s="659">
        <v>0</v>
      </c>
      <c r="BQ118" s="659">
        <v>0</v>
      </c>
      <c r="BR118" s="659">
        <v>21039</v>
      </c>
      <c r="BS118" s="659">
        <v>176</v>
      </c>
      <c r="BT118" s="659">
        <v>0</v>
      </c>
      <c r="BU118" s="659">
        <v>0</v>
      </c>
      <c r="BV118" s="659">
        <v>35990</v>
      </c>
      <c r="BW118" s="659">
        <v>0</v>
      </c>
      <c r="BX118" s="659">
        <v>0</v>
      </c>
      <c r="BY118" s="659">
        <v>35990</v>
      </c>
      <c r="BZ118" s="659">
        <v>348</v>
      </c>
      <c r="CA118" s="659">
        <v>0</v>
      </c>
      <c r="CB118" s="659">
        <v>0</v>
      </c>
      <c r="CC118" s="659">
        <v>109281</v>
      </c>
      <c r="CD118" s="659">
        <v>0</v>
      </c>
      <c r="CE118" s="659">
        <v>0</v>
      </c>
      <c r="CF118" s="659">
        <v>107397</v>
      </c>
      <c r="CG118" s="659">
        <v>828</v>
      </c>
      <c r="CH118" s="659">
        <v>0</v>
      </c>
      <c r="CI118" s="659">
        <v>0</v>
      </c>
      <c r="CJ118" s="659">
        <v>198130</v>
      </c>
      <c r="CK118" s="659">
        <v>0</v>
      </c>
      <c r="CL118" s="659">
        <v>0</v>
      </c>
      <c r="CM118" s="659">
        <v>183550</v>
      </c>
      <c r="CN118" s="659">
        <v>2160</v>
      </c>
      <c r="CO118" s="659">
        <v>0</v>
      </c>
      <c r="CP118" s="659">
        <v>0</v>
      </c>
      <c r="CQ118" s="659">
        <v>644200</v>
      </c>
      <c r="CR118" s="659">
        <v>0</v>
      </c>
      <c r="CS118" s="659">
        <v>0</v>
      </c>
      <c r="CT118" s="659">
        <v>624200</v>
      </c>
      <c r="CU118" s="659">
        <v>160</v>
      </c>
      <c r="CV118" s="659">
        <v>0</v>
      </c>
      <c r="CW118" s="659">
        <v>0</v>
      </c>
      <c r="CX118" s="659">
        <v>22400</v>
      </c>
      <c r="CY118" s="659">
        <v>0</v>
      </c>
      <c r="CZ118" s="659">
        <v>0</v>
      </c>
      <c r="DA118" s="659">
        <v>22400</v>
      </c>
      <c r="DB118" s="659">
        <v>2551</v>
      </c>
      <c r="DC118" s="659">
        <v>0</v>
      </c>
      <c r="DD118" s="659">
        <v>0</v>
      </c>
      <c r="DE118" s="659">
        <v>738485</v>
      </c>
      <c r="DF118" s="659">
        <v>0</v>
      </c>
      <c r="DG118" s="659">
        <v>0</v>
      </c>
      <c r="DH118" s="659">
        <v>711776</v>
      </c>
      <c r="DI118" s="659">
        <v>3690</v>
      </c>
      <c r="DJ118" s="659">
        <v>0</v>
      </c>
      <c r="DK118" s="659">
        <v>0</v>
      </c>
      <c r="DL118" s="659">
        <v>818200</v>
      </c>
      <c r="DM118" s="659">
        <v>0</v>
      </c>
      <c r="DN118" s="659">
        <v>0</v>
      </c>
      <c r="DO118" s="659">
        <v>792415</v>
      </c>
      <c r="DP118" s="659">
        <v>1141</v>
      </c>
      <c r="DQ118" s="659">
        <v>0</v>
      </c>
      <c r="DR118" s="659">
        <v>0</v>
      </c>
      <c r="DS118" s="659">
        <v>222205</v>
      </c>
      <c r="DT118" s="659">
        <v>0</v>
      </c>
      <c r="DU118" s="659">
        <v>0</v>
      </c>
      <c r="DV118" s="659">
        <v>221416</v>
      </c>
      <c r="DW118" s="659">
        <v>941</v>
      </c>
      <c r="DX118" s="659">
        <v>0</v>
      </c>
      <c r="DY118" s="659">
        <v>0</v>
      </c>
      <c r="DZ118" s="659">
        <v>256240</v>
      </c>
      <c r="EA118" s="659">
        <v>0</v>
      </c>
      <c r="EB118" s="659">
        <v>0</v>
      </c>
      <c r="EC118" s="659">
        <v>251369</v>
      </c>
      <c r="ED118" s="659">
        <v>2320</v>
      </c>
      <c r="EE118" s="659">
        <v>0</v>
      </c>
      <c r="EF118" s="659">
        <v>0</v>
      </c>
      <c r="EG118" s="659">
        <v>412980</v>
      </c>
      <c r="EH118" s="659">
        <v>0</v>
      </c>
      <c r="EI118" s="659">
        <v>0</v>
      </c>
      <c r="EJ118" s="659">
        <v>403310</v>
      </c>
      <c r="EK118" s="659">
        <v>463</v>
      </c>
      <c r="EL118" s="659">
        <v>0</v>
      </c>
      <c r="EM118" s="659">
        <v>0</v>
      </c>
      <c r="EN118" s="659">
        <v>92181</v>
      </c>
      <c r="EO118" s="659">
        <v>0</v>
      </c>
      <c r="EP118" s="659">
        <v>0</v>
      </c>
      <c r="EQ118" s="659">
        <v>92181</v>
      </c>
    </row>
    <row r="119" spans="1:147" ht="13.95" customHeight="1" x14ac:dyDescent="0.3">
      <c r="A119" s="657" t="s">
        <v>1775</v>
      </c>
      <c r="B119" s="658" t="s">
        <v>269</v>
      </c>
      <c r="C119" s="659">
        <v>0</v>
      </c>
      <c r="D119" s="659">
        <v>0</v>
      </c>
      <c r="E119" s="659">
        <v>0</v>
      </c>
      <c r="F119" s="659">
        <v>0</v>
      </c>
      <c r="G119" s="659">
        <v>0</v>
      </c>
      <c r="H119" s="659">
        <v>0</v>
      </c>
      <c r="I119" s="659">
        <v>0</v>
      </c>
      <c r="J119" s="801">
        <v>0</v>
      </c>
      <c r="K119" s="659">
        <v>0</v>
      </c>
      <c r="L119" s="659">
        <v>0</v>
      </c>
      <c r="M119" s="659">
        <v>0</v>
      </c>
      <c r="N119" s="659">
        <v>0</v>
      </c>
      <c r="O119" s="659">
        <v>0</v>
      </c>
      <c r="P119" s="659">
        <v>0</v>
      </c>
      <c r="Q119" s="801">
        <v>0</v>
      </c>
      <c r="R119" s="659">
        <v>0</v>
      </c>
      <c r="S119" s="659">
        <v>0</v>
      </c>
      <c r="T119" s="659">
        <v>0</v>
      </c>
      <c r="U119" s="659">
        <v>0</v>
      </c>
      <c r="V119" s="659">
        <v>0</v>
      </c>
      <c r="W119" s="801">
        <v>0</v>
      </c>
      <c r="X119" s="659">
        <v>0</v>
      </c>
      <c r="Y119" s="659">
        <v>0</v>
      </c>
      <c r="Z119" s="659">
        <v>0</v>
      </c>
      <c r="AA119" s="659">
        <v>0</v>
      </c>
      <c r="AB119" s="659">
        <v>0</v>
      </c>
      <c r="AC119" s="659">
        <v>0</v>
      </c>
      <c r="AD119" s="801">
        <v>0</v>
      </c>
      <c r="AE119" s="659">
        <v>0</v>
      </c>
      <c r="AF119" s="659">
        <v>0</v>
      </c>
      <c r="AG119" s="659">
        <v>0</v>
      </c>
      <c r="AH119" s="659">
        <v>0</v>
      </c>
      <c r="AI119" s="659">
        <v>0</v>
      </c>
      <c r="AJ119" s="659">
        <v>0</v>
      </c>
      <c r="AK119" s="801">
        <v>0</v>
      </c>
      <c r="AL119" s="659">
        <v>0</v>
      </c>
      <c r="AM119" s="659">
        <v>0</v>
      </c>
      <c r="AN119" s="659">
        <v>0</v>
      </c>
      <c r="AO119" s="659">
        <v>0</v>
      </c>
      <c r="AP119" s="659">
        <v>0</v>
      </c>
      <c r="AQ119" s="801">
        <v>0</v>
      </c>
      <c r="AR119" s="659">
        <v>0</v>
      </c>
      <c r="AS119" s="659">
        <v>0</v>
      </c>
      <c r="AT119" s="659">
        <v>0</v>
      </c>
      <c r="AU119" s="659">
        <v>0</v>
      </c>
      <c r="AV119" s="659">
        <v>0</v>
      </c>
      <c r="AW119" s="659">
        <v>0</v>
      </c>
      <c r="AX119" s="659">
        <v>0</v>
      </c>
      <c r="AY119" s="659">
        <v>0</v>
      </c>
      <c r="AZ119" s="659">
        <v>0</v>
      </c>
      <c r="BA119" s="659">
        <v>0</v>
      </c>
      <c r="BB119" s="659">
        <v>0</v>
      </c>
      <c r="BC119" s="659">
        <v>0</v>
      </c>
      <c r="BD119" s="659">
        <v>0</v>
      </c>
      <c r="BE119" s="801">
        <v>0</v>
      </c>
      <c r="BF119" s="659">
        <v>0</v>
      </c>
      <c r="BG119" s="659">
        <v>0</v>
      </c>
      <c r="BH119" s="659">
        <v>0</v>
      </c>
      <c r="BI119" s="659">
        <v>0</v>
      </c>
      <c r="BJ119" s="659">
        <v>0</v>
      </c>
      <c r="BK119" s="659">
        <v>0</v>
      </c>
      <c r="BL119" s="659">
        <v>0</v>
      </c>
      <c r="BM119" s="659">
        <v>0</v>
      </c>
      <c r="BN119" s="659">
        <v>0</v>
      </c>
      <c r="BO119" s="659">
        <v>0</v>
      </c>
      <c r="BP119" s="659">
        <v>0</v>
      </c>
      <c r="BQ119" s="659">
        <v>0</v>
      </c>
      <c r="BR119" s="659">
        <v>0</v>
      </c>
      <c r="BS119" s="659">
        <v>0</v>
      </c>
      <c r="BT119" s="659">
        <v>0</v>
      </c>
      <c r="BU119" s="659">
        <v>0</v>
      </c>
      <c r="BV119" s="659">
        <v>0</v>
      </c>
      <c r="BW119" s="659">
        <v>0</v>
      </c>
      <c r="BX119" s="659">
        <v>0</v>
      </c>
      <c r="BY119" s="659">
        <v>0</v>
      </c>
      <c r="BZ119" s="659">
        <v>0</v>
      </c>
      <c r="CA119" s="659">
        <v>0</v>
      </c>
      <c r="CB119" s="659">
        <v>0</v>
      </c>
      <c r="CC119" s="659">
        <v>0</v>
      </c>
      <c r="CD119" s="659">
        <v>0</v>
      </c>
      <c r="CE119" s="659">
        <v>0</v>
      </c>
      <c r="CF119" s="659">
        <v>0</v>
      </c>
      <c r="CG119" s="659">
        <v>0</v>
      </c>
      <c r="CH119" s="659">
        <v>0</v>
      </c>
      <c r="CI119" s="659">
        <v>0</v>
      </c>
      <c r="CJ119" s="659">
        <v>0</v>
      </c>
      <c r="CK119" s="659">
        <v>0</v>
      </c>
      <c r="CL119" s="659">
        <v>0</v>
      </c>
      <c r="CM119" s="659">
        <v>0</v>
      </c>
      <c r="CN119" s="659">
        <v>0</v>
      </c>
      <c r="CO119" s="659">
        <v>0</v>
      </c>
      <c r="CP119" s="659">
        <v>0</v>
      </c>
      <c r="CQ119" s="659">
        <v>0</v>
      </c>
      <c r="CR119" s="659">
        <v>0</v>
      </c>
      <c r="CS119" s="659">
        <v>0</v>
      </c>
      <c r="CT119" s="659">
        <v>0</v>
      </c>
      <c r="CU119" s="659">
        <v>0</v>
      </c>
      <c r="CV119" s="659">
        <v>0</v>
      </c>
      <c r="CW119" s="659">
        <v>0</v>
      </c>
      <c r="CX119" s="659">
        <v>0</v>
      </c>
      <c r="CY119" s="659">
        <v>0</v>
      </c>
      <c r="CZ119" s="659">
        <v>0</v>
      </c>
      <c r="DA119" s="659">
        <v>0</v>
      </c>
      <c r="DB119" s="659">
        <v>0</v>
      </c>
      <c r="DC119" s="659">
        <v>0</v>
      </c>
      <c r="DD119" s="659">
        <v>0</v>
      </c>
      <c r="DE119" s="659">
        <v>0</v>
      </c>
      <c r="DF119" s="659">
        <v>0</v>
      </c>
      <c r="DG119" s="659">
        <v>0</v>
      </c>
      <c r="DH119" s="659">
        <v>0</v>
      </c>
      <c r="DI119" s="659">
        <v>0</v>
      </c>
      <c r="DJ119" s="659">
        <v>0</v>
      </c>
      <c r="DK119" s="659">
        <v>0</v>
      </c>
      <c r="DL119" s="659">
        <v>0</v>
      </c>
      <c r="DM119" s="659">
        <v>0</v>
      </c>
      <c r="DN119" s="659">
        <v>0</v>
      </c>
      <c r="DO119" s="659">
        <v>0</v>
      </c>
      <c r="DP119" s="659">
        <v>0</v>
      </c>
      <c r="DQ119" s="659">
        <v>0</v>
      </c>
      <c r="DR119" s="659">
        <v>0</v>
      </c>
      <c r="DS119" s="659">
        <v>0</v>
      </c>
      <c r="DT119" s="659">
        <v>0</v>
      </c>
      <c r="DU119" s="659">
        <v>0</v>
      </c>
      <c r="DV119" s="659">
        <v>0</v>
      </c>
      <c r="DW119" s="659">
        <v>0</v>
      </c>
      <c r="DX119" s="659">
        <v>0</v>
      </c>
      <c r="DY119" s="659">
        <v>0</v>
      </c>
      <c r="DZ119" s="659">
        <v>0</v>
      </c>
      <c r="EA119" s="659">
        <v>0</v>
      </c>
      <c r="EB119" s="659">
        <v>0</v>
      </c>
      <c r="EC119" s="659">
        <v>0</v>
      </c>
      <c r="ED119" s="659">
        <v>0</v>
      </c>
      <c r="EE119" s="659">
        <v>0</v>
      </c>
      <c r="EF119" s="659">
        <v>0</v>
      </c>
      <c r="EG119" s="659">
        <v>0</v>
      </c>
      <c r="EH119" s="659">
        <v>0</v>
      </c>
      <c r="EI119" s="659">
        <v>0</v>
      </c>
      <c r="EJ119" s="659">
        <v>0</v>
      </c>
      <c r="EK119" s="659">
        <v>0</v>
      </c>
      <c r="EL119" s="659">
        <v>0</v>
      </c>
      <c r="EM119" s="659">
        <v>0</v>
      </c>
      <c r="EN119" s="659">
        <v>0</v>
      </c>
      <c r="EO119" s="659">
        <v>0</v>
      </c>
      <c r="EP119" s="659">
        <v>0</v>
      </c>
      <c r="EQ119" s="659">
        <v>0</v>
      </c>
    </row>
    <row r="120" spans="1:147" ht="13.95" customHeight="1" x14ac:dyDescent="0.3">
      <c r="A120" s="657" t="s">
        <v>1776</v>
      </c>
      <c r="B120" s="658" t="s">
        <v>269</v>
      </c>
      <c r="C120" s="659">
        <f t="shared" ref="C120:BN120" si="65">C121+C122+C123+C125+C126+C127+C128+C129+C130+C131+C132+C133+C134+C135+C136+C137+C138+C139+C140+C141+C142+C143++C144+C145+C146+C147+152</f>
        <v>269615</v>
      </c>
      <c r="D120" s="659">
        <f t="shared" si="65"/>
        <v>152</v>
      </c>
      <c r="E120" s="659">
        <f t="shared" si="65"/>
        <v>152</v>
      </c>
      <c r="F120" s="659">
        <f t="shared" si="65"/>
        <v>59571358</v>
      </c>
      <c r="G120" s="659">
        <f t="shared" si="65"/>
        <v>152</v>
      </c>
      <c r="H120" s="659">
        <f t="shared" si="65"/>
        <v>152</v>
      </c>
      <c r="I120" s="659">
        <f t="shared" si="65"/>
        <v>57581909</v>
      </c>
      <c r="J120" s="801">
        <f t="shared" si="65"/>
        <v>6541</v>
      </c>
      <c r="K120" s="659">
        <f t="shared" si="65"/>
        <v>152</v>
      </c>
      <c r="L120" s="659">
        <f t="shared" si="65"/>
        <v>152</v>
      </c>
      <c r="M120" s="659">
        <f t="shared" si="65"/>
        <v>1774715</v>
      </c>
      <c r="N120" s="659">
        <f t="shared" si="65"/>
        <v>152</v>
      </c>
      <c r="O120" s="659">
        <f t="shared" si="65"/>
        <v>152</v>
      </c>
      <c r="P120" s="659">
        <f t="shared" si="65"/>
        <v>1767755</v>
      </c>
      <c r="Q120" s="801">
        <f t="shared" si="65"/>
        <v>152</v>
      </c>
      <c r="R120" s="659">
        <f t="shared" si="65"/>
        <v>152</v>
      </c>
      <c r="S120" s="659">
        <f t="shared" si="65"/>
        <v>152</v>
      </c>
      <c r="T120" s="659">
        <f t="shared" si="65"/>
        <v>152</v>
      </c>
      <c r="U120" s="659">
        <f t="shared" si="65"/>
        <v>152</v>
      </c>
      <c r="V120" s="659">
        <f t="shared" si="65"/>
        <v>152</v>
      </c>
      <c r="W120" s="801">
        <f t="shared" si="65"/>
        <v>935</v>
      </c>
      <c r="X120" s="659">
        <f t="shared" si="65"/>
        <v>152</v>
      </c>
      <c r="Y120" s="659">
        <f t="shared" si="65"/>
        <v>152</v>
      </c>
      <c r="Z120" s="659">
        <f t="shared" si="65"/>
        <v>157848</v>
      </c>
      <c r="AA120" s="659">
        <f t="shared" si="65"/>
        <v>152</v>
      </c>
      <c r="AB120" s="659">
        <f t="shared" si="65"/>
        <v>152</v>
      </c>
      <c r="AC120" s="659">
        <f t="shared" si="65"/>
        <v>156130</v>
      </c>
      <c r="AD120" s="801">
        <f t="shared" si="65"/>
        <v>8979</v>
      </c>
      <c r="AE120" s="659">
        <f t="shared" si="65"/>
        <v>152</v>
      </c>
      <c r="AF120" s="659">
        <f t="shared" si="65"/>
        <v>152</v>
      </c>
      <c r="AG120" s="659">
        <f t="shared" si="65"/>
        <v>2521786</v>
      </c>
      <c r="AH120" s="659">
        <f t="shared" si="65"/>
        <v>152</v>
      </c>
      <c r="AI120" s="659">
        <f t="shared" si="65"/>
        <v>152</v>
      </c>
      <c r="AJ120" s="659">
        <f t="shared" si="65"/>
        <v>2520786</v>
      </c>
      <c r="AK120" s="801">
        <f t="shared" si="65"/>
        <v>366</v>
      </c>
      <c r="AL120" s="659">
        <f t="shared" si="65"/>
        <v>152</v>
      </c>
      <c r="AM120" s="659">
        <f t="shared" si="65"/>
        <v>57995</v>
      </c>
      <c r="AN120" s="659">
        <f t="shared" si="65"/>
        <v>152</v>
      </c>
      <c r="AO120" s="659">
        <f t="shared" si="65"/>
        <v>152</v>
      </c>
      <c r="AP120" s="659">
        <f t="shared" si="65"/>
        <v>57995</v>
      </c>
      <c r="AQ120" s="801">
        <f t="shared" si="65"/>
        <v>17693</v>
      </c>
      <c r="AR120" s="659">
        <f t="shared" si="65"/>
        <v>152</v>
      </c>
      <c r="AS120" s="659">
        <f t="shared" si="65"/>
        <v>152</v>
      </c>
      <c r="AT120" s="659">
        <f t="shared" si="65"/>
        <v>3437879</v>
      </c>
      <c r="AU120" s="659">
        <f t="shared" si="65"/>
        <v>152</v>
      </c>
      <c r="AV120" s="659">
        <f t="shared" si="65"/>
        <v>152</v>
      </c>
      <c r="AW120" s="659">
        <f t="shared" si="65"/>
        <v>3300689</v>
      </c>
      <c r="AX120" s="659">
        <f t="shared" si="65"/>
        <v>549</v>
      </c>
      <c r="AY120" s="659">
        <f t="shared" si="65"/>
        <v>152</v>
      </c>
      <c r="AZ120" s="659">
        <f t="shared" si="65"/>
        <v>152</v>
      </c>
      <c r="BA120" s="659">
        <f t="shared" si="65"/>
        <v>63074</v>
      </c>
      <c r="BB120" s="659">
        <f t="shared" si="65"/>
        <v>152</v>
      </c>
      <c r="BC120" s="659">
        <f t="shared" si="65"/>
        <v>152</v>
      </c>
      <c r="BD120" s="659">
        <f t="shared" si="65"/>
        <v>61771</v>
      </c>
      <c r="BE120" s="801">
        <f t="shared" si="65"/>
        <v>25276</v>
      </c>
      <c r="BF120" s="659">
        <f t="shared" si="65"/>
        <v>152</v>
      </c>
      <c r="BG120" s="659">
        <f t="shared" si="65"/>
        <v>152</v>
      </c>
      <c r="BH120" s="659">
        <f t="shared" si="65"/>
        <v>5844615</v>
      </c>
      <c r="BI120" s="659">
        <f t="shared" si="65"/>
        <v>152</v>
      </c>
      <c r="BJ120" s="659">
        <f t="shared" si="65"/>
        <v>152</v>
      </c>
      <c r="BK120" s="659">
        <f t="shared" si="65"/>
        <v>5844615</v>
      </c>
      <c r="BL120" s="659">
        <f t="shared" si="65"/>
        <v>4584</v>
      </c>
      <c r="BM120" s="659">
        <f t="shared" si="65"/>
        <v>152</v>
      </c>
      <c r="BN120" s="659">
        <f t="shared" si="65"/>
        <v>152</v>
      </c>
      <c r="BO120" s="659">
        <f t="shared" ref="BO120:DZ120" si="66">BO121+BO122+BO123+BO125+BO126+BO127+BO128+BO129+BO130+BO131+BO132+BO133+BO134+BO135+BO136+BO137+BO138+BO139+BO140+BO141+BO142+BO143++BO144+BO145+BO146+BO147+152</f>
        <v>819328</v>
      </c>
      <c r="BP120" s="659">
        <f t="shared" si="66"/>
        <v>152</v>
      </c>
      <c r="BQ120" s="659">
        <f t="shared" si="66"/>
        <v>152</v>
      </c>
      <c r="BR120" s="659">
        <f t="shared" si="66"/>
        <v>797428</v>
      </c>
      <c r="BS120" s="659">
        <f t="shared" si="66"/>
        <v>1472</v>
      </c>
      <c r="BT120" s="659">
        <f t="shared" si="66"/>
        <v>152</v>
      </c>
      <c r="BU120" s="659">
        <f t="shared" si="66"/>
        <v>152</v>
      </c>
      <c r="BV120" s="659">
        <f t="shared" si="66"/>
        <v>254224</v>
      </c>
      <c r="BW120" s="659">
        <f t="shared" si="66"/>
        <v>152</v>
      </c>
      <c r="BX120" s="659">
        <f t="shared" si="66"/>
        <v>152</v>
      </c>
      <c r="BY120" s="659">
        <f t="shared" si="66"/>
        <v>254224</v>
      </c>
      <c r="BZ120" s="659">
        <f t="shared" si="66"/>
        <v>8288</v>
      </c>
      <c r="CA120" s="659">
        <f t="shared" si="66"/>
        <v>152</v>
      </c>
      <c r="CB120" s="659">
        <f t="shared" si="66"/>
        <v>152</v>
      </c>
      <c r="CC120" s="659">
        <f t="shared" si="66"/>
        <v>923085</v>
      </c>
      <c r="CD120" s="659">
        <f t="shared" si="66"/>
        <v>152</v>
      </c>
      <c r="CE120" s="659">
        <f t="shared" si="66"/>
        <v>152</v>
      </c>
      <c r="CF120" s="659">
        <f t="shared" si="66"/>
        <v>911837</v>
      </c>
      <c r="CG120" s="659">
        <f t="shared" si="66"/>
        <v>16072</v>
      </c>
      <c r="CH120" s="659">
        <f t="shared" si="66"/>
        <v>152</v>
      </c>
      <c r="CI120" s="659">
        <f t="shared" si="66"/>
        <v>152</v>
      </c>
      <c r="CJ120" s="659">
        <f t="shared" si="66"/>
        <v>5150842</v>
      </c>
      <c r="CK120" s="659">
        <f t="shared" si="66"/>
        <v>152</v>
      </c>
      <c r="CL120" s="659">
        <f t="shared" si="66"/>
        <v>152</v>
      </c>
      <c r="CM120" s="659">
        <f t="shared" si="66"/>
        <v>4596753</v>
      </c>
      <c r="CN120" s="659">
        <f t="shared" si="66"/>
        <v>14289</v>
      </c>
      <c r="CO120" s="659">
        <f t="shared" si="66"/>
        <v>152</v>
      </c>
      <c r="CP120" s="659">
        <f t="shared" si="66"/>
        <v>152</v>
      </c>
      <c r="CQ120" s="659">
        <f t="shared" si="66"/>
        <v>4348684</v>
      </c>
      <c r="CR120" s="659">
        <f t="shared" si="66"/>
        <v>152</v>
      </c>
      <c r="CS120" s="659">
        <f t="shared" si="66"/>
        <v>152</v>
      </c>
      <c r="CT120" s="659">
        <f t="shared" si="66"/>
        <v>4338654</v>
      </c>
      <c r="CU120" s="659">
        <f t="shared" si="66"/>
        <v>3976</v>
      </c>
      <c r="CV120" s="659">
        <f t="shared" si="66"/>
        <v>152</v>
      </c>
      <c r="CW120" s="659">
        <f t="shared" si="66"/>
        <v>152</v>
      </c>
      <c r="CX120" s="659">
        <f t="shared" si="66"/>
        <v>976272</v>
      </c>
      <c r="CY120" s="659">
        <f t="shared" si="66"/>
        <v>152</v>
      </c>
      <c r="CZ120" s="659">
        <f t="shared" si="66"/>
        <v>152</v>
      </c>
      <c r="DA120" s="659">
        <f t="shared" si="66"/>
        <v>976272</v>
      </c>
      <c r="DB120" s="659">
        <f t="shared" si="66"/>
        <v>19299</v>
      </c>
      <c r="DC120" s="659">
        <f t="shared" si="66"/>
        <v>152</v>
      </c>
      <c r="DD120" s="659">
        <f t="shared" si="66"/>
        <v>152</v>
      </c>
      <c r="DE120" s="659">
        <f t="shared" si="66"/>
        <v>5475898</v>
      </c>
      <c r="DF120" s="659">
        <f t="shared" si="66"/>
        <v>152</v>
      </c>
      <c r="DG120" s="659">
        <f t="shared" si="66"/>
        <v>152</v>
      </c>
      <c r="DH120" s="659">
        <f t="shared" si="66"/>
        <v>5246155</v>
      </c>
      <c r="DI120" s="659">
        <f t="shared" si="66"/>
        <v>59372</v>
      </c>
      <c r="DJ120" s="659">
        <f t="shared" si="66"/>
        <v>152</v>
      </c>
      <c r="DK120" s="659">
        <f t="shared" si="66"/>
        <v>152</v>
      </c>
      <c r="DL120" s="659">
        <f t="shared" si="66"/>
        <v>12012377</v>
      </c>
      <c r="DM120" s="659">
        <f t="shared" si="66"/>
        <v>152</v>
      </c>
      <c r="DN120" s="659">
        <f t="shared" si="66"/>
        <v>152</v>
      </c>
      <c r="DO120" s="659">
        <f t="shared" si="66"/>
        <v>11501117</v>
      </c>
      <c r="DP120" s="659">
        <f t="shared" si="66"/>
        <v>6873</v>
      </c>
      <c r="DQ120" s="659">
        <f t="shared" si="66"/>
        <v>152</v>
      </c>
      <c r="DR120" s="659">
        <f t="shared" si="66"/>
        <v>152</v>
      </c>
      <c r="DS120" s="659">
        <f t="shared" si="66"/>
        <v>1597169</v>
      </c>
      <c r="DT120" s="659">
        <f t="shared" si="66"/>
        <v>152</v>
      </c>
      <c r="DU120" s="659">
        <f t="shared" si="66"/>
        <v>152</v>
      </c>
      <c r="DV120" s="659">
        <f t="shared" si="66"/>
        <v>1565931</v>
      </c>
      <c r="DW120" s="659">
        <f t="shared" si="66"/>
        <v>15079</v>
      </c>
      <c r="DX120" s="659">
        <f t="shared" si="66"/>
        <v>152</v>
      </c>
      <c r="DY120" s="659">
        <f t="shared" si="66"/>
        <v>152</v>
      </c>
      <c r="DZ120" s="659">
        <f t="shared" si="66"/>
        <v>3676050</v>
      </c>
      <c r="EA120" s="659">
        <f t="shared" ref="EA120:EQ120" si="67">EA121+EA122+EA123+EA125+EA126+EA127+EA128+EA129+EA130+EA131+EA132+EA133+EA134+EA135+EA136+EA137+EA138+EA139+EA140+EA141+EA142+EA143++EA144+EA145+EA146+EA147+152</f>
        <v>152</v>
      </c>
      <c r="EB120" s="659">
        <f t="shared" si="67"/>
        <v>152</v>
      </c>
      <c r="EC120" s="659">
        <f t="shared" si="67"/>
        <v>3538288</v>
      </c>
      <c r="ED120" s="659">
        <f t="shared" si="67"/>
        <v>49301</v>
      </c>
      <c r="EE120" s="659">
        <f t="shared" si="67"/>
        <v>152</v>
      </c>
      <c r="EF120" s="659">
        <f t="shared" si="67"/>
        <v>152</v>
      </c>
      <c r="EG120" s="659">
        <f t="shared" si="67"/>
        <v>8170615</v>
      </c>
      <c r="EH120" s="659">
        <f t="shared" si="67"/>
        <v>152</v>
      </c>
      <c r="EI120" s="659">
        <f t="shared" si="67"/>
        <v>152</v>
      </c>
      <c r="EJ120" s="659">
        <f t="shared" si="67"/>
        <v>7836609</v>
      </c>
      <c r="EK120" s="659">
        <f t="shared" si="67"/>
        <v>13407</v>
      </c>
      <c r="EL120" s="659">
        <f t="shared" si="67"/>
        <v>152</v>
      </c>
      <c r="EM120" s="659">
        <f t="shared" si="67"/>
        <v>152</v>
      </c>
      <c r="EN120" s="659">
        <f t="shared" si="67"/>
        <v>2311638</v>
      </c>
      <c r="EO120" s="659">
        <f t="shared" si="67"/>
        <v>152</v>
      </c>
      <c r="EP120" s="659">
        <f t="shared" si="67"/>
        <v>152</v>
      </c>
      <c r="EQ120" s="659">
        <f t="shared" si="67"/>
        <v>2311636</v>
      </c>
    </row>
    <row r="121" spans="1:147" ht="13.95" customHeight="1" x14ac:dyDescent="0.3">
      <c r="A121" s="657" t="s">
        <v>1777</v>
      </c>
      <c r="B121" s="658" t="s">
        <v>269</v>
      </c>
      <c r="C121" s="659">
        <v>16151</v>
      </c>
      <c r="D121" s="659">
        <v>0</v>
      </c>
      <c r="E121" s="659">
        <v>0</v>
      </c>
      <c r="F121" s="659">
        <v>789525</v>
      </c>
      <c r="G121" s="659">
        <v>0</v>
      </c>
      <c r="H121" s="659">
        <v>0</v>
      </c>
      <c r="I121" s="659">
        <v>781102</v>
      </c>
      <c r="J121" s="801">
        <v>352</v>
      </c>
      <c r="K121" s="659">
        <v>0</v>
      </c>
      <c r="L121" s="659">
        <v>0</v>
      </c>
      <c r="M121" s="659">
        <v>25140</v>
      </c>
      <c r="N121" s="659">
        <v>0</v>
      </c>
      <c r="O121" s="659">
        <v>0</v>
      </c>
      <c r="P121" s="659">
        <v>25140</v>
      </c>
      <c r="Q121" s="801">
        <v>0</v>
      </c>
      <c r="R121" s="659">
        <v>0</v>
      </c>
      <c r="S121" s="659">
        <v>0</v>
      </c>
      <c r="T121" s="659">
        <v>0</v>
      </c>
      <c r="U121" s="659">
        <v>0</v>
      </c>
      <c r="V121" s="659">
        <v>0</v>
      </c>
      <c r="W121" s="801">
        <v>30</v>
      </c>
      <c r="X121" s="659">
        <v>0</v>
      </c>
      <c r="Y121" s="659">
        <v>0</v>
      </c>
      <c r="Z121" s="659">
        <v>180</v>
      </c>
      <c r="AA121" s="659">
        <v>0</v>
      </c>
      <c r="AB121" s="659">
        <v>0</v>
      </c>
      <c r="AC121" s="659">
        <v>180</v>
      </c>
      <c r="AD121" s="801">
        <v>482</v>
      </c>
      <c r="AE121" s="659">
        <v>0</v>
      </c>
      <c r="AF121" s="659">
        <v>0</v>
      </c>
      <c r="AG121" s="659">
        <v>23301</v>
      </c>
      <c r="AH121" s="659">
        <v>0</v>
      </c>
      <c r="AI121" s="659">
        <v>0</v>
      </c>
      <c r="AJ121" s="659">
        <v>23301</v>
      </c>
      <c r="AK121" s="801">
        <v>1</v>
      </c>
      <c r="AL121" s="659">
        <v>0</v>
      </c>
      <c r="AM121" s="659">
        <v>80</v>
      </c>
      <c r="AN121" s="659">
        <v>0</v>
      </c>
      <c r="AO121" s="659">
        <v>0</v>
      </c>
      <c r="AP121" s="659">
        <v>80</v>
      </c>
      <c r="AQ121" s="801">
        <v>1485</v>
      </c>
      <c r="AR121" s="659">
        <v>0</v>
      </c>
      <c r="AS121" s="659">
        <v>0</v>
      </c>
      <c r="AT121" s="659">
        <v>46850</v>
      </c>
      <c r="AU121" s="659">
        <v>0</v>
      </c>
      <c r="AV121" s="659">
        <v>0</v>
      </c>
      <c r="AW121" s="659">
        <v>44710</v>
      </c>
      <c r="AX121" s="659">
        <v>0</v>
      </c>
      <c r="AY121" s="659">
        <v>0</v>
      </c>
      <c r="AZ121" s="659">
        <v>0</v>
      </c>
      <c r="BA121" s="659">
        <v>0</v>
      </c>
      <c r="BB121" s="659">
        <v>0</v>
      </c>
      <c r="BC121" s="659">
        <v>0</v>
      </c>
      <c r="BD121" s="659">
        <v>0</v>
      </c>
      <c r="BE121" s="801">
        <v>5759</v>
      </c>
      <c r="BF121" s="659">
        <v>0</v>
      </c>
      <c r="BG121" s="659">
        <v>0</v>
      </c>
      <c r="BH121" s="659">
        <v>341387</v>
      </c>
      <c r="BI121" s="659">
        <v>0</v>
      </c>
      <c r="BJ121" s="659">
        <v>0</v>
      </c>
      <c r="BK121" s="659">
        <v>341387</v>
      </c>
      <c r="BL121" s="659">
        <v>77</v>
      </c>
      <c r="BM121" s="659">
        <v>0</v>
      </c>
      <c r="BN121" s="659">
        <v>0</v>
      </c>
      <c r="BO121" s="659">
        <v>6774</v>
      </c>
      <c r="BP121" s="659">
        <v>0</v>
      </c>
      <c r="BQ121" s="659">
        <v>0</v>
      </c>
      <c r="BR121" s="659">
        <v>6452</v>
      </c>
      <c r="BS121" s="659">
        <v>0</v>
      </c>
      <c r="BT121" s="659">
        <v>0</v>
      </c>
      <c r="BU121" s="659">
        <v>0</v>
      </c>
      <c r="BV121" s="659">
        <v>0</v>
      </c>
      <c r="BW121" s="659">
        <v>0</v>
      </c>
      <c r="BX121" s="659">
        <v>0</v>
      </c>
      <c r="BY121" s="659">
        <v>0</v>
      </c>
      <c r="BZ121" s="659">
        <v>4061</v>
      </c>
      <c r="CA121" s="659">
        <v>0</v>
      </c>
      <c r="CB121" s="659">
        <v>0</v>
      </c>
      <c r="CC121" s="659">
        <v>113238</v>
      </c>
      <c r="CD121" s="659">
        <v>0</v>
      </c>
      <c r="CE121" s="659">
        <v>0</v>
      </c>
      <c r="CF121" s="659">
        <v>113232</v>
      </c>
      <c r="CG121" s="659">
        <v>82</v>
      </c>
      <c r="CH121" s="659">
        <v>0</v>
      </c>
      <c r="CI121" s="659">
        <v>0</v>
      </c>
      <c r="CJ121" s="659">
        <v>3030</v>
      </c>
      <c r="CK121" s="659">
        <v>0</v>
      </c>
      <c r="CL121" s="659">
        <v>0</v>
      </c>
      <c r="CM121" s="659">
        <v>2900</v>
      </c>
      <c r="CN121" s="659">
        <v>467</v>
      </c>
      <c r="CO121" s="659">
        <v>0</v>
      </c>
      <c r="CP121" s="659">
        <v>0</v>
      </c>
      <c r="CQ121" s="659">
        <v>38200</v>
      </c>
      <c r="CR121" s="659">
        <v>0</v>
      </c>
      <c r="CS121" s="659">
        <v>0</v>
      </c>
      <c r="CT121" s="659">
        <v>38200</v>
      </c>
      <c r="CU121" s="659">
        <v>90</v>
      </c>
      <c r="CV121" s="659">
        <v>0</v>
      </c>
      <c r="CW121" s="659">
        <v>0</v>
      </c>
      <c r="CX121" s="659">
        <v>4050</v>
      </c>
      <c r="CY121" s="659">
        <v>0</v>
      </c>
      <c r="CZ121" s="659">
        <v>0</v>
      </c>
      <c r="DA121" s="659">
        <v>4050</v>
      </c>
      <c r="DB121" s="659">
        <v>463</v>
      </c>
      <c r="DC121" s="659">
        <v>0</v>
      </c>
      <c r="DD121" s="659">
        <v>0</v>
      </c>
      <c r="DE121" s="659">
        <v>42556</v>
      </c>
      <c r="DF121" s="659">
        <v>0</v>
      </c>
      <c r="DG121" s="659">
        <v>0</v>
      </c>
      <c r="DH121" s="659">
        <v>41200</v>
      </c>
      <c r="DI121" s="659">
        <v>1272</v>
      </c>
      <c r="DJ121" s="659">
        <v>0</v>
      </c>
      <c r="DK121" s="659">
        <v>0</v>
      </c>
      <c r="DL121" s="659">
        <v>62535</v>
      </c>
      <c r="DM121" s="659">
        <v>0</v>
      </c>
      <c r="DN121" s="659">
        <v>0</v>
      </c>
      <c r="DO121" s="659">
        <v>61665</v>
      </c>
      <c r="DP121" s="659">
        <v>70</v>
      </c>
      <c r="DQ121" s="659">
        <v>0</v>
      </c>
      <c r="DR121" s="659">
        <v>0</v>
      </c>
      <c r="DS121" s="659">
        <v>3049</v>
      </c>
      <c r="DT121" s="659">
        <v>0</v>
      </c>
      <c r="DU121" s="659">
        <v>0</v>
      </c>
      <c r="DV121" s="659">
        <v>3048</v>
      </c>
      <c r="DW121" s="659">
        <v>381</v>
      </c>
      <c r="DX121" s="659">
        <v>0</v>
      </c>
      <c r="DY121" s="659">
        <v>0</v>
      </c>
      <c r="DZ121" s="659">
        <v>21430</v>
      </c>
      <c r="EA121" s="659">
        <v>0</v>
      </c>
      <c r="EB121" s="659">
        <v>0</v>
      </c>
      <c r="EC121" s="659">
        <v>20972</v>
      </c>
      <c r="ED121" s="659">
        <v>780</v>
      </c>
      <c r="EE121" s="659">
        <v>0</v>
      </c>
      <c r="EF121" s="659">
        <v>0</v>
      </c>
      <c r="EG121" s="659">
        <v>45140</v>
      </c>
      <c r="EH121" s="659">
        <v>0</v>
      </c>
      <c r="EI121" s="659">
        <v>0</v>
      </c>
      <c r="EJ121" s="659">
        <v>42000</v>
      </c>
      <c r="EK121" s="659">
        <v>299</v>
      </c>
      <c r="EL121" s="659">
        <v>0</v>
      </c>
      <c r="EM121" s="659">
        <v>0</v>
      </c>
      <c r="EN121" s="659">
        <v>12585</v>
      </c>
      <c r="EO121" s="659">
        <v>0</v>
      </c>
      <c r="EP121" s="659">
        <v>0</v>
      </c>
      <c r="EQ121" s="659">
        <v>12585</v>
      </c>
    </row>
    <row r="122" spans="1:147" ht="20.7" customHeight="1" x14ac:dyDescent="0.3">
      <c r="A122" s="657" t="s">
        <v>1778</v>
      </c>
      <c r="B122" s="658" t="s">
        <v>269</v>
      </c>
      <c r="C122" s="659">
        <v>17532</v>
      </c>
      <c r="D122" s="659">
        <v>0</v>
      </c>
      <c r="E122" s="659">
        <v>0</v>
      </c>
      <c r="F122" s="659">
        <v>1417720</v>
      </c>
      <c r="G122" s="659">
        <v>0</v>
      </c>
      <c r="H122" s="659">
        <v>0</v>
      </c>
      <c r="I122" s="659">
        <v>1386926</v>
      </c>
      <c r="J122" s="801">
        <v>820</v>
      </c>
      <c r="K122" s="659">
        <v>0</v>
      </c>
      <c r="L122" s="659">
        <v>0</v>
      </c>
      <c r="M122" s="659">
        <v>66880</v>
      </c>
      <c r="N122" s="659">
        <v>0</v>
      </c>
      <c r="O122" s="659">
        <v>0</v>
      </c>
      <c r="P122" s="659">
        <v>66880</v>
      </c>
      <c r="Q122" s="801">
        <v>0</v>
      </c>
      <c r="R122" s="659">
        <v>0</v>
      </c>
      <c r="S122" s="659">
        <v>0</v>
      </c>
      <c r="T122" s="659">
        <v>0</v>
      </c>
      <c r="U122" s="659">
        <v>0</v>
      </c>
      <c r="V122" s="659">
        <v>0</v>
      </c>
      <c r="W122" s="801">
        <v>17</v>
      </c>
      <c r="X122" s="659">
        <v>0</v>
      </c>
      <c r="Y122" s="659">
        <v>0</v>
      </c>
      <c r="Z122" s="659">
        <v>1050</v>
      </c>
      <c r="AA122" s="659">
        <v>0</v>
      </c>
      <c r="AB122" s="659">
        <v>0</v>
      </c>
      <c r="AC122" s="659">
        <v>1040</v>
      </c>
      <c r="AD122" s="801">
        <v>853</v>
      </c>
      <c r="AE122" s="659">
        <v>0</v>
      </c>
      <c r="AF122" s="659">
        <v>0</v>
      </c>
      <c r="AG122" s="659">
        <v>58515</v>
      </c>
      <c r="AH122" s="659">
        <v>0</v>
      </c>
      <c r="AI122" s="659">
        <v>0</v>
      </c>
      <c r="AJ122" s="659">
        <v>58515</v>
      </c>
      <c r="AK122" s="801">
        <v>5</v>
      </c>
      <c r="AL122" s="659">
        <v>0</v>
      </c>
      <c r="AM122" s="659">
        <v>200</v>
      </c>
      <c r="AN122" s="659">
        <v>0</v>
      </c>
      <c r="AO122" s="659">
        <v>0</v>
      </c>
      <c r="AP122" s="659">
        <v>200</v>
      </c>
      <c r="AQ122" s="801">
        <v>1346</v>
      </c>
      <c r="AR122" s="659">
        <v>0</v>
      </c>
      <c r="AS122" s="659">
        <v>0</v>
      </c>
      <c r="AT122" s="659">
        <v>59440</v>
      </c>
      <c r="AU122" s="659">
        <v>0</v>
      </c>
      <c r="AV122" s="659">
        <v>0</v>
      </c>
      <c r="AW122" s="659">
        <v>56480</v>
      </c>
      <c r="AX122" s="659">
        <v>44</v>
      </c>
      <c r="AY122" s="659">
        <v>0</v>
      </c>
      <c r="AZ122" s="659">
        <v>0</v>
      </c>
      <c r="BA122" s="659">
        <v>8370</v>
      </c>
      <c r="BB122" s="659">
        <v>0</v>
      </c>
      <c r="BC122" s="659">
        <v>0</v>
      </c>
      <c r="BD122" s="659">
        <v>8345</v>
      </c>
      <c r="BE122" s="801">
        <v>4615</v>
      </c>
      <c r="BF122" s="659">
        <v>0</v>
      </c>
      <c r="BG122" s="659">
        <v>0</v>
      </c>
      <c r="BH122" s="659">
        <v>323268</v>
      </c>
      <c r="BI122" s="659">
        <v>0</v>
      </c>
      <c r="BJ122" s="659">
        <v>0</v>
      </c>
      <c r="BK122" s="659">
        <v>323268</v>
      </c>
      <c r="BL122" s="659">
        <v>298</v>
      </c>
      <c r="BM122" s="659">
        <v>0</v>
      </c>
      <c r="BN122" s="659">
        <v>0</v>
      </c>
      <c r="BO122" s="659">
        <v>17866</v>
      </c>
      <c r="BP122" s="659">
        <v>0</v>
      </c>
      <c r="BQ122" s="659">
        <v>0</v>
      </c>
      <c r="BR122" s="659">
        <v>17567</v>
      </c>
      <c r="BS122" s="659">
        <v>64</v>
      </c>
      <c r="BT122" s="659">
        <v>0</v>
      </c>
      <c r="BU122" s="659">
        <v>0</v>
      </c>
      <c r="BV122" s="659">
        <v>5100</v>
      </c>
      <c r="BW122" s="659">
        <v>0</v>
      </c>
      <c r="BX122" s="659">
        <v>0</v>
      </c>
      <c r="BY122" s="659">
        <v>5100</v>
      </c>
      <c r="BZ122" s="659">
        <v>1189</v>
      </c>
      <c r="CA122" s="659">
        <v>0</v>
      </c>
      <c r="CB122" s="659">
        <v>0</v>
      </c>
      <c r="CC122" s="659">
        <v>74355</v>
      </c>
      <c r="CD122" s="659">
        <v>0</v>
      </c>
      <c r="CE122" s="659">
        <v>0</v>
      </c>
      <c r="CF122" s="659">
        <v>74255</v>
      </c>
      <c r="CG122" s="659">
        <v>452</v>
      </c>
      <c r="CH122" s="659">
        <v>0</v>
      </c>
      <c r="CI122" s="659">
        <v>0</v>
      </c>
      <c r="CJ122" s="659">
        <v>30700</v>
      </c>
      <c r="CK122" s="659">
        <v>0</v>
      </c>
      <c r="CL122" s="659">
        <v>0</v>
      </c>
      <c r="CM122" s="659">
        <v>27950</v>
      </c>
      <c r="CN122" s="659">
        <v>581</v>
      </c>
      <c r="CO122" s="659">
        <v>0</v>
      </c>
      <c r="CP122" s="659">
        <v>0</v>
      </c>
      <c r="CQ122" s="659">
        <v>52172</v>
      </c>
      <c r="CR122" s="659">
        <v>0</v>
      </c>
      <c r="CS122" s="659">
        <v>0</v>
      </c>
      <c r="CT122" s="659">
        <v>52162</v>
      </c>
      <c r="CU122" s="659">
        <v>40</v>
      </c>
      <c r="CV122" s="659">
        <v>0</v>
      </c>
      <c r="CW122" s="659">
        <v>0</v>
      </c>
      <c r="CX122" s="659">
        <v>680</v>
      </c>
      <c r="CY122" s="659">
        <v>0</v>
      </c>
      <c r="CZ122" s="659">
        <v>0</v>
      </c>
      <c r="DA122" s="659">
        <v>680</v>
      </c>
      <c r="DB122" s="659">
        <v>3976</v>
      </c>
      <c r="DC122" s="659">
        <v>0</v>
      </c>
      <c r="DD122" s="659">
        <v>0</v>
      </c>
      <c r="DE122" s="659">
        <v>456685</v>
      </c>
      <c r="DF122" s="659">
        <v>0</v>
      </c>
      <c r="DG122" s="659">
        <v>0</v>
      </c>
      <c r="DH122" s="659">
        <v>439327</v>
      </c>
      <c r="DI122" s="659">
        <v>925</v>
      </c>
      <c r="DJ122" s="659">
        <v>0</v>
      </c>
      <c r="DK122" s="659">
        <v>0</v>
      </c>
      <c r="DL122" s="659">
        <v>72175</v>
      </c>
      <c r="DM122" s="659">
        <v>0</v>
      </c>
      <c r="DN122" s="659">
        <v>0</v>
      </c>
      <c r="DO122" s="659">
        <v>70430</v>
      </c>
      <c r="DP122" s="659">
        <v>212</v>
      </c>
      <c r="DQ122" s="659">
        <v>0</v>
      </c>
      <c r="DR122" s="659">
        <v>0</v>
      </c>
      <c r="DS122" s="659">
        <v>15114</v>
      </c>
      <c r="DT122" s="659">
        <v>0</v>
      </c>
      <c r="DU122" s="659">
        <v>0</v>
      </c>
      <c r="DV122" s="659">
        <v>14967</v>
      </c>
      <c r="DW122" s="659">
        <v>1136</v>
      </c>
      <c r="DX122" s="659">
        <v>0</v>
      </c>
      <c r="DY122" s="659">
        <v>0</v>
      </c>
      <c r="DZ122" s="659">
        <v>115600</v>
      </c>
      <c r="EA122" s="659">
        <v>0</v>
      </c>
      <c r="EB122" s="659">
        <v>0</v>
      </c>
      <c r="EC122" s="659">
        <v>111590</v>
      </c>
      <c r="ED122" s="659">
        <v>885</v>
      </c>
      <c r="EE122" s="659">
        <v>0</v>
      </c>
      <c r="EF122" s="659">
        <v>0</v>
      </c>
      <c r="EG122" s="659">
        <v>53520</v>
      </c>
      <c r="EH122" s="659">
        <v>0</v>
      </c>
      <c r="EI122" s="659">
        <v>0</v>
      </c>
      <c r="EJ122" s="659">
        <v>52140</v>
      </c>
      <c r="EK122" s="659">
        <v>74</v>
      </c>
      <c r="EL122" s="659">
        <v>0</v>
      </c>
      <c r="EM122" s="659">
        <v>0</v>
      </c>
      <c r="EN122" s="659">
        <v>6030</v>
      </c>
      <c r="EO122" s="659">
        <v>0</v>
      </c>
      <c r="EP122" s="659">
        <v>0</v>
      </c>
      <c r="EQ122" s="659">
        <v>6030</v>
      </c>
    </row>
    <row r="123" spans="1:147" ht="13.95" customHeight="1" x14ac:dyDescent="0.3">
      <c r="A123" s="657" t="s">
        <v>1779</v>
      </c>
      <c r="B123" s="658" t="s">
        <v>269</v>
      </c>
      <c r="C123" s="659">
        <v>14064</v>
      </c>
      <c r="D123" s="659">
        <v>0</v>
      </c>
      <c r="E123" s="659">
        <v>0</v>
      </c>
      <c r="F123" s="659">
        <v>4850679</v>
      </c>
      <c r="G123" s="659">
        <v>0</v>
      </c>
      <c r="H123" s="659">
        <v>0</v>
      </c>
      <c r="I123" s="659">
        <v>4779052</v>
      </c>
      <c r="J123" s="801">
        <v>1712</v>
      </c>
      <c r="K123" s="659">
        <v>0</v>
      </c>
      <c r="L123" s="659">
        <v>0</v>
      </c>
      <c r="M123" s="659">
        <v>926840</v>
      </c>
      <c r="N123" s="659">
        <v>0</v>
      </c>
      <c r="O123" s="659">
        <v>0</v>
      </c>
      <c r="P123" s="659">
        <v>926840</v>
      </c>
      <c r="Q123" s="801">
        <v>0</v>
      </c>
      <c r="R123" s="659">
        <v>0</v>
      </c>
      <c r="S123" s="659">
        <v>0</v>
      </c>
      <c r="T123" s="659">
        <v>0</v>
      </c>
      <c r="U123" s="659">
        <v>0</v>
      </c>
      <c r="V123" s="659">
        <v>0</v>
      </c>
      <c r="W123" s="801">
        <v>4</v>
      </c>
      <c r="X123" s="659">
        <v>0</v>
      </c>
      <c r="Y123" s="659">
        <v>0</v>
      </c>
      <c r="Z123" s="659">
        <v>700</v>
      </c>
      <c r="AA123" s="659">
        <v>0</v>
      </c>
      <c r="AB123" s="659">
        <v>0</v>
      </c>
      <c r="AC123" s="659">
        <v>680</v>
      </c>
      <c r="AD123" s="801">
        <v>318</v>
      </c>
      <c r="AE123" s="659">
        <v>0</v>
      </c>
      <c r="AF123" s="659">
        <v>0</v>
      </c>
      <c r="AG123" s="659">
        <v>111480</v>
      </c>
      <c r="AH123" s="659">
        <v>0</v>
      </c>
      <c r="AI123" s="659">
        <v>0</v>
      </c>
      <c r="AJ123" s="659">
        <v>111480</v>
      </c>
      <c r="AK123" s="801">
        <v>6</v>
      </c>
      <c r="AL123" s="659">
        <v>0</v>
      </c>
      <c r="AM123" s="659">
        <v>1300</v>
      </c>
      <c r="AN123" s="659">
        <v>0</v>
      </c>
      <c r="AO123" s="659">
        <v>0</v>
      </c>
      <c r="AP123" s="659">
        <v>1300</v>
      </c>
      <c r="AQ123" s="801">
        <v>942</v>
      </c>
      <c r="AR123" s="659">
        <v>0</v>
      </c>
      <c r="AS123" s="659">
        <v>0</v>
      </c>
      <c r="AT123" s="659">
        <v>305065</v>
      </c>
      <c r="AU123" s="659">
        <v>0</v>
      </c>
      <c r="AV123" s="659">
        <v>0</v>
      </c>
      <c r="AW123" s="659">
        <v>294410</v>
      </c>
      <c r="AX123" s="659">
        <v>9</v>
      </c>
      <c r="AY123" s="659">
        <v>0</v>
      </c>
      <c r="AZ123" s="659">
        <v>0</v>
      </c>
      <c r="BA123" s="659">
        <v>1771</v>
      </c>
      <c r="BB123" s="659">
        <v>0</v>
      </c>
      <c r="BC123" s="659">
        <v>0</v>
      </c>
      <c r="BD123" s="659">
        <v>1744</v>
      </c>
      <c r="BE123" s="801">
        <v>2813</v>
      </c>
      <c r="BF123" s="659">
        <v>0</v>
      </c>
      <c r="BG123" s="659">
        <v>0</v>
      </c>
      <c r="BH123" s="659">
        <v>1278873</v>
      </c>
      <c r="BI123" s="659">
        <v>0</v>
      </c>
      <c r="BJ123" s="659">
        <v>0</v>
      </c>
      <c r="BK123" s="659">
        <v>1278873</v>
      </c>
      <c r="BL123" s="659">
        <v>196</v>
      </c>
      <c r="BM123" s="659">
        <v>0</v>
      </c>
      <c r="BN123" s="659">
        <v>0</v>
      </c>
      <c r="BO123" s="659">
        <v>47202</v>
      </c>
      <c r="BP123" s="659">
        <v>0</v>
      </c>
      <c r="BQ123" s="659">
        <v>0</v>
      </c>
      <c r="BR123" s="659">
        <v>45955</v>
      </c>
      <c r="BS123" s="659">
        <v>163</v>
      </c>
      <c r="BT123" s="659">
        <v>0</v>
      </c>
      <c r="BU123" s="659">
        <v>0</v>
      </c>
      <c r="BV123" s="659">
        <v>16080</v>
      </c>
      <c r="BW123" s="659">
        <v>0</v>
      </c>
      <c r="BX123" s="659">
        <v>0</v>
      </c>
      <c r="BY123" s="659">
        <v>16080</v>
      </c>
      <c r="BZ123" s="659">
        <v>28</v>
      </c>
      <c r="CA123" s="659">
        <v>0</v>
      </c>
      <c r="CB123" s="659">
        <v>0</v>
      </c>
      <c r="CC123" s="659">
        <v>7486</v>
      </c>
      <c r="CD123" s="659">
        <v>0</v>
      </c>
      <c r="CE123" s="659">
        <v>0</v>
      </c>
      <c r="CF123" s="659">
        <v>7347</v>
      </c>
      <c r="CG123" s="659">
        <v>96</v>
      </c>
      <c r="CH123" s="659">
        <v>0</v>
      </c>
      <c r="CI123" s="659">
        <v>0</v>
      </c>
      <c r="CJ123" s="659">
        <v>20670</v>
      </c>
      <c r="CK123" s="659">
        <v>0</v>
      </c>
      <c r="CL123" s="659">
        <v>0</v>
      </c>
      <c r="CM123" s="659">
        <v>19850</v>
      </c>
      <c r="CN123" s="659">
        <v>212</v>
      </c>
      <c r="CO123" s="659">
        <v>0</v>
      </c>
      <c r="CP123" s="659">
        <v>0</v>
      </c>
      <c r="CQ123" s="659">
        <v>55050</v>
      </c>
      <c r="CR123" s="659">
        <v>0</v>
      </c>
      <c r="CS123" s="659">
        <v>0</v>
      </c>
      <c r="CT123" s="659">
        <v>54800</v>
      </c>
      <c r="CU123" s="659">
        <v>1935</v>
      </c>
      <c r="CV123" s="659">
        <v>0</v>
      </c>
      <c r="CW123" s="659">
        <v>0</v>
      </c>
      <c r="CX123" s="659">
        <v>576300</v>
      </c>
      <c r="CY123" s="659">
        <v>0</v>
      </c>
      <c r="CZ123" s="659">
        <v>0</v>
      </c>
      <c r="DA123" s="659">
        <v>576300</v>
      </c>
      <c r="DB123" s="659">
        <v>1227</v>
      </c>
      <c r="DC123" s="659">
        <v>0</v>
      </c>
      <c r="DD123" s="659">
        <v>0</v>
      </c>
      <c r="DE123" s="659">
        <v>354820</v>
      </c>
      <c r="DF123" s="659">
        <v>0</v>
      </c>
      <c r="DG123" s="659">
        <v>0</v>
      </c>
      <c r="DH123" s="659">
        <v>348340</v>
      </c>
      <c r="DI123" s="659">
        <v>1775</v>
      </c>
      <c r="DJ123" s="659">
        <v>0</v>
      </c>
      <c r="DK123" s="659">
        <v>0</v>
      </c>
      <c r="DL123" s="659">
        <v>398275</v>
      </c>
      <c r="DM123" s="659">
        <v>0</v>
      </c>
      <c r="DN123" s="659">
        <v>0</v>
      </c>
      <c r="DO123" s="659">
        <v>385365</v>
      </c>
      <c r="DP123" s="659">
        <v>23</v>
      </c>
      <c r="DQ123" s="659">
        <v>0</v>
      </c>
      <c r="DR123" s="659">
        <v>0</v>
      </c>
      <c r="DS123" s="659">
        <v>3896</v>
      </c>
      <c r="DT123" s="659">
        <v>0</v>
      </c>
      <c r="DU123" s="659">
        <v>0</v>
      </c>
      <c r="DV123" s="659">
        <v>3890</v>
      </c>
      <c r="DW123" s="659">
        <v>949</v>
      </c>
      <c r="DX123" s="659">
        <v>0</v>
      </c>
      <c r="DY123" s="659">
        <v>0</v>
      </c>
      <c r="DZ123" s="659">
        <v>387090</v>
      </c>
      <c r="EA123" s="659">
        <v>0</v>
      </c>
      <c r="EB123" s="659">
        <v>0</v>
      </c>
      <c r="EC123" s="659">
        <v>360917</v>
      </c>
      <c r="ED123" s="659">
        <v>1520</v>
      </c>
      <c r="EE123" s="659">
        <v>0</v>
      </c>
      <c r="EF123" s="659">
        <v>0</v>
      </c>
      <c r="EG123" s="659">
        <v>316900</v>
      </c>
      <c r="EH123" s="659">
        <v>0</v>
      </c>
      <c r="EI123" s="659">
        <v>0</v>
      </c>
      <c r="EJ123" s="659">
        <v>304000</v>
      </c>
      <c r="EK123" s="659">
        <v>136</v>
      </c>
      <c r="EL123" s="659">
        <v>0</v>
      </c>
      <c r="EM123" s="659">
        <v>0</v>
      </c>
      <c r="EN123" s="659">
        <v>40881</v>
      </c>
      <c r="EO123" s="659">
        <v>0</v>
      </c>
      <c r="EP123" s="659">
        <v>0</v>
      </c>
      <c r="EQ123" s="659">
        <v>40881</v>
      </c>
    </row>
    <row r="124" spans="1:147" ht="13.95" customHeight="1" x14ac:dyDescent="0.3">
      <c r="A124" s="657" t="s">
        <v>1780</v>
      </c>
      <c r="B124" s="658" t="s">
        <v>269</v>
      </c>
      <c r="C124" s="659">
        <v>0</v>
      </c>
      <c r="D124" s="659">
        <v>0</v>
      </c>
      <c r="E124" s="659">
        <v>0</v>
      </c>
      <c r="F124" s="659">
        <v>0</v>
      </c>
      <c r="G124" s="659">
        <v>0</v>
      </c>
      <c r="H124" s="659">
        <v>0</v>
      </c>
      <c r="I124" s="659">
        <v>0</v>
      </c>
      <c r="J124" s="801">
        <v>0</v>
      </c>
      <c r="K124" s="659">
        <v>0</v>
      </c>
      <c r="L124" s="659">
        <v>0</v>
      </c>
      <c r="M124" s="659">
        <v>0</v>
      </c>
      <c r="N124" s="659">
        <v>0</v>
      </c>
      <c r="O124" s="659">
        <v>0</v>
      </c>
      <c r="P124" s="659">
        <v>0</v>
      </c>
      <c r="Q124" s="801">
        <v>0</v>
      </c>
      <c r="R124" s="659">
        <v>0</v>
      </c>
      <c r="S124" s="659">
        <v>0</v>
      </c>
      <c r="T124" s="659">
        <v>0</v>
      </c>
      <c r="U124" s="659">
        <v>0</v>
      </c>
      <c r="V124" s="659">
        <v>0</v>
      </c>
      <c r="W124" s="801">
        <v>0</v>
      </c>
      <c r="X124" s="659">
        <v>0</v>
      </c>
      <c r="Y124" s="659">
        <v>0</v>
      </c>
      <c r="Z124" s="659">
        <v>0</v>
      </c>
      <c r="AA124" s="659">
        <v>0</v>
      </c>
      <c r="AB124" s="659">
        <v>0</v>
      </c>
      <c r="AC124" s="659">
        <v>0</v>
      </c>
      <c r="AD124" s="801">
        <v>0</v>
      </c>
      <c r="AE124" s="659">
        <v>0</v>
      </c>
      <c r="AF124" s="659">
        <v>0</v>
      </c>
      <c r="AG124" s="659">
        <v>0</v>
      </c>
      <c r="AH124" s="659">
        <v>0</v>
      </c>
      <c r="AI124" s="659">
        <v>0</v>
      </c>
      <c r="AJ124" s="659">
        <v>0</v>
      </c>
      <c r="AK124" s="801">
        <v>0</v>
      </c>
      <c r="AL124" s="659">
        <v>0</v>
      </c>
      <c r="AM124" s="659">
        <v>0</v>
      </c>
      <c r="AN124" s="659">
        <v>0</v>
      </c>
      <c r="AO124" s="659">
        <v>0</v>
      </c>
      <c r="AP124" s="659">
        <v>0</v>
      </c>
      <c r="AQ124" s="801">
        <v>0</v>
      </c>
      <c r="AR124" s="659">
        <v>0</v>
      </c>
      <c r="AS124" s="659">
        <v>0</v>
      </c>
      <c r="AT124" s="659">
        <v>0</v>
      </c>
      <c r="AU124" s="659">
        <v>0</v>
      </c>
      <c r="AV124" s="659">
        <v>0</v>
      </c>
      <c r="AW124" s="659">
        <v>0</v>
      </c>
      <c r="AX124" s="659">
        <v>0</v>
      </c>
      <c r="AY124" s="659">
        <v>0</v>
      </c>
      <c r="AZ124" s="659">
        <v>0</v>
      </c>
      <c r="BA124" s="659">
        <v>0</v>
      </c>
      <c r="BB124" s="659">
        <v>0</v>
      </c>
      <c r="BC124" s="659">
        <v>0</v>
      </c>
      <c r="BD124" s="659">
        <v>0</v>
      </c>
      <c r="BE124" s="801">
        <v>0</v>
      </c>
      <c r="BF124" s="659">
        <v>0</v>
      </c>
      <c r="BG124" s="659">
        <v>0</v>
      </c>
      <c r="BH124" s="659">
        <v>0</v>
      </c>
      <c r="BI124" s="659">
        <v>0</v>
      </c>
      <c r="BJ124" s="659">
        <v>0</v>
      </c>
      <c r="BK124" s="659">
        <v>0</v>
      </c>
      <c r="BL124" s="659">
        <v>0</v>
      </c>
      <c r="BM124" s="659">
        <v>0</v>
      </c>
      <c r="BN124" s="659">
        <v>0</v>
      </c>
      <c r="BO124" s="659">
        <v>0</v>
      </c>
      <c r="BP124" s="659">
        <v>0</v>
      </c>
      <c r="BQ124" s="659">
        <v>0</v>
      </c>
      <c r="BR124" s="659">
        <v>0</v>
      </c>
      <c r="BS124" s="659">
        <v>0</v>
      </c>
      <c r="BT124" s="659">
        <v>0</v>
      </c>
      <c r="BU124" s="659">
        <v>0</v>
      </c>
      <c r="BV124" s="659">
        <v>0</v>
      </c>
      <c r="BW124" s="659">
        <v>0</v>
      </c>
      <c r="BX124" s="659">
        <v>0</v>
      </c>
      <c r="BY124" s="659">
        <v>0</v>
      </c>
      <c r="BZ124" s="659">
        <v>0</v>
      </c>
      <c r="CA124" s="659">
        <v>0</v>
      </c>
      <c r="CB124" s="659">
        <v>0</v>
      </c>
      <c r="CC124" s="659">
        <v>0</v>
      </c>
      <c r="CD124" s="659">
        <v>0</v>
      </c>
      <c r="CE124" s="659">
        <v>0</v>
      </c>
      <c r="CF124" s="659">
        <v>0</v>
      </c>
      <c r="CG124" s="659">
        <v>0</v>
      </c>
      <c r="CH124" s="659">
        <v>0</v>
      </c>
      <c r="CI124" s="659">
        <v>0</v>
      </c>
      <c r="CJ124" s="659">
        <v>0</v>
      </c>
      <c r="CK124" s="659">
        <v>0</v>
      </c>
      <c r="CL124" s="659">
        <v>0</v>
      </c>
      <c r="CM124" s="659">
        <v>0</v>
      </c>
      <c r="CN124" s="659">
        <v>0</v>
      </c>
      <c r="CO124" s="659">
        <v>0</v>
      </c>
      <c r="CP124" s="659">
        <v>0</v>
      </c>
      <c r="CQ124" s="659">
        <v>0</v>
      </c>
      <c r="CR124" s="659">
        <v>0</v>
      </c>
      <c r="CS124" s="659">
        <v>0</v>
      </c>
      <c r="CT124" s="659">
        <v>0</v>
      </c>
      <c r="CU124" s="659">
        <v>0</v>
      </c>
      <c r="CV124" s="659">
        <v>0</v>
      </c>
      <c r="CW124" s="659">
        <v>0</v>
      </c>
      <c r="CX124" s="659">
        <v>0</v>
      </c>
      <c r="CY124" s="659">
        <v>0</v>
      </c>
      <c r="CZ124" s="659">
        <v>0</v>
      </c>
      <c r="DA124" s="659">
        <v>0</v>
      </c>
      <c r="DB124" s="659">
        <v>0</v>
      </c>
      <c r="DC124" s="659">
        <v>0</v>
      </c>
      <c r="DD124" s="659">
        <v>0</v>
      </c>
      <c r="DE124" s="659">
        <v>0</v>
      </c>
      <c r="DF124" s="659">
        <v>0</v>
      </c>
      <c r="DG124" s="659">
        <v>0</v>
      </c>
      <c r="DH124" s="659">
        <v>0</v>
      </c>
      <c r="DI124" s="659">
        <v>0</v>
      </c>
      <c r="DJ124" s="659">
        <v>0</v>
      </c>
      <c r="DK124" s="659">
        <v>0</v>
      </c>
      <c r="DL124" s="659">
        <v>0</v>
      </c>
      <c r="DM124" s="659">
        <v>0</v>
      </c>
      <c r="DN124" s="659">
        <v>0</v>
      </c>
      <c r="DO124" s="659">
        <v>0</v>
      </c>
      <c r="DP124" s="659">
        <v>0</v>
      </c>
      <c r="DQ124" s="659">
        <v>0</v>
      </c>
      <c r="DR124" s="659">
        <v>0</v>
      </c>
      <c r="DS124" s="659">
        <v>0</v>
      </c>
      <c r="DT124" s="659">
        <v>0</v>
      </c>
      <c r="DU124" s="659">
        <v>0</v>
      </c>
      <c r="DV124" s="659">
        <v>0</v>
      </c>
      <c r="DW124" s="659">
        <v>0</v>
      </c>
      <c r="DX124" s="659">
        <v>0</v>
      </c>
      <c r="DY124" s="659">
        <v>0</v>
      </c>
      <c r="DZ124" s="659">
        <v>0</v>
      </c>
      <c r="EA124" s="659">
        <v>0</v>
      </c>
      <c r="EB124" s="659">
        <v>0</v>
      </c>
      <c r="EC124" s="659">
        <v>0</v>
      </c>
      <c r="ED124" s="659">
        <v>0</v>
      </c>
      <c r="EE124" s="659">
        <v>0</v>
      </c>
      <c r="EF124" s="659">
        <v>0</v>
      </c>
      <c r="EG124" s="659">
        <v>0</v>
      </c>
      <c r="EH124" s="659">
        <v>0</v>
      </c>
      <c r="EI124" s="659">
        <v>0</v>
      </c>
      <c r="EJ124" s="659">
        <v>0</v>
      </c>
      <c r="EK124" s="659">
        <v>0</v>
      </c>
      <c r="EL124" s="659">
        <v>0</v>
      </c>
      <c r="EM124" s="659">
        <v>0</v>
      </c>
      <c r="EN124" s="659">
        <v>0</v>
      </c>
      <c r="EO124" s="659">
        <v>0</v>
      </c>
      <c r="EP124" s="659">
        <v>0</v>
      </c>
      <c r="EQ124" s="659">
        <v>0</v>
      </c>
    </row>
    <row r="125" spans="1:147" ht="20.7" customHeight="1" x14ac:dyDescent="0.3">
      <c r="A125" s="657" t="s">
        <v>1781</v>
      </c>
      <c r="B125" s="658" t="s">
        <v>269</v>
      </c>
      <c r="C125" s="659">
        <v>10829</v>
      </c>
      <c r="D125" s="659">
        <v>0</v>
      </c>
      <c r="E125" s="659">
        <v>0</v>
      </c>
      <c r="F125" s="659">
        <v>4941668</v>
      </c>
      <c r="G125" s="659">
        <v>0</v>
      </c>
      <c r="H125" s="659">
        <v>0</v>
      </c>
      <c r="I125" s="659">
        <v>4792894</v>
      </c>
      <c r="J125" s="801">
        <v>98</v>
      </c>
      <c r="K125" s="659">
        <v>0</v>
      </c>
      <c r="L125" s="659">
        <v>0</v>
      </c>
      <c r="M125" s="659">
        <v>28220</v>
      </c>
      <c r="N125" s="659">
        <v>0</v>
      </c>
      <c r="O125" s="659">
        <v>0</v>
      </c>
      <c r="P125" s="659">
        <v>28220</v>
      </c>
      <c r="Q125" s="801">
        <v>0</v>
      </c>
      <c r="R125" s="659">
        <v>0</v>
      </c>
      <c r="S125" s="659">
        <v>0</v>
      </c>
      <c r="T125" s="659">
        <v>0</v>
      </c>
      <c r="U125" s="659">
        <v>0</v>
      </c>
      <c r="V125" s="659">
        <v>0</v>
      </c>
      <c r="W125" s="801">
        <v>3</v>
      </c>
      <c r="X125" s="659">
        <v>0</v>
      </c>
      <c r="Y125" s="659">
        <v>0</v>
      </c>
      <c r="Z125" s="659">
        <v>237</v>
      </c>
      <c r="AA125" s="659">
        <v>0</v>
      </c>
      <c r="AB125" s="659">
        <v>0</v>
      </c>
      <c r="AC125" s="659">
        <v>234</v>
      </c>
      <c r="AD125" s="801">
        <v>0</v>
      </c>
      <c r="AE125" s="659">
        <v>0</v>
      </c>
      <c r="AF125" s="659">
        <v>0</v>
      </c>
      <c r="AG125" s="659">
        <v>0</v>
      </c>
      <c r="AH125" s="659">
        <v>0</v>
      </c>
      <c r="AI125" s="659">
        <v>0</v>
      </c>
      <c r="AJ125" s="659">
        <v>0</v>
      </c>
      <c r="AK125" s="801">
        <v>9</v>
      </c>
      <c r="AL125" s="659">
        <v>0</v>
      </c>
      <c r="AM125" s="659">
        <v>3700</v>
      </c>
      <c r="AN125" s="659">
        <v>0</v>
      </c>
      <c r="AO125" s="659">
        <v>0</v>
      </c>
      <c r="AP125" s="659">
        <v>3700</v>
      </c>
      <c r="AQ125" s="801">
        <v>728</v>
      </c>
      <c r="AR125" s="659">
        <v>0</v>
      </c>
      <c r="AS125" s="659">
        <v>0</v>
      </c>
      <c r="AT125" s="659">
        <v>330618</v>
      </c>
      <c r="AU125" s="659">
        <v>0</v>
      </c>
      <c r="AV125" s="659">
        <v>0</v>
      </c>
      <c r="AW125" s="659">
        <v>318910</v>
      </c>
      <c r="AX125" s="659">
        <v>2</v>
      </c>
      <c r="AY125" s="659">
        <v>0</v>
      </c>
      <c r="AZ125" s="659">
        <v>0</v>
      </c>
      <c r="BA125" s="659">
        <v>516</v>
      </c>
      <c r="BB125" s="659">
        <v>0</v>
      </c>
      <c r="BC125" s="659">
        <v>0</v>
      </c>
      <c r="BD125" s="659">
        <v>500</v>
      </c>
      <c r="BE125" s="801">
        <v>2264</v>
      </c>
      <c r="BF125" s="659">
        <v>0</v>
      </c>
      <c r="BG125" s="659">
        <v>0</v>
      </c>
      <c r="BH125" s="659">
        <v>1119010</v>
      </c>
      <c r="BI125" s="659">
        <v>0</v>
      </c>
      <c r="BJ125" s="659">
        <v>0</v>
      </c>
      <c r="BK125" s="659">
        <v>1119010</v>
      </c>
      <c r="BL125" s="659">
        <v>54</v>
      </c>
      <c r="BM125" s="659">
        <v>0</v>
      </c>
      <c r="BN125" s="659">
        <v>0</v>
      </c>
      <c r="BO125" s="659">
        <v>11215</v>
      </c>
      <c r="BP125" s="659">
        <v>0</v>
      </c>
      <c r="BQ125" s="659">
        <v>0</v>
      </c>
      <c r="BR125" s="659">
        <v>10935</v>
      </c>
      <c r="BS125" s="659">
        <v>0</v>
      </c>
      <c r="BT125" s="659">
        <v>0</v>
      </c>
      <c r="BU125" s="659">
        <v>0</v>
      </c>
      <c r="BV125" s="659">
        <v>0</v>
      </c>
      <c r="BW125" s="659">
        <v>0</v>
      </c>
      <c r="BX125" s="659">
        <v>0</v>
      </c>
      <c r="BY125" s="659">
        <v>0</v>
      </c>
      <c r="BZ125" s="659">
        <v>10</v>
      </c>
      <c r="CA125" s="659">
        <v>0</v>
      </c>
      <c r="CB125" s="659">
        <v>0</v>
      </c>
      <c r="CC125" s="659">
        <v>2100</v>
      </c>
      <c r="CD125" s="659">
        <v>0</v>
      </c>
      <c r="CE125" s="659">
        <v>0</v>
      </c>
      <c r="CF125" s="659">
        <v>2019</v>
      </c>
      <c r="CG125" s="659">
        <v>2060</v>
      </c>
      <c r="CH125" s="659">
        <v>0</v>
      </c>
      <c r="CI125" s="659">
        <v>0</v>
      </c>
      <c r="CJ125" s="659">
        <v>937000</v>
      </c>
      <c r="CK125" s="659">
        <v>0</v>
      </c>
      <c r="CL125" s="659">
        <v>0</v>
      </c>
      <c r="CM125" s="659">
        <v>820000</v>
      </c>
      <c r="CN125" s="659">
        <v>1800</v>
      </c>
      <c r="CO125" s="659">
        <v>0</v>
      </c>
      <c r="CP125" s="659">
        <v>0</v>
      </c>
      <c r="CQ125" s="659">
        <v>1250000</v>
      </c>
      <c r="CR125" s="659">
        <v>0</v>
      </c>
      <c r="CS125" s="659">
        <v>0</v>
      </c>
      <c r="CT125" s="659">
        <v>1250000</v>
      </c>
      <c r="CU125" s="659">
        <v>22</v>
      </c>
      <c r="CV125" s="659">
        <v>0</v>
      </c>
      <c r="CW125" s="659">
        <v>0</v>
      </c>
      <c r="CX125" s="659">
        <v>4380</v>
      </c>
      <c r="CY125" s="659">
        <v>0</v>
      </c>
      <c r="CZ125" s="659">
        <v>0</v>
      </c>
      <c r="DA125" s="659">
        <v>4380</v>
      </c>
      <c r="DB125" s="659">
        <v>145</v>
      </c>
      <c r="DC125" s="659">
        <v>0</v>
      </c>
      <c r="DD125" s="659">
        <v>0</v>
      </c>
      <c r="DE125" s="659">
        <v>40000</v>
      </c>
      <c r="DF125" s="659">
        <v>0</v>
      </c>
      <c r="DG125" s="659">
        <v>0</v>
      </c>
      <c r="DH125" s="659">
        <v>38200</v>
      </c>
      <c r="DI125" s="659">
        <v>1165</v>
      </c>
      <c r="DJ125" s="659">
        <v>0</v>
      </c>
      <c r="DK125" s="659">
        <v>0</v>
      </c>
      <c r="DL125" s="659">
        <v>339225</v>
      </c>
      <c r="DM125" s="659">
        <v>0</v>
      </c>
      <c r="DN125" s="659">
        <v>0</v>
      </c>
      <c r="DO125" s="659">
        <v>322380</v>
      </c>
      <c r="DP125" s="659">
        <v>231</v>
      </c>
      <c r="DQ125" s="659">
        <v>0</v>
      </c>
      <c r="DR125" s="659">
        <v>0</v>
      </c>
      <c r="DS125" s="659">
        <v>45243</v>
      </c>
      <c r="DT125" s="659">
        <v>0</v>
      </c>
      <c r="DU125" s="659">
        <v>0</v>
      </c>
      <c r="DV125" s="659">
        <v>45100</v>
      </c>
      <c r="DW125" s="659">
        <v>25</v>
      </c>
      <c r="DX125" s="659">
        <v>0</v>
      </c>
      <c r="DY125" s="659">
        <v>0</v>
      </c>
      <c r="DZ125" s="659">
        <v>3180</v>
      </c>
      <c r="EA125" s="659">
        <v>0</v>
      </c>
      <c r="EB125" s="659">
        <v>0</v>
      </c>
      <c r="EC125" s="659">
        <v>3130</v>
      </c>
      <c r="ED125" s="659">
        <v>1591</v>
      </c>
      <c r="EE125" s="659">
        <v>0</v>
      </c>
      <c r="EF125" s="659">
        <v>0</v>
      </c>
      <c r="EG125" s="659">
        <v>598748</v>
      </c>
      <c r="EH125" s="659">
        <v>0</v>
      </c>
      <c r="EI125" s="659">
        <v>0</v>
      </c>
      <c r="EJ125" s="659">
        <v>597900</v>
      </c>
      <c r="EK125" s="659">
        <v>622</v>
      </c>
      <c r="EL125" s="659">
        <v>0</v>
      </c>
      <c r="EM125" s="659">
        <v>0</v>
      </c>
      <c r="EN125" s="659">
        <v>228276</v>
      </c>
      <c r="EO125" s="659">
        <v>0</v>
      </c>
      <c r="EP125" s="659">
        <v>0</v>
      </c>
      <c r="EQ125" s="659">
        <v>228276</v>
      </c>
    </row>
    <row r="126" spans="1:147" ht="13.95" customHeight="1" x14ac:dyDescent="0.3">
      <c r="A126" s="657" t="s">
        <v>1782</v>
      </c>
      <c r="B126" s="658" t="s">
        <v>269</v>
      </c>
      <c r="C126" s="659">
        <v>4048</v>
      </c>
      <c r="D126" s="659">
        <v>0</v>
      </c>
      <c r="E126" s="659">
        <v>0</v>
      </c>
      <c r="F126" s="659">
        <v>738937</v>
      </c>
      <c r="G126" s="659">
        <v>0</v>
      </c>
      <c r="H126" s="659">
        <v>0</v>
      </c>
      <c r="I126" s="659">
        <v>717396</v>
      </c>
      <c r="J126" s="801">
        <v>85</v>
      </c>
      <c r="K126" s="659">
        <v>0</v>
      </c>
      <c r="L126" s="659">
        <v>0</v>
      </c>
      <c r="M126" s="659">
        <v>27174</v>
      </c>
      <c r="N126" s="659">
        <v>0</v>
      </c>
      <c r="O126" s="659">
        <v>0</v>
      </c>
      <c r="P126" s="659">
        <v>27174</v>
      </c>
      <c r="Q126" s="801">
        <v>0</v>
      </c>
      <c r="R126" s="659">
        <v>0</v>
      </c>
      <c r="S126" s="659">
        <v>0</v>
      </c>
      <c r="T126" s="659">
        <v>0</v>
      </c>
      <c r="U126" s="659">
        <v>0</v>
      </c>
      <c r="V126" s="659">
        <v>0</v>
      </c>
      <c r="W126" s="801">
        <v>0</v>
      </c>
      <c r="X126" s="659">
        <v>0</v>
      </c>
      <c r="Y126" s="659">
        <v>0</v>
      </c>
      <c r="Z126" s="659">
        <v>0</v>
      </c>
      <c r="AA126" s="659">
        <v>0</v>
      </c>
      <c r="AB126" s="659">
        <v>0</v>
      </c>
      <c r="AC126" s="659">
        <v>0</v>
      </c>
      <c r="AD126" s="801">
        <v>0</v>
      </c>
      <c r="AE126" s="659">
        <v>0</v>
      </c>
      <c r="AF126" s="659">
        <v>0</v>
      </c>
      <c r="AG126" s="659">
        <v>0</v>
      </c>
      <c r="AH126" s="659">
        <v>0</v>
      </c>
      <c r="AI126" s="659">
        <v>0</v>
      </c>
      <c r="AJ126" s="659">
        <v>0</v>
      </c>
      <c r="AK126" s="801">
        <v>27</v>
      </c>
      <c r="AL126" s="659">
        <v>0</v>
      </c>
      <c r="AM126" s="659">
        <v>17013</v>
      </c>
      <c r="AN126" s="659">
        <v>0</v>
      </c>
      <c r="AO126" s="659">
        <v>0</v>
      </c>
      <c r="AP126" s="659">
        <v>17013</v>
      </c>
      <c r="AQ126" s="801">
        <v>23</v>
      </c>
      <c r="AR126" s="659">
        <v>0</v>
      </c>
      <c r="AS126" s="659">
        <v>0</v>
      </c>
      <c r="AT126" s="659">
        <v>5850</v>
      </c>
      <c r="AU126" s="659">
        <v>0</v>
      </c>
      <c r="AV126" s="659">
        <v>0</v>
      </c>
      <c r="AW126" s="659">
        <v>5450</v>
      </c>
      <c r="AX126" s="659">
        <v>0</v>
      </c>
      <c r="AY126" s="659">
        <v>0</v>
      </c>
      <c r="AZ126" s="659">
        <v>0</v>
      </c>
      <c r="BA126" s="659">
        <v>0</v>
      </c>
      <c r="BB126" s="659">
        <v>0</v>
      </c>
      <c r="BC126" s="659">
        <v>0</v>
      </c>
      <c r="BD126" s="659">
        <v>0</v>
      </c>
      <c r="BE126" s="801">
        <v>0</v>
      </c>
      <c r="BF126" s="659">
        <v>0</v>
      </c>
      <c r="BG126" s="659">
        <v>0</v>
      </c>
      <c r="BH126" s="659">
        <v>0</v>
      </c>
      <c r="BI126" s="659">
        <v>0</v>
      </c>
      <c r="BJ126" s="659">
        <v>0</v>
      </c>
      <c r="BK126" s="659">
        <v>0</v>
      </c>
      <c r="BL126" s="659">
        <v>44</v>
      </c>
      <c r="BM126" s="659">
        <v>0</v>
      </c>
      <c r="BN126" s="659">
        <v>0</v>
      </c>
      <c r="BO126" s="659">
        <v>4563</v>
      </c>
      <c r="BP126" s="659">
        <v>0</v>
      </c>
      <c r="BQ126" s="659">
        <v>0</v>
      </c>
      <c r="BR126" s="659">
        <v>4463</v>
      </c>
      <c r="BS126" s="659">
        <v>0</v>
      </c>
      <c r="BT126" s="659">
        <v>0</v>
      </c>
      <c r="BU126" s="659">
        <v>0</v>
      </c>
      <c r="BV126" s="659">
        <v>0</v>
      </c>
      <c r="BW126" s="659">
        <v>0</v>
      </c>
      <c r="BX126" s="659">
        <v>0</v>
      </c>
      <c r="BY126" s="659">
        <v>0</v>
      </c>
      <c r="BZ126" s="659">
        <v>65</v>
      </c>
      <c r="CA126" s="659">
        <v>0</v>
      </c>
      <c r="CB126" s="659">
        <v>0</v>
      </c>
      <c r="CC126" s="659">
        <v>4960</v>
      </c>
      <c r="CD126" s="659">
        <v>0</v>
      </c>
      <c r="CE126" s="659">
        <v>0</v>
      </c>
      <c r="CF126" s="659">
        <v>4742</v>
      </c>
      <c r="CG126" s="659">
        <v>380</v>
      </c>
      <c r="CH126" s="659">
        <v>0</v>
      </c>
      <c r="CI126" s="659">
        <v>0</v>
      </c>
      <c r="CJ126" s="659">
        <v>112200</v>
      </c>
      <c r="CK126" s="659">
        <v>0</v>
      </c>
      <c r="CL126" s="659">
        <v>0</v>
      </c>
      <c r="CM126" s="659">
        <v>106000</v>
      </c>
      <c r="CN126" s="659">
        <v>8</v>
      </c>
      <c r="CO126" s="659">
        <v>0</v>
      </c>
      <c r="CP126" s="659">
        <v>0</v>
      </c>
      <c r="CQ126" s="659">
        <v>1600</v>
      </c>
      <c r="CR126" s="659">
        <v>0</v>
      </c>
      <c r="CS126" s="659">
        <v>0</v>
      </c>
      <c r="CT126" s="659">
        <v>1600</v>
      </c>
      <c r="CU126" s="659">
        <v>20</v>
      </c>
      <c r="CV126" s="659">
        <v>0</v>
      </c>
      <c r="CW126" s="659">
        <v>0</v>
      </c>
      <c r="CX126" s="659">
        <v>3000</v>
      </c>
      <c r="CY126" s="659">
        <v>0</v>
      </c>
      <c r="CZ126" s="659">
        <v>0</v>
      </c>
      <c r="DA126" s="659">
        <v>3000</v>
      </c>
      <c r="DB126" s="659">
        <v>215</v>
      </c>
      <c r="DC126" s="659">
        <v>0</v>
      </c>
      <c r="DD126" s="659">
        <v>0</v>
      </c>
      <c r="DE126" s="659">
        <v>24000</v>
      </c>
      <c r="DF126" s="659">
        <v>0</v>
      </c>
      <c r="DG126" s="659">
        <v>0</v>
      </c>
      <c r="DH126" s="659">
        <v>23500</v>
      </c>
      <c r="DI126" s="659">
        <v>2425</v>
      </c>
      <c r="DJ126" s="659">
        <v>0</v>
      </c>
      <c r="DK126" s="659">
        <v>0</v>
      </c>
      <c r="DL126" s="659">
        <v>413250</v>
      </c>
      <c r="DM126" s="659">
        <v>0</v>
      </c>
      <c r="DN126" s="659">
        <v>0</v>
      </c>
      <c r="DO126" s="659">
        <v>400655</v>
      </c>
      <c r="DP126" s="659">
        <v>274</v>
      </c>
      <c r="DQ126" s="659">
        <v>0</v>
      </c>
      <c r="DR126" s="659">
        <v>0</v>
      </c>
      <c r="DS126" s="659">
        <v>33717</v>
      </c>
      <c r="DT126" s="659">
        <v>0</v>
      </c>
      <c r="DU126" s="659">
        <v>0</v>
      </c>
      <c r="DV126" s="659">
        <v>33573</v>
      </c>
      <c r="DW126" s="659">
        <v>466</v>
      </c>
      <c r="DX126" s="659">
        <v>0</v>
      </c>
      <c r="DY126" s="659">
        <v>0</v>
      </c>
      <c r="DZ126" s="659">
        <v>90610</v>
      </c>
      <c r="EA126" s="659">
        <v>0</v>
      </c>
      <c r="EB126" s="659">
        <v>0</v>
      </c>
      <c r="EC126" s="659">
        <v>89226</v>
      </c>
      <c r="ED126" s="659">
        <v>15</v>
      </c>
      <c r="EE126" s="659">
        <v>0</v>
      </c>
      <c r="EF126" s="659">
        <v>0</v>
      </c>
      <c r="EG126" s="659">
        <v>750</v>
      </c>
      <c r="EH126" s="659">
        <v>0</v>
      </c>
      <c r="EI126" s="659">
        <v>0</v>
      </c>
      <c r="EJ126" s="659">
        <v>750</v>
      </c>
      <c r="EK126" s="659">
        <v>1</v>
      </c>
      <c r="EL126" s="659">
        <v>0</v>
      </c>
      <c r="EM126" s="659">
        <v>0</v>
      </c>
      <c r="EN126" s="659">
        <v>250</v>
      </c>
      <c r="EO126" s="659">
        <v>0</v>
      </c>
      <c r="EP126" s="659">
        <v>0</v>
      </c>
      <c r="EQ126" s="659">
        <v>250</v>
      </c>
    </row>
    <row r="127" spans="1:147" ht="20.7" customHeight="1" x14ac:dyDescent="0.3">
      <c r="A127" s="657" t="s">
        <v>1783</v>
      </c>
      <c r="B127" s="658" t="s">
        <v>269</v>
      </c>
      <c r="C127" s="659">
        <v>804</v>
      </c>
      <c r="D127" s="659">
        <v>0</v>
      </c>
      <c r="E127" s="659">
        <v>0</v>
      </c>
      <c r="F127" s="659">
        <v>166064</v>
      </c>
      <c r="G127" s="659">
        <v>0</v>
      </c>
      <c r="H127" s="659">
        <v>0</v>
      </c>
      <c r="I127" s="659">
        <v>165044</v>
      </c>
      <c r="J127" s="801">
        <v>94</v>
      </c>
      <c r="K127" s="659">
        <v>0</v>
      </c>
      <c r="L127" s="659">
        <v>0</v>
      </c>
      <c r="M127" s="659">
        <v>23245</v>
      </c>
      <c r="N127" s="659">
        <v>0</v>
      </c>
      <c r="O127" s="659">
        <v>0</v>
      </c>
      <c r="P127" s="659">
        <v>23245</v>
      </c>
      <c r="Q127" s="801">
        <v>0</v>
      </c>
      <c r="R127" s="659">
        <v>0</v>
      </c>
      <c r="S127" s="659">
        <v>0</v>
      </c>
      <c r="T127" s="659">
        <v>0</v>
      </c>
      <c r="U127" s="659">
        <v>0</v>
      </c>
      <c r="V127" s="659">
        <v>0</v>
      </c>
      <c r="W127" s="801">
        <v>2</v>
      </c>
      <c r="X127" s="659">
        <v>0</v>
      </c>
      <c r="Y127" s="659">
        <v>0</v>
      </c>
      <c r="Z127" s="659">
        <v>200</v>
      </c>
      <c r="AA127" s="659">
        <v>0</v>
      </c>
      <c r="AB127" s="659">
        <v>0</v>
      </c>
      <c r="AC127" s="659">
        <v>170</v>
      </c>
      <c r="AD127" s="801">
        <v>31</v>
      </c>
      <c r="AE127" s="659">
        <v>0</v>
      </c>
      <c r="AF127" s="659">
        <v>0</v>
      </c>
      <c r="AG127" s="659">
        <v>7263</v>
      </c>
      <c r="AH127" s="659">
        <v>0</v>
      </c>
      <c r="AI127" s="659">
        <v>0</v>
      </c>
      <c r="AJ127" s="659">
        <v>7263</v>
      </c>
      <c r="AK127" s="801">
        <v>5</v>
      </c>
      <c r="AL127" s="659">
        <v>0</v>
      </c>
      <c r="AM127" s="659">
        <v>1250</v>
      </c>
      <c r="AN127" s="659">
        <v>0</v>
      </c>
      <c r="AO127" s="659">
        <v>0</v>
      </c>
      <c r="AP127" s="659">
        <v>1250</v>
      </c>
      <c r="AQ127" s="801">
        <v>19</v>
      </c>
      <c r="AR127" s="659">
        <v>0</v>
      </c>
      <c r="AS127" s="659">
        <v>0</v>
      </c>
      <c r="AT127" s="659">
        <v>5200</v>
      </c>
      <c r="AU127" s="659">
        <v>0</v>
      </c>
      <c r="AV127" s="659">
        <v>0</v>
      </c>
      <c r="AW127" s="659">
        <v>4718</v>
      </c>
      <c r="AX127" s="659">
        <v>4</v>
      </c>
      <c r="AY127" s="659">
        <v>0</v>
      </c>
      <c r="AZ127" s="659">
        <v>0</v>
      </c>
      <c r="BA127" s="659">
        <v>906</v>
      </c>
      <c r="BB127" s="659">
        <v>0</v>
      </c>
      <c r="BC127" s="659">
        <v>0</v>
      </c>
      <c r="BD127" s="659">
        <v>903</v>
      </c>
      <c r="BE127" s="801">
        <v>338</v>
      </c>
      <c r="BF127" s="659">
        <v>0</v>
      </c>
      <c r="BG127" s="659">
        <v>0</v>
      </c>
      <c r="BH127" s="659">
        <v>81624</v>
      </c>
      <c r="BI127" s="659">
        <v>0</v>
      </c>
      <c r="BJ127" s="659">
        <v>0</v>
      </c>
      <c r="BK127" s="659">
        <v>81624</v>
      </c>
      <c r="BL127" s="659">
        <v>100</v>
      </c>
      <c r="BM127" s="659">
        <v>0</v>
      </c>
      <c r="BN127" s="659">
        <v>0</v>
      </c>
      <c r="BO127" s="659">
        <v>19875</v>
      </c>
      <c r="BP127" s="659">
        <v>0</v>
      </c>
      <c r="BQ127" s="659">
        <v>0</v>
      </c>
      <c r="BR127" s="659">
        <v>19440</v>
      </c>
      <c r="BS127" s="659">
        <v>0</v>
      </c>
      <c r="BT127" s="659">
        <v>0</v>
      </c>
      <c r="BU127" s="659">
        <v>0</v>
      </c>
      <c r="BV127" s="659">
        <v>0</v>
      </c>
      <c r="BW127" s="659">
        <v>0</v>
      </c>
      <c r="BX127" s="659">
        <v>0</v>
      </c>
      <c r="BY127" s="659">
        <v>0</v>
      </c>
      <c r="BZ127" s="659">
        <v>0</v>
      </c>
      <c r="CA127" s="659">
        <v>0</v>
      </c>
      <c r="CB127" s="659">
        <v>0</v>
      </c>
      <c r="CC127" s="659">
        <v>0</v>
      </c>
      <c r="CD127" s="659">
        <v>0</v>
      </c>
      <c r="CE127" s="659">
        <v>0</v>
      </c>
      <c r="CF127" s="659">
        <v>0</v>
      </c>
      <c r="CG127" s="659">
        <v>0</v>
      </c>
      <c r="CH127" s="659">
        <v>0</v>
      </c>
      <c r="CI127" s="659">
        <v>0</v>
      </c>
      <c r="CJ127" s="659">
        <v>0</v>
      </c>
      <c r="CK127" s="659">
        <v>0</v>
      </c>
      <c r="CL127" s="659">
        <v>0</v>
      </c>
      <c r="CM127" s="659">
        <v>0</v>
      </c>
      <c r="CN127" s="659">
        <v>0</v>
      </c>
      <c r="CO127" s="659">
        <v>0</v>
      </c>
      <c r="CP127" s="659">
        <v>0</v>
      </c>
      <c r="CQ127" s="659">
        <v>0</v>
      </c>
      <c r="CR127" s="659">
        <v>0</v>
      </c>
      <c r="CS127" s="659">
        <v>0</v>
      </c>
      <c r="CT127" s="659">
        <v>0</v>
      </c>
      <c r="CU127" s="659">
        <v>0</v>
      </c>
      <c r="CV127" s="659">
        <v>0</v>
      </c>
      <c r="CW127" s="659">
        <v>0</v>
      </c>
      <c r="CX127" s="659">
        <v>0</v>
      </c>
      <c r="CY127" s="659">
        <v>0</v>
      </c>
      <c r="CZ127" s="659">
        <v>0</v>
      </c>
      <c r="DA127" s="659">
        <v>0</v>
      </c>
      <c r="DB127" s="659">
        <v>18</v>
      </c>
      <c r="DC127" s="659">
        <v>0</v>
      </c>
      <c r="DD127" s="659">
        <v>0</v>
      </c>
      <c r="DE127" s="659">
        <v>3300</v>
      </c>
      <c r="DF127" s="659">
        <v>0</v>
      </c>
      <c r="DG127" s="659">
        <v>0</v>
      </c>
      <c r="DH127" s="659">
        <v>3300</v>
      </c>
      <c r="DI127" s="659">
        <v>45</v>
      </c>
      <c r="DJ127" s="659">
        <v>0</v>
      </c>
      <c r="DK127" s="659">
        <v>0</v>
      </c>
      <c r="DL127" s="659">
        <v>5400</v>
      </c>
      <c r="DM127" s="659">
        <v>0</v>
      </c>
      <c r="DN127" s="659">
        <v>0</v>
      </c>
      <c r="DO127" s="659">
        <v>5330</v>
      </c>
      <c r="DP127" s="659">
        <v>0</v>
      </c>
      <c r="DQ127" s="659">
        <v>0</v>
      </c>
      <c r="DR127" s="659">
        <v>0</v>
      </c>
      <c r="DS127" s="659">
        <v>0</v>
      </c>
      <c r="DT127" s="659">
        <v>0</v>
      </c>
      <c r="DU127" s="659">
        <v>0</v>
      </c>
      <c r="DV127" s="659">
        <v>0</v>
      </c>
      <c r="DW127" s="659">
        <v>0</v>
      </c>
      <c r="DX127" s="659">
        <v>0</v>
      </c>
      <c r="DY127" s="659">
        <v>0</v>
      </c>
      <c r="DZ127" s="659">
        <v>0</v>
      </c>
      <c r="EA127" s="659">
        <v>0</v>
      </c>
      <c r="EB127" s="659">
        <v>0</v>
      </c>
      <c r="EC127" s="659">
        <v>0</v>
      </c>
      <c r="ED127" s="659">
        <v>0</v>
      </c>
      <c r="EE127" s="659">
        <v>0</v>
      </c>
      <c r="EF127" s="659">
        <v>0</v>
      </c>
      <c r="EG127" s="659">
        <v>0</v>
      </c>
      <c r="EH127" s="659">
        <v>0</v>
      </c>
      <c r="EI127" s="659">
        <v>0</v>
      </c>
      <c r="EJ127" s="659">
        <v>0</v>
      </c>
      <c r="EK127" s="659">
        <v>148</v>
      </c>
      <c r="EL127" s="659">
        <v>0</v>
      </c>
      <c r="EM127" s="659">
        <v>0</v>
      </c>
      <c r="EN127" s="659">
        <v>17801</v>
      </c>
      <c r="EO127" s="659">
        <v>0</v>
      </c>
      <c r="EP127" s="659">
        <v>0</v>
      </c>
      <c r="EQ127" s="659">
        <v>17801</v>
      </c>
    </row>
    <row r="128" spans="1:147" ht="13.95" customHeight="1" x14ac:dyDescent="0.3">
      <c r="A128" s="657" t="s">
        <v>1784</v>
      </c>
      <c r="B128" s="658" t="s">
        <v>269</v>
      </c>
      <c r="C128" s="659">
        <v>5950</v>
      </c>
      <c r="D128" s="659">
        <v>0</v>
      </c>
      <c r="E128" s="659">
        <v>0</v>
      </c>
      <c r="F128" s="659">
        <v>385538</v>
      </c>
      <c r="G128" s="659">
        <v>0</v>
      </c>
      <c r="H128" s="659">
        <v>0</v>
      </c>
      <c r="I128" s="659">
        <v>371302</v>
      </c>
      <c r="J128" s="801">
        <v>268</v>
      </c>
      <c r="K128" s="659">
        <v>0</v>
      </c>
      <c r="L128" s="659">
        <v>0</v>
      </c>
      <c r="M128" s="659">
        <v>10220</v>
      </c>
      <c r="N128" s="659">
        <v>0</v>
      </c>
      <c r="O128" s="659">
        <v>0</v>
      </c>
      <c r="P128" s="659">
        <v>10220</v>
      </c>
      <c r="Q128" s="801">
        <v>0</v>
      </c>
      <c r="R128" s="659">
        <v>0</v>
      </c>
      <c r="S128" s="659">
        <v>0</v>
      </c>
      <c r="T128" s="659">
        <v>0</v>
      </c>
      <c r="U128" s="659">
        <v>0</v>
      </c>
      <c r="V128" s="659">
        <v>0</v>
      </c>
      <c r="W128" s="801">
        <v>30</v>
      </c>
      <c r="X128" s="659">
        <v>0</v>
      </c>
      <c r="Y128" s="659">
        <v>0</v>
      </c>
      <c r="Z128" s="659">
        <v>5700</v>
      </c>
      <c r="AA128" s="659">
        <v>0</v>
      </c>
      <c r="AB128" s="659">
        <v>0</v>
      </c>
      <c r="AC128" s="659">
        <v>5700</v>
      </c>
      <c r="AD128" s="801">
        <v>59</v>
      </c>
      <c r="AE128" s="659">
        <v>0</v>
      </c>
      <c r="AF128" s="659">
        <v>0</v>
      </c>
      <c r="AG128" s="659">
        <v>1060</v>
      </c>
      <c r="AH128" s="659">
        <v>0</v>
      </c>
      <c r="AI128" s="659">
        <v>0</v>
      </c>
      <c r="AJ128" s="659">
        <v>1060</v>
      </c>
      <c r="AK128" s="801">
        <v>53</v>
      </c>
      <c r="AL128" s="659">
        <v>0</v>
      </c>
      <c r="AM128" s="659">
        <v>2942</v>
      </c>
      <c r="AN128" s="659">
        <v>0</v>
      </c>
      <c r="AO128" s="659">
        <v>0</v>
      </c>
      <c r="AP128" s="659">
        <v>2942</v>
      </c>
      <c r="AQ128" s="801">
        <v>1950</v>
      </c>
      <c r="AR128" s="659">
        <v>0</v>
      </c>
      <c r="AS128" s="659">
        <v>0</v>
      </c>
      <c r="AT128" s="659">
        <v>88321</v>
      </c>
      <c r="AU128" s="659">
        <v>0</v>
      </c>
      <c r="AV128" s="659">
        <v>0</v>
      </c>
      <c r="AW128" s="659">
        <v>83912</v>
      </c>
      <c r="AX128" s="659">
        <v>135</v>
      </c>
      <c r="AY128" s="659">
        <v>0</v>
      </c>
      <c r="AZ128" s="659">
        <v>0</v>
      </c>
      <c r="BA128" s="659">
        <v>6371</v>
      </c>
      <c r="BB128" s="659">
        <v>0</v>
      </c>
      <c r="BC128" s="659">
        <v>0</v>
      </c>
      <c r="BD128" s="659">
        <v>6335</v>
      </c>
      <c r="BE128" s="801">
        <v>782</v>
      </c>
      <c r="BF128" s="659">
        <v>0</v>
      </c>
      <c r="BG128" s="659">
        <v>0</v>
      </c>
      <c r="BH128" s="659">
        <v>44916</v>
      </c>
      <c r="BI128" s="659">
        <v>0</v>
      </c>
      <c r="BJ128" s="659">
        <v>0</v>
      </c>
      <c r="BK128" s="659">
        <v>44916</v>
      </c>
      <c r="BL128" s="659">
        <v>167</v>
      </c>
      <c r="BM128" s="659">
        <v>0</v>
      </c>
      <c r="BN128" s="659">
        <v>0</v>
      </c>
      <c r="BO128" s="659">
        <v>8270</v>
      </c>
      <c r="BP128" s="659">
        <v>0</v>
      </c>
      <c r="BQ128" s="659">
        <v>0</v>
      </c>
      <c r="BR128" s="659">
        <v>8190</v>
      </c>
      <c r="BS128" s="659">
        <v>0</v>
      </c>
      <c r="BT128" s="659">
        <v>0</v>
      </c>
      <c r="BU128" s="659">
        <v>0</v>
      </c>
      <c r="BV128" s="659">
        <v>0</v>
      </c>
      <c r="BW128" s="659">
        <v>0</v>
      </c>
      <c r="BX128" s="659">
        <v>0</v>
      </c>
      <c r="BY128" s="659">
        <v>0</v>
      </c>
      <c r="BZ128" s="659">
        <v>34</v>
      </c>
      <c r="CA128" s="659">
        <v>0</v>
      </c>
      <c r="CB128" s="659">
        <v>0</v>
      </c>
      <c r="CC128" s="659">
        <v>1656</v>
      </c>
      <c r="CD128" s="659">
        <v>0</v>
      </c>
      <c r="CE128" s="659">
        <v>0</v>
      </c>
      <c r="CF128" s="659">
        <v>1564</v>
      </c>
      <c r="CG128" s="659">
        <v>484</v>
      </c>
      <c r="CH128" s="659">
        <v>0</v>
      </c>
      <c r="CI128" s="659">
        <v>0</v>
      </c>
      <c r="CJ128" s="659">
        <v>28515</v>
      </c>
      <c r="CK128" s="659">
        <v>0</v>
      </c>
      <c r="CL128" s="659">
        <v>0</v>
      </c>
      <c r="CM128" s="659">
        <v>27013</v>
      </c>
      <c r="CN128" s="659">
        <v>14</v>
      </c>
      <c r="CO128" s="659">
        <v>0</v>
      </c>
      <c r="CP128" s="659">
        <v>0</v>
      </c>
      <c r="CQ128" s="659">
        <v>1125</v>
      </c>
      <c r="CR128" s="659">
        <v>0</v>
      </c>
      <c r="CS128" s="659">
        <v>0</v>
      </c>
      <c r="CT128" s="659">
        <v>1125</v>
      </c>
      <c r="CU128" s="659">
        <v>50</v>
      </c>
      <c r="CV128" s="659">
        <v>0</v>
      </c>
      <c r="CW128" s="659">
        <v>0</v>
      </c>
      <c r="CX128" s="659">
        <v>1000</v>
      </c>
      <c r="CY128" s="659">
        <v>0</v>
      </c>
      <c r="CZ128" s="659">
        <v>0</v>
      </c>
      <c r="DA128" s="659">
        <v>1000</v>
      </c>
      <c r="DB128" s="659">
        <v>15</v>
      </c>
      <c r="DC128" s="659">
        <v>0</v>
      </c>
      <c r="DD128" s="659">
        <v>0</v>
      </c>
      <c r="DE128" s="659">
        <v>1150</v>
      </c>
      <c r="DF128" s="659">
        <v>0</v>
      </c>
      <c r="DG128" s="659">
        <v>0</v>
      </c>
      <c r="DH128" s="659">
        <v>1150</v>
      </c>
      <c r="DI128" s="659">
        <v>1640</v>
      </c>
      <c r="DJ128" s="659">
        <v>0</v>
      </c>
      <c r="DK128" s="659">
        <v>0</v>
      </c>
      <c r="DL128" s="659">
        <v>161400</v>
      </c>
      <c r="DM128" s="659">
        <v>0</v>
      </c>
      <c r="DN128" s="659">
        <v>0</v>
      </c>
      <c r="DO128" s="659">
        <v>153400</v>
      </c>
      <c r="DP128" s="659">
        <v>72</v>
      </c>
      <c r="DQ128" s="659">
        <v>0</v>
      </c>
      <c r="DR128" s="659">
        <v>0</v>
      </c>
      <c r="DS128" s="659">
        <v>4477</v>
      </c>
      <c r="DT128" s="659">
        <v>0</v>
      </c>
      <c r="DU128" s="659">
        <v>0</v>
      </c>
      <c r="DV128" s="659">
        <v>4410</v>
      </c>
      <c r="DW128" s="659">
        <v>16</v>
      </c>
      <c r="DX128" s="659">
        <v>0</v>
      </c>
      <c r="DY128" s="659">
        <v>0</v>
      </c>
      <c r="DZ128" s="659">
        <v>2050</v>
      </c>
      <c r="EA128" s="659">
        <v>0</v>
      </c>
      <c r="EB128" s="659">
        <v>0</v>
      </c>
      <c r="EC128" s="659">
        <v>2000</v>
      </c>
      <c r="ED128" s="659">
        <v>30</v>
      </c>
      <c r="EE128" s="659">
        <v>0</v>
      </c>
      <c r="EF128" s="659">
        <v>0</v>
      </c>
      <c r="EG128" s="659">
        <v>450</v>
      </c>
      <c r="EH128" s="659">
        <v>0</v>
      </c>
      <c r="EI128" s="659">
        <v>0</v>
      </c>
      <c r="EJ128" s="659">
        <v>450</v>
      </c>
      <c r="EK128" s="659">
        <v>151</v>
      </c>
      <c r="EL128" s="659">
        <v>0</v>
      </c>
      <c r="EM128" s="659">
        <v>0</v>
      </c>
      <c r="EN128" s="659">
        <v>15915</v>
      </c>
      <c r="EO128" s="659">
        <v>0</v>
      </c>
      <c r="EP128" s="659">
        <v>0</v>
      </c>
      <c r="EQ128" s="659">
        <v>15915</v>
      </c>
    </row>
    <row r="129" spans="1:147" ht="20.7" customHeight="1" x14ac:dyDescent="0.3">
      <c r="A129" s="657" t="s">
        <v>1785</v>
      </c>
      <c r="B129" s="658" t="s">
        <v>269</v>
      </c>
      <c r="C129" s="659">
        <v>13190</v>
      </c>
      <c r="D129" s="659">
        <v>0</v>
      </c>
      <c r="E129" s="659">
        <v>0</v>
      </c>
      <c r="F129" s="659">
        <v>2721397</v>
      </c>
      <c r="G129" s="659">
        <v>0</v>
      </c>
      <c r="H129" s="659">
        <v>0</v>
      </c>
      <c r="I129" s="659">
        <v>2645095</v>
      </c>
      <c r="J129" s="801">
        <v>68</v>
      </c>
      <c r="K129" s="659">
        <v>0</v>
      </c>
      <c r="L129" s="659">
        <v>0</v>
      </c>
      <c r="M129" s="659">
        <v>15335</v>
      </c>
      <c r="N129" s="659">
        <v>0</v>
      </c>
      <c r="O129" s="659">
        <v>0</v>
      </c>
      <c r="P129" s="659">
        <v>14020</v>
      </c>
      <c r="Q129" s="801">
        <v>0</v>
      </c>
      <c r="R129" s="659">
        <v>0</v>
      </c>
      <c r="S129" s="659">
        <v>0</v>
      </c>
      <c r="T129" s="659">
        <v>0</v>
      </c>
      <c r="U129" s="659">
        <v>0</v>
      </c>
      <c r="V129" s="659">
        <v>0</v>
      </c>
      <c r="W129" s="801">
        <v>7</v>
      </c>
      <c r="X129" s="659">
        <v>0</v>
      </c>
      <c r="Y129" s="659">
        <v>0</v>
      </c>
      <c r="Z129" s="659">
        <v>615</v>
      </c>
      <c r="AA129" s="659">
        <v>0</v>
      </c>
      <c r="AB129" s="659">
        <v>0</v>
      </c>
      <c r="AC129" s="659">
        <v>613</v>
      </c>
      <c r="AD129" s="801">
        <v>302</v>
      </c>
      <c r="AE129" s="659">
        <v>0</v>
      </c>
      <c r="AF129" s="659">
        <v>0</v>
      </c>
      <c r="AG129" s="659">
        <v>66250</v>
      </c>
      <c r="AH129" s="659">
        <v>0</v>
      </c>
      <c r="AI129" s="659">
        <v>0</v>
      </c>
      <c r="AJ129" s="659">
        <v>66250</v>
      </c>
      <c r="AK129" s="801">
        <v>31</v>
      </c>
      <c r="AL129" s="659">
        <v>0</v>
      </c>
      <c r="AM129" s="659">
        <v>8098</v>
      </c>
      <c r="AN129" s="659">
        <v>0</v>
      </c>
      <c r="AO129" s="659">
        <v>0</v>
      </c>
      <c r="AP129" s="659">
        <v>8098</v>
      </c>
      <c r="AQ129" s="801">
        <v>7007</v>
      </c>
      <c r="AR129" s="659">
        <v>0</v>
      </c>
      <c r="AS129" s="659">
        <v>0</v>
      </c>
      <c r="AT129" s="659">
        <v>1330420</v>
      </c>
      <c r="AU129" s="659">
        <v>0</v>
      </c>
      <c r="AV129" s="659">
        <v>0</v>
      </c>
      <c r="AW129" s="659">
        <v>1283850</v>
      </c>
      <c r="AX129" s="659">
        <v>43</v>
      </c>
      <c r="AY129" s="659">
        <v>0</v>
      </c>
      <c r="AZ129" s="659">
        <v>0</v>
      </c>
      <c r="BA129" s="659">
        <v>4304</v>
      </c>
      <c r="BB129" s="659">
        <v>0</v>
      </c>
      <c r="BC129" s="659">
        <v>0</v>
      </c>
      <c r="BD129" s="659">
        <v>4283</v>
      </c>
      <c r="BE129" s="801">
        <v>802</v>
      </c>
      <c r="BF129" s="659">
        <v>0</v>
      </c>
      <c r="BG129" s="659">
        <v>0</v>
      </c>
      <c r="BH129" s="659">
        <v>206192</v>
      </c>
      <c r="BI129" s="659">
        <v>0</v>
      </c>
      <c r="BJ129" s="659">
        <v>0</v>
      </c>
      <c r="BK129" s="659">
        <v>206192</v>
      </c>
      <c r="BL129" s="659">
        <v>118</v>
      </c>
      <c r="BM129" s="659">
        <v>0</v>
      </c>
      <c r="BN129" s="659">
        <v>0</v>
      </c>
      <c r="BO129" s="659">
        <v>21540</v>
      </c>
      <c r="BP129" s="659">
        <v>0</v>
      </c>
      <c r="BQ129" s="659">
        <v>0</v>
      </c>
      <c r="BR129" s="659">
        <v>20865</v>
      </c>
      <c r="BS129" s="659">
        <v>15</v>
      </c>
      <c r="BT129" s="659">
        <v>0</v>
      </c>
      <c r="BU129" s="659">
        <v>0</v>
      </c>
      <c r="BV129" s="659">
        <v>2095</v>
      </c>
      <c r="BW129" s="659">
        <v>0</v>
      </c>
      <c r="BX129" s="659">
        <v>0</v>
      </c>
      <c r="BY129" s="659">
        <v>2095</v>
      </c>
      <c r="BZ129" s="659">
        <v>576</v>
      </c>
      <c r="CA129" s="659">
        <v>0</v>
      </c>
      <c r="CB129" s="659">
        <v>0</v>
      </c>
      <c r="CC129" s="659">
        <v>122644</v>
      </c>
      <c r="CD129" s="659">
        <v>0</v>
      </c>
      <c r="CE129" s="659">
        <v>0</v>
      </c>
      <c r="CF129" s="659">
        <v>122204</v>
      </c>
      <c r="CG129" s="659">
        <v>642</v>
      </c>
      <c r="CH129" s="659">
        <v>0</v>
      </c>
      <c r="CI129" s="659">
        <v>0</v>
      </c>
      <c r="CJ129" s="659">
        <v>141320</v>
      </c>
      <c r="CK129" s="659">
        <v>0</v>
      </c>
      <c r="CL129" s="659">
        <v>0</v>
      </c>
      <c r="CM129" s="659">
        <v>126308</v>
      </c>
      <c r="CN129" s="659">
        <v>1360</v>
      </c>
      <c r="CO129" s="659">
        <v>0</v>
      </c>
      <c r="CP129" s="659">
        <v>0</v>
      </c>
      <c r="CQ129" s="659">
        <v>368480</v>
      </c>
      <c r="CR129" s="659">
        <v>0</v>
      </c>
      <c r="CS129" s="659">
        <v>0</v>
      </c>
      <c r="CT129" s="659">
        <v>368480</v>
      </c>
      <c r="CU129" s="659">
        <v>60</v>
      </c>
      <c r="CV129" s="659">
        <v>0</v>
      </c>
      <c r="CW129" s="659">
        <v>0</v>
      </c>
      <c r="CX129" s="659">
        <v>11300</v>
      </c>
      <c r="CY129" s="659">
        <v>0</v>
      </c>
      <c r="CZ129" s="659">
        <v>0</v>
      </c>
      <c r="DA129" s="659">
        <v>11300</v>
      </c>
      <c r="DB129" s="659">
        <v>244</v>
      </c>
      <c r="DC129" s="659">
        <v>0</v>
      </c>
      <c r="DD129" s="659">
        <v>0</v>
      </c>
      <c r="DE129" s="659">
        <v>57180</v>
      </c>
      <c r="DF129" s="659">
        <v>0</v>
      </c>
      <c r="DG129" s="659">
        <v>0</v>
      </c>
      <c r="DH129" s="659">
        <v>54152</v>
      </c>
      <c r="DI129" s="659">
        <v>1515</v>
      </c>
      <c r="DJ129" s="659">
        <v>0</v>
      </c>
      <c r="DK129" s="659">
        <v>0</v>
      </c>
      <c r="DL129" s="659">
        <v>285200</v>
      </c>
      <c r="DM129" s="659">
        <v>0</v>
      </c>
      <c r="DN129" s="659">
        <v>0</v>
      </c>
      <c r="DO129" s="659">
        <v>276160</v>
      </c>
      <c r="DP129" s="659">
        <v>174</v>
      </c>
      <c r="DQ129" s="659">
        <v>0</v>
      </c>
      <c r="DR129" s="659">
        <v>0</v>
      </c>
      <c r="DS129" s="659">
        <v>37301</v>
      </c>
      <c r="DT129" s="659">
        <v>0</v>
      </c>
      <c r="DU129" s="659">
        <v>0</v>
      </c>
      <c r="DV129" s="659">
        <v>37211</v>
      </c>
      <c r="DW129" s="659">
        <v>53</v>
      </c>
      <c r="DX129" s="659">
        <v>0</v>
      </c>
      <c r="DY129" s="659">
        <v>0</v>
      </c>
      <c r="DZ129" s="659">
        <v>6290</v>
      </c>
      <c r="EA129" s="659">
        <v>0</v>
      </c>
      <c r="EB129" s="659">
        <v>0</v>
      </c>
      <c r="EC129" s="659">
        <v>6181</v>
      </c>
      <c r="ED129" s="659">
        <v>68</v>
      </c>
      <c r="EE129" s="659">
        <v>0</v>
      </c>
      <c r="EF129" s="659">
        <v>0</v>
      </c>
      <c r="EG129" s="659">
        <v>6850</v>
      </c>
      <c r="EH129" s="659">
        <v>0</v>
      </c>
      <c r="EI129" s="659">
        <v>0</v>
      </c>
      <c r="EJ129" s="659">
        <v>6850</v>
      </c>
      <c r="EK129" s="659">
        <v>105</v>
      </c>
      <c r="EL129" s="659">
        <v>0</v>
      </c>
      <c r="EM129" s="659">
        <v>0</v>
      </c>
      <c r="EN129" s="659">
        <v>29983</v>
      </c>
      <c r="EO129" s="659">
        <v>0</v>
      </c>
      <c r="EP129" s="659">
        <v>0</v>
      </c>
      <c r="EQ129" s="659">
        <v>29983</v>
      </c>
    </row>
    <row r="130" spans="1:147" ht="13.95" customHeight="1" x14ac:dyDescent="0.3">
      <c r="A130" s="657" t="s">
        <v>1786</v>
      </c>
      <c r="B130" s="658" t="s">
        <v>269</v>
      </c>
      <c r="C130" s="659">
        <v>2733</v>
      </c>
      <c r="D130" s="659">
        <v>0</v>
      </c>
      <c r="E130" s="659">
        <v>0</v>
      </c>
      <c r="F130" s="659">
        <v>909051</v>
      </c>
      <c r="G130" s="659">
        <v>0</v>
      </c>
      <c r="H130" s="659">
        <v>0</v>
      </c>
      <c r="I130" s="659">
        <v>899226</v>
      </c>
      <c r="J130" s="801">
        <v>83</v>
      </c>
      <c r="K130" s="659">
        <v>0</v>
      </c>
      <c r="L130" s="659">
        <v>0</v>
      </c>
      <c r="M130" s="659">
        <v>26829</v>
      </c>
      <c r="N130" s="659">
        <v>0</v>
      </c>
      <c r="O130" s="659">
        <v>0</v>
      </c>
      <c r="P130" s="659">
        <v>26829</v>
      </c>
      <c r="Q130" s="801">
        <v>0</v>
      </c>
      <c r="R130" s="659">
        <v>0</v>
      </c>
      <c r="S130" s="659">
        <v>0</v>
      </c>
      <c r="T130" s="659">
        <v>0</v>
      </c>
      <c r="U130" s="659">
        <v>0</v>
      </c>
      <c r="V130" s="659">
        <v>0</v>
      </c>
      <c r="W130" s="801">
        <v>0</v>
      </c>
      <c r="X130" s="659">
        <v>0</v>
      </c>
      <c r="Y130" s="659">
        <v>0</v>
      </c>
      <c r="Z130" s="659">
        <v>0</v>
      </c>
      <c r="AA130" s="659">
        <v>0</v>
      </c>
      <c r="AB130" s="659">
        <v>0</v>
      </c>
      <c r="AC130" s="659">
        <v>0</v>
      </c>
      <c r="AD130" s="801">
        <v>2</v>
      </c>
      <c r="AE130" s="659">
        <v>0</v>
      </c>
      <c r="AF130" s="659">
        <v>0</v>
      </c>
      <c r="AG130" s="659">
        <v>600</v>
      </c>
      <c r="AH130" s="659">
        <v>0</v>
      </c>
      <c r="AI130" s="659">
        <v>0</v>
      </c>
      <c r="AJ130" s="659">
        <v>600</v>
      </c>
      <c r="AK130" s="801">
        <v>9</v>
      </c>
      <c r="AL130" s="659">
        <v>0</v>
      </c>
      <c r="AM130" s="659">
        <v>3200</v>
      </c>
      <c r="AN130" s="659">
        <v>0</v>
      </c>
      <c r="AO130" s="659">
        <v>0</v>
      </c>
      <c r="AP130" s="659">
        <v>3200</v>
      </c>
      <c r="AQ130" s="801">
        <v>36</v>
      </c>
      <c r="AR130" s="659">
        <v>0</v>
      </c>
      <c r="AS130" s="659">
        <v>0</v>
      </c>
      <c r="AT130" s="659">
        <v>14130</v>
      </c>
      <c r="AU130" s="659">
        <v>0</v>
      </c>
      <c r="AV130" s="659">
        <v>0</v>
      </c>
      <c r="AW130" s="659">
        <v>13360</v>
      </c>
      <c r="AX130" s="659">
        <v>0</v>
      </c>
      <c r="AY130" s="659">
        <v>0</v>
      </c>
      <c r="AZ130" s="659">
        <v>0</v>
      </c>
      <c r="BA130" s="659">
        <v>0</v>
      </c>
      <c r="BB130" s="659">
        <v>0</v>
      </c>
      <c r="BC130" s="659">
        <v>0</v>
      </c>
      <c r="BD130" s="659">
        <v>0</v>
      </c>
      <c r="BE130" s="801">
        <v>134</v>
      </c>
      <c r="BF130" s="659">
        <v>0</v>
      </c>
      <c r="BG130" s="659">
        <v>0</v>
      </c>
      <c r="BH130" s="659">
        <v>87860</v>
      </c>
      <c r="BI130" s="659">
        <v>0</v>
      </c>
      <c r="BJ130" s="659">
        <v>0</v>
      </c>
      <c r="BK130" s="659">
        <v>87860</v>
      </c>
      <c r="BL130" s="659">
        <v>10</v>
      </c>
      <c r="BM130" s="659">
        <v>0</v>
      </c>
      <c r="BN130" s="659">
        <v>0</v>
      </c>
      <c r="BO130" s="659">
        <v>2026</v>
      </c>
      <c r="BP130" s="659">
        <v>0</v>
      </c>
      <c r="BQ130" s="659">
        <v>0</v>
      </c>
      <c r="BR130" s="659">
        <v>1986</v>
      </c>
      <c r="BS130" s="659">
        <v>0</v>
      </c>
      <c r="BT130" s="659">
        <v>0</v>
      </c>
      <c r="BU130" s="659">
        <v>0</v>
      </c>
      <c r="BV130" s="659">
        <v>0</v>
      </c>
      <c r="BW130" s="659">
        <v>0</v>
      </c>
      <c r="BX130" s="659">
        <v>0</v>
      </c>
      <c r="BY130" s="659">
        <v>0</v>
      </c>
      <c r="BZ130" s="659">
        <v>13</v>
      </c>
      <c r="CA130" s="659">
        <v>0</v>
      </c>
      <c r="CB130" s="659">
        <v>0</v>
      </c>
      <c r="CC130" s="659">
        <v>5204</v>
      </c>
      <c r="CD130" s="659">
        <v>0</v>
      </c>
      <c r="CE130" s="659">
        <v>0</v>
      </c>
      <c r="CF130" s="659">
        <v>5169</v>
      </c>
      <c r="CG130" s="659">
        <v>29</v>
      </c>
      <c r="CH130" s="659">
        <v>0</v>
      </c>
      <c r="CI130" s="659">
        <v>0</v>
      </c>
      <c r="CJ130" s="659">
        <v>5000</v>
      </c>
      <c r="CK130" s="659">
        <v>0</v>
      </c>
      <c r="CL130" s="659">
        <v>0</v>
      </c>
      <c r="CM130" s="659">
        <v>4780</v>
      </c>
      <c r="CN130" s="659">
        <v>202</v>
      </c>
      <c r="CO130" s="659">
        <v>0</v>
      </c>
      <c r="CP130" s="659">
        <v>0</v>
      </c>
      <c r="CQ130" s="659">
        <v>40400</v>
      </c>
      <c r="CR130" s="659">
        <v>0</v>
      </c>
      <c r="CS130" s="659">
        <v>0</v>
      </c>
      <c r="CT130" s="659">
        <v>39400</v>
      </c>
      <c r="CU130" s="659">
        <v>0</v>
      </c>
      <c r="CV130" s="659">
        <v>0</v>
      </c>
      <c r="CW130" s="659">
        <v>0</v>
      </c>
      <c r="CX130" s="659">
        <v>0</v>
      </c>
      <c r="CY130" s="659">
        <v>0</v>
      </c>
      <c r="CZ130" s="659">
        <v>0</v>
      </c>
      <c r="DA130" s="659">
        <v>0</v>
      </c>
      <c r="DB130" s="659">
        <v>50</v>
      </c>
      <c r="DC130" s="659">
        <v>0</v>
      </c>
      <c r="DD130" s="659">
        <v>0</v>
      </c>
      <c r="DE130" s="659">
        <v>22000</v>
      </c>
      <c r="DF130" s="659">
        <v>0</v>
      </c>
      <c r="DG130" s="659">
        <v>0</v>
      </c>
      <c r="DH130" s="659">
        <v>21000</v>
      </c>
      <c r="DI130" s="659">
        <v>1745</v>
      </c>
      <c r="DJ130" s="659">
        <v>0</v>
      </c>
      <c r="DK130" s="659">
        <v>0</v>
      </c>
      <c r="DL130" s="659">
        <v>523800</v>
      </c>
      <c r="DM130" s="659">
        <v>0</v>
      </c>
      <c r="DN130" s="659">
        <v>0</v>
      </c>
      <c r="DO130" s="659">
        <v>517720</v>
      </c>
      <c r="DP130" s="659">
        <v>157</v>
      </c>
      <c r="DQ130" s="659">
        <v>0</v>
      </c>
      <c r="DR130" s="659">
        <v>0</v>
      </c>
      <c r="DS130" s="659">
        <v>60447</v>
      </c>
      <c r="DT130" s="659">
        <v>0</v>
      </c>
      <c r="DU130" s="659">
        <v>0</v>
      </c>
      <c r="DV130" s="659">
        <v>59947</v>
      </c>
      <c r="DW130" s="659">
        <v>16</v>
      </c>
      <c r="DX130" s="659">
        <v>0</v>
      </c>
      <c r="DY130" s="659">
        <v>0</v>
      </c>
      <c r="DZ130" s="659">
        <v>2120</v>
      </c>
      <c r="EA130" s="659">
        <v>0</v>
      </c>
      <c r="EB130" s="659">
        <v>0</v>
      </c>
      <c r="EC130" s="659">
        <v>2070</v>
      </c>
      <c r="ED130" s="659">
        <v>115</v>
      </c>
      <c r="EE130" s="659">
        <v>0</v>
      </c>
      <c r="EF130" s="659">
        <v>0</v>
      </c>
      <c r="EG130" s="659">
        <v>13015</v>
      </c>
      <c r="EH130" s="659">
        <v>0</v>
      </c>
      <c r="EI130" s="659">
        <v>0</v>
      </c>
      <c r="EJ130" s="659">
        <v>12885</v>
      </c>
      <c r="EK130" s="659">
        <v>132</v>
      </c>
      <c r="EL130" s="659">
        <v>0</v>
      </c>
      <c r="EM130" s="659">
        <v>0</v>
      </c>
      <c r="EN130" s="659">
        <v>102420</v>
      </c>
      <c r="EO130" s="659">
        <v>0</v>
      </c>
      <c r="EP130" s="659">
        <v>0</v>
      </c>
      <c r="EQ130" s="659">
        <v>102420</v>
      </c>
    </row>
    <row r="131" spans="1:147" ht="20.7" customHeight="1" x14ac:dyDescent="0.3">
      <c r="A131" s="657" t="s">
        <v>1787</v>
      </c>
      <c r="B131" s="658" t="s">
        <v>269</v>
      </c>
      <c r="C131" s="659">
        <v>3896</v>
      </c>
      <c r="D131" s="659">
        <v>0</v>
      </c>
      <c r="E131" s="659">
        <v>0</v>
      </c>
      <c r="F131" s="659">
        <v>1035371</v>
      </c>
      <c r="G131" s="659">
        <v>0</v>
      </c>
      <c r="H131" s="659">
        <v>0</v>
      </c>
      <c r="I131" s="659">
        <v>999079</v>
      </c>
      <c r="J131" s="801">
        <v>21</v>
      </c>
      <c r="K131" s="659">
        <v>0</v>
      </c>
      <c r="L131" s="659">
        <v>0</v>
      </c>
      <c r="M131" s="659">
        <v>4663</v>
      </c>
      <c r="N131" s="659">
        <v>0</v>
      </c>
      <c r="O131" s="659">
        <v>0</v>
      </c>
      <c r="P131" s="659">
        <v>4663</v>
      </c>
      <c r="Q131" s="801">
        <v>0</v>
      </c>
      <c r="R131" s="659">
        <v>0</v>
      </c>
      <c r="S131" s="659">
        <v>0</v>
      </c>
      <c r="T131" s="659">
        <v>0</v>
      </c>
      <c r="U131" s="659">
        <v>0</v>
      </c>
      <c r="V131" s="659">
        <v>0</v>
      </c>
      <c r="W131" s="801">
        <v>13</v>
      </c>
      <c r="X131" s="659">
        <v>0</v>
      </c>
      <c r="Y131" s="659">
        <v>0</v>
      </c>
      <c r="Z131" s="659">
        <v>3710</v>
      </c>
      <c r="AA131" s="659">
        <v>0</v>
      </c>
      <c r="AB131" s="659">
        <v>0</v>
      </c>
      <c r="AC131" s="659">
        <v>3690</v>
      </c>
      <c r="AD131" s="801">
        <v>0</v>
      </c>
      <c r="AE131" s="659">
        <v>0</v>
      </c>
      <c r="AF131" s="659">
        <v>0</v>
      </c>
      <c r="AG131" s="659">
        <v>0</v>
      </c>
      <c r="AH131" s="659">
        <v>0</v>
      </c>
      <c r="AI131" s="659">
        <v>0</v>
      </c>
      <c r="AJ131" s="659">
        <v>0</v>
      </c>
      <c r="AK131" s="801">
        <v>28</v>
      </c>
      <c r="AL131" s="659">
        <v>0</v>
      </c>
      <c r="AM131" s="659">
        <v>10400</v>
      </c>
      <c r="AN131" s="659">
        <v>0</v>
      </c>
      <c r="AO131" s="659">
        <v>0</v>
      </c>
      <c r="AP131" s="659">
        <v>10400</v>
      </c>
      <c r="AQ131" s="801">
        <v>808</v>
      </c>
      <c r="AR131" s="659">
        <v>0</v>
      </c>
      <c r="AS131" s="659">
        <v>0</v>
      </c>
      <c r="AT131" s="659">
        <v>313403</v>
      </c>
      <c r="AU131" s="659">
        <v>0</v>
      </c>
      <c r="AV131" s="659">
        <v>0</v>
      </c>
      <c r="AW131" s="659">
        <v>296170</v>
      </c>
      <c r="AX131" s="659">
        <v>18</v>
      </c>
      <c r="AY131" s="659">
        <v>0</v>
      </c>
      <c r="AZ131" s="659">
        <v>0</v>
      </c>
      <c r="BA131" s="659">
        <v>4688</v>
      </c>
      <c r="BB131" s="659">
        <v>0</v>
      </c>
      <c r="BC131" s="659">
        <v>0</v>
      </c>
      <c r="BD131" s="659">
        <v>4574</v>
      </c>
      <c r="BE131" s="801">
        <v>42</v>
      </c>
      <c r="BF131" s="659">
        <v>0</v>
      </c>
      <c r="BG131" s="659">
        <v>0</v>
      </c>
      <c r="BH131" s="659">
        <v>15735</v>
      </c>
      <c r="BI131" s="659">
        <v>0</v>
      </c>
      <c r="BJ131" s="659">
        <v>0</v>
      </c>
      <c r="BK131" s="659">
        <v>15735</v>
      </c>
      <c r="BL131" s="659">
        <v>96</v>
      </c>
      <c r="BM131" s="659">
        <v>0</v>
      </c>
      <c r="BN131" s="659">
        <v>0</v>
      </c>
      <c r="BO131" s="659">
        <v>21084</v>
      </c>
      <c r="BP131" s="659">
        <v>0</v>
      </c>
      <c r="BQ131" s="659">
        <v>0</v>
      </c>
      <c r="BR131" s="659">
        <v>20681</v>
      </c>
      <c r="BS131" s="659">
        <v>30</v>
      </c>
      <c r="BT131" s="659">
        <v>0</v>
      </c>
      <c r="BU131" s="659">
        <v>0</v>
      </c>
      <c r="BV131" s="659">
        <v>5375</v>
      </c>
      <c r="BW131" s="659">
        <v>0</v>
      </c>
      <c r="BX131" s="659">
        <v>0</v>
      </c>
      <c r="BY131" s="659">
        <v>5375</v>
      </c>
      <c r="BZ131" s="659">
        <v>66</v>
      </c>
      <c r="CA131" s="659">
        <v>0</v>
      </c>
      <c r="CB131" s="659">
        <v>0</v>
      </c>
      <c r="CC131" s="659">
        <v>22310</v>
      </c>
      <c r="CD131" s="659">
        <v>0</v>
      </c>
      <c r="CE131" s="659">
        <v>0</v>
      </c>
      <c r="CF131" s="659">
        <v>22085</v>
      </c>
      <c r="CG131" s="659">
        <v>209</v>
      </c>
      <c r="CH131" s="659">
        <v>0</v>
      </c>
      <c r="CI131" s="659">
        <v>0</v>
      </c>
      <c r="CJ131" s="659">
        <v>45100</v>
      </c>
      <c r="CK131" s="659">
        <v>0</v>
      </c>
      <c r="CL131" s="659">
        <v>0</v>
      </c>
      <c r="CM131" s="659">
        <v>42695</v>
      </c>
      <c r="CN131" s="659">
        <v>156</v>
      </c>
      <c r="CO131" s="659">
        <v>0</v>
      </c>
      <c r="CP131" s="659">
        <v>0</v>
      </c>
      <c r="CQ131" s="659">
        <v>35580</v>
      </c>
      <c r="CR131" s="659">
        <v>0</v>
      </c>
      <c r="CS131" s="659">
        <v>0</v>
      </c>
      <c r="CT131" s="659">
        <v>34180</v>
      </c>
      <c r="CU131" s="659">
        <v>40</v>
      </c>
      <c r="CV131" s="659">
        <v>0</v>
      </c>
      <c r="CW131" s="659">
        <v>0</v>
      </c>
      <c r="CX131" s="659">
        <v>6000</v>
      </c>
      <c r="CY131" s="659">
        <v>0</v>
      </c>
      <c r="CZ131" s="659">
        <v>0</v>
      </c>
      <c r="DA131" s="659">
        <v>6000</v>
      </c>
      <c r="DB131" s="659">
        <v>224</v>
      </c>
      <c r="DC131" s="659">
        <v>0</v>
      </c>
      <c r="DD131" s="659">
        <v>0</v>
      </c>
      <c r="DE131" s="659">
        <v>59010</v>
      </c>
      <c r="DF131" s="659">
        <v>0</v>
      </c>
      <c r="DG131" s="659">
        <v>0</v>
      </c>
      <c r="DH131" s="659">
        <v>56094</v>
      </c>
      <c r="DI131" s="659">
        <v>1195</v>
      </c>
      <c r="DJ131" s="659">
        <v>0</v>
      </c>
      <c r="DK131" s="659">
        <v>0</v>
      </c>
      <c r="DL131" s="659">
        <v>260850</v>
      </c>
      <c r="DM131" s="659">
        <v>0</v>
      </c>
      <c r="DN131" s="659">
        <v>0</v>
      </c>
      <c r="DO131" s="659">
        <v>252135</v>
      </c>
      <c r="DP131" s="659">
        <v>168</v>
      </c>
      <c r="DQ131" s="659">
        <v>0</v>
      </c>
      <c r="DR131" s="659">
        <v>0</v>
      </c>
      <c r="DS131" s="659">
        <v>43534</v>
      </c>
      <c r="DT131" s="659">
        <v>0</v>
      </c>
      <c r="DU131" s="659">
        <v>0</v>
      </c>
      <c r="DV131" s="659">
        <v>43407</v>
      </c>
      <c r="DW131" s="659">
        <v>393</v>
      </c>
      <c r="DX131" s="659">
        <v>0</v>
      </c>
      <c r="DY131" s="659">
        <v>0</v>
      </c>
      <c r="DZ131" s="659">
        <v>79550</v>
      </c>
      <c r="EA131" s="659">
        <v>0</v>
      </c>
      <c r="EB131" s="659">
        <v>0</v>
      </c>
      <c r="EC131" s="659">
        <v>77620</v>
      </c>
      <c r="ED131" s="659">
        <v>188</v>
      </c>
      <c r="EE131" s="659">
        <v>0</v>
      </c>
      <c r="EF131" s="659">
        <v>0</v>
      </c>
      <c r="EG131" s="659">
        <v>32824</v>
      </c>
      <c r="EH131" s="659">
        <v>0</v>
      </c>
      <c r="EI131" s="659">
        <v>0</v>
      </c>
      <c r="EJ131" s="659">
        <v>32020</v>
      </c>
      <c r="EK131" s="659">
        <v>201</v>
      </c>
      <c r="EL131" s="659">
        <v>0</v>
      </c>
      <c r="EM131" s="659">
        <v>0</v>
      </c>
      <c r="EN131" s="659">
        <v>71555</v>
      </c>
      <c r="EO131" s="659">
        <v>0</v>
      </c>
      <c r="EP131" s="659">
        <v>0</v>
      </c>
      <c r="EQ131" s="659">
        <v>71555</v>
      </c>
    </row>
    <row r="132" spans="1:147" ht="13.95" customHeight="1" x14ac:dyDescent="0.3">
      <c r="A132" s="657" t="s">
        <v>1788</v>
      </c>
      <c r="B132" s="658" t="s">
        <v>269</v>
      </c>
      <c r="C132" s="659">
        <v>39419</v>
      </c>
      <c r="D132" s="659">
        <v>0</v>
      </c>
      <c r="E132" s="659">
        <v>0</v>
      </c>
      <c r="F132" s="659">
        <v>3877801</v>
      </c>
      <c r="G132" s="659">
        <v>0</v>
      </c>
      <c r="H132" s="659">
        <v>0</v>
      </c>
      <c r="I132" s="659">
        <v>3788190</v>
      </c>
      <c r="J132" s="801">
        <v>0</v>
      </c>
      <c r="K132" s="659">
        <v>0</v>
      </c>
      <c r="L132" s="659">
        <v>0</v>
      </c>
      <c r="M132" s="659">
        <v>0</v>
      </c>
      <c r="N132" s="659">
        <v>0</v>
      </c>
      <c r="O132" s="659">
        <v>0</v>
      </c>
      <c r="P132" s="659">
        <v>0</v>
      </c>
      <c r="Q132" s="801">
        <v>0</v>
      </c>
      <c r="R132" s="659">
        <v>0</v>
      </c>
      <c r="S132" s="659">
        <v>0</v>
      </c>
      <c r="T132" s="659">
        <v>0</v>
      </c>
      <c r="U132" s="659">
        <v>0</v>
      </c>
      <c r="V132" s="659">
        <v>0</v>
      </c>
      <c r="W132" s="801">
        <v>90</v>
      </c>
      <c r="X132" s="659">
        <v>0</v>
      </c>
      <c r="Y132" s="659">
        <v>0</v>
      </c>
      <c r="Z132" s="659">
        <v>9300</v>
      </c>
      <c r="AA132" s="659">
        <v>0</v>
      </c>
      <c r="AB132" s="659">
        <v>0</v>
      </c>
      <c r="AC132" s="659">
        <v>9290</v>
      </c>
      <c r="AD132" s="801">
        <v>20</v>
      </c>
      <c r="AE132" s="659">
        <v>0</v>
      </c>
      <c r="AF132" s="659">
        <v>0</v>
      </c>
      <c r="AG132" s="659">
        <v>1080</v>
      </c>
      <c r="AH132" s="659">
        <v>0</v>
      </c>
      <c r="AI132" s="659">
        <v>0</v>
      </c>
      <c r="AJ132" s="659">
        <v>80</v>
      </c>
      <c r="AK132" s="801">
        <v>0</v>
      </c>
      <c r="AL132" s="659">
        <v>0</v>
      </c>
      <c r="AM132" s="659">
        <v>0</v>
      </c>
      <c r="AN132" s="659">
        <v>0</v>
      </c>
      <c r="AO132" s="659">
        <v>0</v>
      </c>
      <c r="AP132" s="659">
        <v>0</v>
      </c>
      <c r="AQ132" s="801">
        <v>35</v>
      </c>
      <c r="AR132" s="659">
        <v>0</v>
      </c>
      <c r="AS132" s="659">
        <v>0</v>
      </c>
      <c r="AT132" s="659">
        <v>2800</v>
      </c>
      <c r="AU132" s="659">
        <v>0</v>
      </c>
      <c r="AV132" s="659">
        <v>0</v>
      </c>
      <c r="AW132" s="659">
        <v>2688</v>
      </c>
      <c r="AX132" s="659">
        <v>0</v>
      </c>
      <c r="AY132" s="659">
        <v>0</v>
      </c>
      <c r="AZ132" s="659">
        <v>0</v>
      </c>
      <c r="BA132" s="659">
        <v>0</v>
      </c>
      <c r="BB132" s="659">
        <v>0</v>
      </c>
      <c r="BC132" s="659">
        <v>0</v>
      </c>
      <c r="BD132" s="659">
        <v>0</v>
      </c>
      <c r="BE132" s="801">
        <v>97</v>
      </c>
      <c r="BF132" s="659">
        <v>0</v>
      </c>
      <c r="BG132" s="659">
        <v>0</v>
      </c>
      <c r="BH132" s="659">
        <v>4790</v>
      </c>
      <c r="BI132" s="659">
        <v>0</v>
      </c>
      <c r="BJ132" s="659">
        <v>0</v>
      </c>
      <c r="BK132" s="659">
        <v>4790</v>
      </c>
      <c r="BL132" s="659">
        <v>623</v>
      </c>
      <c r="BM132" s="659">
        <v>0</v>
      </c>
      <c r="BN132" s="659">
        <v>0</v>
      </c>
      <c r="BO132" s="659">
        <v>30730</v>
      </c>
      <c r="BP132" s="659">
        <v>0</v>
      </c>
      <c r="BQ132" s="659">
        <v>0</v>
      </c>
      <c r="BR132" s="659">
        <v>30289</v>
      </c>
      <c r="BS132" s="659">
        <v>11</v>
      </c>
      <c r="BT132" s="659">
        <v>0</v>
      </c>
      <c r="BU132" s="659">
        <v>0</v>
      </c>
      <c r="BV132" s="659">
        <v>590</v>
      </c>
      <c r="BW132" s="659">
        <v>0</v>
      </c>
      <c r="BX132" s="659">
        <v>0</v>
      </c>
      <c r="BY132" s="659">
        <v>590</v>
      </c>
      <c r="BZ132" s="659">
        <v>74</v>
      </c>
      <c r="CA132" s="659">
        <v>0</v>
      </c>
      <c r="CB132" s="659">
        <v>0</v>
      </c>
      <c r="CC132" s="659">
        <v>4433</v>
      </c>
      <c r="CD132" s="659">
        <v>0</v>
      </c>
      <c r="CE132" s="659">
        <v>0</v>
      </c>
      <c r="CF132" s="659">
        <v>4280</v>
      </c>
      <c r="CG132" s="659">
        <v>988</v>
      </c>
      <c r="CH132" s="659">
        <v>0</v>
      </c>
      <c r="CI132" s="659">
        <v>0</v>
      </c>
      <c r="CJ132" s="659">
        <v>225700</v>
      </c>
      <c r="CK132" s="659">
        <v>0</v>
      </c>
      <c r="CL132" s="659">
        <v>0</v>
      </c>
      <c r="CM132" s="659">
        <v>210700</v>
      </c>
      <c r="CN132" s="659">
        <v>434</v>
      </c>
      <c r="CO132" s="659">
        <v>0</v>
      </c>
      <c r="CP132" s="659">
        <v>0</v>
      </c>
      <c r="CQ132" s="659">
        <v>59953</v>
      </c>
      <c r="CR132" s="659">
        <v>0</v>
      </c>
      <c r="CS132" s="659">
        <v>0</v>
      </c>
      <c r="CT132" s="659">
        <v>59903</v>
      </c>
      <c r="CU132" s="659">
        <v>120</v>
      </c>
      <c r="CV132" s="659">
        <v>0</v>
      </c>
      <c r="CW132" s="659">
        <v>0</v>
      </c>
      <c r="CX132" s="659">
        <v>18000</v>
      </c>
      <c r="CY132" s="659">
        <v>0</v>
      </c>
      <c r="CZ132" s="659">
        <v>0</v>
      </c>
      <c r="DA132" s="659">
        <v>18000</v>
      </c>
      <c r="DB132" s="659">
        <v>888</v>
      </c>
      <c r="DC132" s="659">
        <v>0</v>
      </c>
      <c r="DD132" s="659">
        <v>0</v>
      </c>
      <c r="DE132" s="659">
        <v>149210</v>
      </c>
      <c r="DF132" s="659">
        <v>0</v>
      </c>
      <c r="DG132" s="659">
        <v>0</v>
      </c>
      <c r="DH132" s="659">
        <v>146945</v>
      </c>
      <c r="DI132" s="659">
        <v>12230</v>
      </c>
      <c r="DJ132" s="659">
        <v>0</v>
      </c>
      <c r="DK132" s="659">
        <v>0</v>
      </c>
      <c r="DL132" s="659">
        <v>1299500</v>
      </c>
      <c r="DM132" s="659">
        <v>0</v>
      </c>
      <c r="DN132" s="659">
        <v>0</v>
      </c>
      <c r="DO132" s="659">
        <v>1256870</v>
      </c>
      <c r="DP132" s="659">
        <v>430</v>
      </c>
      <c r="DQ132" s="659">
        <v>0</v>
      </c>
      <c r="DR132" s="659">
        <v>0</v>
      </c>
      <c r="DS132" s="659">
        <v>52625</v>
      </c>
      <c r="DT132" s="659">
        <v>0</v>
      </c>
      <c r="DU132" s="659">
        <v>0</v>
      </c>
      <c r="DV132" s="659">
        <v>52305</v>
      </c>
      <c r="DW132" s="659">
        <v>314</v>
      </c>
      <c r="DX132" s="659">
        <v>0</v>
      </c>
      <c r="DY132" s="659">
        <v>0</v>
      </c>
      <c r="DZ132" s="659">
        <v>30550</v>
      </c>
      <c r="EA132" s="659">
        <v>0</v>
      </c>
      <c r="EB132" s="659">
        <v>0</v>
      </c>
      <c r="EC132" s="659">
        <v>29020</v>
      </c>
      <c r="ED132" s="659">
        <v>15212</v>
      </c>
      <c r="EE132" s="659">
        <v>0</v>
      </c>
      <c r="EF132" s="659">
        <v>0</v>
      </c>
      <c r="EG132" s="659">
        <v>1529100</v>
      </c>
      <c r="EH132" s="659">
        <v>0</v>
      </c>
      <c r="EI132" s="659">
        <v>0</v>
      </c>
      <c r="EJ132" s="659">
        <v>1503000</v>
      </c>
      <c r="EK132" s="659">
        <v>7853</v>
      </c>
      <c r="EL132" s="659">
        <v>0</v>
      </c>
      <c r="EM132" s="659">
        <v>0</v>
      </c>
      <c r="EN132" s="659">
        <v>459440</v>
      </c>
      <c r="EO132" s="659">
        <v>0</v>
      </c>
      <c r="EP132" s="659">
        <v>0</v>
      </c>
      <c r="EQ132" s="659">
        <v>459440</v>
      </c>
    </row>
    <row r="133" spans="1:147" ht="13.95" customHeight="1" x14ac:dyDescent="0.3">
      <c r="A133" s="657" t="s">
        <v>1789</v>
      </c>
      <c r="B133" s="658" t="s">
        <v>269</v>
      </c>
      <c r="C133" s="659">
        <v>8007</v>
      </c>
      <c r="D133" s="659">
        <v>0</v>
      </c>
      <c r="E133" s="659">
        <v>0</v>
      </c>
      <c r="F133" s="659">
        <v>2257819</v>
      </c>
      <c r="G133" s="659">
        <v>0</v>
      </c>
      <c r="H133" s="659">
        <v>0</v>
      </c>
      <c r="I133" s="659">
        <v>2192492</v>
      </c>
      <c r="J133" s="801">
        <v>85</v>
      </c>
      <c r="K133" s="659">
        <v>0</v>
      </c>
      <c r="L133" s="659">
        <v>0</v>
      </c>
      <c r="M133" s="659">
        <v>18818</v>
      </c>
      <c r="N133" s="659">
        <v>0</v>
      </c>
      <c r="O133" s="659">
        <v>0</v>
      </c>
      <c r="P133" s="659">
        <v>18818</v>
      </c>
      <c r="Q133" s="801">
        <v>0</v>
      </c>
      <c r="R133" s="659">
        <v>0</v>
      </c>
      <c r="S133" s="659">
        <v>0</v>
      </c>
      <c r="T133" s="659">
        <v>0</v>
      </c>
      <c r="U133" s="659">
        <v>0</v>
      </c>
      <c r="V133" s="659">
        <v>0</v>
      </c>
      <c r="W133" s="801">
        <v>10</v>
      </c>
      <c r="X133" s="659">
        <v>0</v>
      </c>
      <c r="Y133" s="659">
        <v>0</v>
      </c>
      <c r="Z133" s="659">
        <v>2820</v>
      </c>
      <c r="AA133" s="659">
        <v>0</v>
      </c>
      <c r="AB133" s="659">
        <v>0</v>
      </c>
      <c r="AC133" s="659">
        <v>2820</v>
      </c>
      <c r="AD133" s="801">
        <v>35</v>
      </c>
      <c r="AE133" s="659">
        <v>0</v>
      </c>
      <c r="AF133" s="659">
        <v>0</v>
      </c>
      <c r="AG133" s="659">
        <v>8752</v>
      </c>
      <c r="AH133" s="659">
        <v>0</v>
      </c>
      <c r="AI133" s="659">
        <v>0</v>
      </c>
      <c r="AJ133" s="659">
        <v>8752</v>
      </c>
      <c r="AK133" s="801">
        <v>0</v>
      </c>
      <c r="AL133" s="659">
        <v>0</v>
      </c>
      <c r="AM133" s="659">
        <v>0</v>
      </c>
      <c r="AN133" s="659">
        <v>0</v>
      </c>
      <c r="AO133" s="659">
        <v>0</v>
      </c>
      <c r="AP133" s="659">
        <v>0</v>
      </c>
      <c r="AQ133" s="801">
        <v>89</v>
      </c>
      <c r="AR133" s="659">
        <v>0</v>
      </c>
      <c r="AS133" s="659">
        <v>0</v>
      </c>
      <c r="AT133" s="659">
        <v>43850</v>
      </c>
      <c r="AU133" s="659">
        <v>0</v>
      </c>
      <c r="AV133" s="659">
        <v>0</v>
      </c>
      <c r="AW133" s="659">
        <v>42340</v>
      </c>
      <c r="AX133" s="659">
        <v>12</v>
      </c>
      <c r="AY133" s="659">
        <v>0</v>
      </c>
      <c r="AZ133" s="659">
        <v>0</v>
      </c>
      <c r="BA133" s="659">
        <v>5690</v>
      </c>
      <c r="BB133" s="659">
        <v>0</v>
      </c>
      <c r="BC133" s="659">
        <v>0</v>
      </c>
      <c r="BD133" s="659">
        <v>5584</v>
      </c>
      <c r="BE133" s="801">
        <v>88</v>
      </c>
      <c r="BF133" s="659">
        <v>0</v>
      </c>
      <c r="BG133" s="659">
        <v>0</v>
      </c>
      <c r="BH133" s="659">
        <v>33610</v>
      </c>
      <c r="BI133" s="659">
        <v>0</v>
      </c>
      <c r="BJ133" s="659">
        <v>0</v>
      </c>
      <c r="BK133" s="659">
        <v>33610</v>
      </c>
      <c r="BL133" s="659">
        <v>42</v>
      </c>
      <c r="BM133" s="659">
        <v>0</v>
      </c>
      <c r="BN133" s="659">
        <v>0</v>
      </c>
      <c r="BO133" s="659">
        <v>9136</v>
      </c>
      <c r="BP133" s="659">
        <v>0</v>
      </c>
      <c r="BQ133" s="659">
        <v>0</v>
      </c>
      <c r="BR133" s="659">
        <v>8899</v>
      </c>
      <c r="BS133" s="659">
        <v>9</v>
      </c>
      <c r="BT133" s="659">
        <v>0</v>
      </c>
      <c r="BU133" s="659">
        <v>0</v>
      </c>
      <c r="BV133" s="659">
        <v>1186</v>
      </c>
      <c r="BW133" s="659">
        <v>0</v>
      </c>
      <c r="BX133" s="659">
        <v>0</v>
      </c>
      <c r="BY133" s="659">
        <v>1186</v>
      </c>
      <c r="BZ133" s="659">
        <v>40</v>
      </c>
      <c r="CA133" s="659">
        <v>0</v>
      </c>
      <c r="CB133" s="659">
        <v>0</v>
      </c>
      <c r="CC133" s="659">
        <v>11437</v>
      </c>
      <c r="CD133" s="659">
        <v>0</v>
      </c>
      <c r="CE133" s="659">
        <v>0</v>
      </c>
      <c r="CF133" s="659">
        <v>11343</v>
      </c>
      <c r="CG133" s="659">
        <v>464</v>
      </c>
      <c r="CH133" s="659">
        <v>0</v>
      </c>
      <c r="CI133" s="659">
        <v>0</v>
      </c>
      <c r="CJ133" s="659">
        <v>126740</v>
      </c>
      <c r="CK133" s="659">
        <v>0</v>
      </c>
      <c r="CL133" s="659">
        <v>0</v>
      </c>
      <c r="CM133" s="659">
        <v>116380</v>
      </c>
      <c r="CN133" s="659">
        <v>148</v>
      </c>
      <c r="CO133" s="659">
        <v>0</v>
      </c>
      <c r="CP133" s="659">
        <v>0</v>
      </c>
      <c r="CQ133" s="659">
        <v>36685</v>
      </c>
      <c r="CR133" s="659">
        <v>0</v>
      </c>
      <c r="CS133" s="659">
        <v>0</v>
      </c>
      <c r="CT133" s="659">
        <v>36665</v>
      </c>
      <c r="CU133" s="659">
        <v>30</v>
      </c>
      <c r="CV133" s="659">
        <v>0</v>
      </c>
      <c r="CW133" s="659">
        <v>0</v>
      </c>
      <c r="CX133" s="659">
        <v>4800</v>
      </c>
      <c r="CY133" s="659">
        <v>0</v>
      </c>
      <c r="CZ133" s="659">
        <v>0</v>
      </c>
      <c r="DA133" s="659">
        <v>4800</v>
      </c>
      <c r="DB133" s="659">
        <v>1441</v>
      </c>
      <c r="DC133" s="659">
        <v>0</v>
      </c>
      <c r="DD133" s="659">
        <v>0</v>
      </c>
      <c r="DE133" s="659">
        <v>555180</v>
      </c>
      <c r="DF133" s="659">
        <v>0</v>
      </c>
      <c r="DG133" s="659">
        <v>0</v>
      </c>
      <c r="DH133" s="659">
        <v>544865</v>
      </c>
      <c r="DI133" s="659">
        <v>2295</v>
      </c>
      <c r="DJ133" s="659">
        <v>0</v>
      </c>
      <c r="DK133" s="659">
        <v>0</v>
      </c>
      <c r="DL133" s="659">
        <v>678400</v>
      </c>
      <c r="DM133" s="659">
        <v>0</v>
      </c>
      <c r="DN133" s="659">
        <v>0</v>
      </c>
      <c r="DO133" s="659">
        <v>658300</v>
      </c>
      <c r="DP133" s="659">
        <v>324</v>
      </c>
      <c r="DQ133" s="659">
        <v>0</v>
      </c>
      <c r="DR133" s="659">
        <v>0</v>
      </c>
      <c r="DS133" s="659">
        <v>69190</v>
      </c>
      <c r="DT133" s="659">
        <v>0</v>
      </c>
      <c r="DU133" s="659">
        <v>0</v>
      </c>
      <c r="DV133" s="659">
        <v>69132</v>
      </c>
      <c r="DW133" s="659">
        <v>973</v>
      </c>
      <c r="DX133" s="659">
        <v>0</v>
      </c>
      <c r="DY133" s="659">
        <v>0</v>
      </c>
      <c r="DZ133" s="659">
        <v>225975</v>
      </c>
      <c r="EA133" s="659">
        <v>0</v>
      </c>
      <c r="EB133" s="659">
        <v>0</v>
      </c>
      <c r="EC133" s="659">
        <v>211808</v>
      </c>
      <c r="ED133" s="659">
        <v>1810</v>
      </c>
      <c r="EE133" s="659">
        <v>0</v>
      </c>
      <c r="EF133" s="659">
        <v>0</v>
      </c>
      <c r="EG133" s="659">
        <v>384470</v>
      </c>
      <c r="EH133" s="659">
        <v>0</v>
      </c>
      <c r="EI133" s="659">
        <v>0</v>
      </c>
      <c r="EJ133" s="659">
        <v>376110</v>
      </c>
      <c r="EK133" s="659">
        <v>112</v>
      </c>
      <c r="EL133" s="659">
        <v>0</v>
      </c>
      <c r="EM133" s="659">
        <v>0</v>
      </c>
      <c r="EN133" s="659">
        <v>41080</v>
      </c>
      <c r="EO133" s="659">
        <v>0</v>
      </c>
      <c r="EP133" s="659">
        <v>0</v>
      </c>
      <c r="EQ133" s="659">
        <v>41080</v>
      </c>
    </row>
    <row r="134" spans="1:147" ht="13.95" customHeight="1" x14ac:dyDescent="0.3">
      <c r="A134" s="657" t="s">
        <v>1790</v>
      </c>
      <c r="B134" s="658" t="s">
        <v>269</v>
      </c>
      <c r="C134" s="659">
        <v>8366</v>
      </c>
      <c r="D134" s="659">
        <v>0</v>
      </c>
      <c r="E134" s="659">
        <v>0</v>
      </c>
      <c r="F134" s="659">
        <v>1900164</v>
      </c>
      <c r="G134" s="659">
        <v>0</v>
      </c>
      <c r="H134" s="659">
        <v>0</v>
      </c>
      <c r="I134" s="659">
        <v>1743226</v>
      </c>
      <c r="J134" s="801">
        <v>279</v>
      </c>
      <c r="K134" s="659">
        <v>0</v>
      </c>
      <c r="L134" s="659">
        <v>0</v>
      </c>
      <c r="M134" s="659">
        <v>67977</v>
      </c>
      <c r="N134" s="659">
        <v>0</v>
      </c>
      <c r="O134" s="659">
        <v>0</v>
      </c>
      <c r="P134" s="659">
        <v>67977</v>
      </c>
      <c r="Q134" s="801">
        <v>0</v>
      </c>
      <c r="R134" s="659">
        <v>0</v>
      </c>
      <c r="S134" s="659">
        <v>0</v>
      </c>
      <c r="T134" s="659">
        <v>0</v>
      </c>
      <c r="U134" s="659">
        <v>0</v>
      </c>
      <c r="V134" s="659">
        <v>0</v>
      </c>
      <c r="W134" s="801">
        <v>6</v>
      </c>
      <c r="X134" s="659">
        <v>0</v>
      </c>
      <c r="Y134" s="659">
        <v>0</v>
      </c>
      <c r="Z134" s="659">
        <v>1280</v>
      </c>
      <c r="AA134" s="659">
        <v>0</v>
      </c>
      <c r="AB134" s="659">
        <v>0</v>
      </c>
      <c r="AC134" s="659">
        <v>1260</v>
      </c>
      <c r="AD134" s="801">
        <v>38</v>
      </c>
      <c r="AE134" s="659">
        <v>0</v>
      </c>
      <c r="AF134" s="659">
        <v>0</v>
      </c>
      <c r="AG134" s="659">
        <v>9097</v>
      </c>
      <c r="AH134" s="659">
        <v>0</v>
      </c>
      <c r="AI134" s="659">
        <v>0</v>
      </c>
      <c r="AJ134" s="659">
        <v>9097</v>
      </c>
      <c r="AK134" s="801">
        <v>0</v>
      </c>
      <c r="AL134" s="659">
        <v>0</v>
      </c>
      <c r="AM134" s="659">
        <v>0</v>
      </c>
      <c r="AN134" s="659">
        <v>0</v>
      </c>
      <c r="AO134" s="659">
        <v>0</v>
      </c>
      <c r="AP134" s="659">
        <v>0</v>
      </c>
      <c r="AQ134" s="801">
        <v>28</v>
      </c>
      <c r="AR134" s="659">
        <v>0</v>
      </c>
      <c r="AS134" s="659">
        <v>0</v>
      </c>
      <c r="AT134" s="659">
        <v>11040</v>
      </c>
      <c r="AU134" s="659">
        <v>0</v>
      </c>
      <c r="AV134" s="659">
        <v>0</v>
      </c>
      <c r="AW134" s="659">
        <v>10670</v>
      </c>
      <c r="AX134" s="659">
        <v>11</v>
      </c>
      <c r="AY134" s="659">
        <v>0</v>
      </c>
      <c r="AZ134" s="659">
        <v>0</v>
      </c>
      <c r="BA134" s="659">
        <v>3868</v>
      </c>
      <c r="BB134" s="659">
        <v>0</v>
      </c>
      <c r="BC134" s="659">
        <v>0</v>
      </c>
      <c r="BD134" s="659">
        <v>3459</v>
      </c>
      <c r="BE134" s="801">
        <v>37</v>
      </c>
      <c r="BF134" s="659">
        <v>0</v>
      </c>
      <c r="BG134" s="659">
        <v>0</v>
      </c>
      <c r="BH134" s="659">
        <v>10690</v>
      </c>
      <c r="BI134" s="659">
        <v>0</v>
      </c>
      <c r="BJ134" s="659">
        <v>0</v>
      </c>
      <c r="BK134" s="659">
        <v>10690</v>
      </c>
      <c r="BL134" s="659">
        <v>121</v>
      </c>
      <c r="BM134" s="659">
        <v>0</v>
      </c>
      <c r="BN134" s="659">
        <v>0</v>
      </c>
      <c r="BO134" s="659">
        <v>27789</v>
      </c>
      <c r="BP134" s="659">
        <v>0</v>
      </c>
      <c r="BQ134" s="659">
        <v>0</v>
      </c>
      <c r="BR134" s="659">
        <v>27473</v>
      </c>
      <c r="BS134" s="659">
        <v>201</v>
      </c>
      <c r="BT134" s="659">
        <v>0</v>
      </c>
      <c r="BU134" s="659">
        <v>0</v>
      </c>
      <c r="BV134" s="659">
        <v>25135</v>
      </c>
      <c r="BW134" s="659">
        <v>0</v>
      </c>
      <c r="BX134" s="659">
        <v>0</v>
      </c>
      <c r="BY134" s="659">
        <v>25135</v>
      </c>
      <c r="BZ134" s="659">
        <v>40</v>
      </c>
      <c r="CA134" s="659">
        <v>0</v>
      </c>
      <c r="CB134" s="659">
        <v>0</v>
      </c>
      <c r="CC134" s="659">
        <v>12523</v>
      </c>
      <c r="CD134" s="659">
        <v>0</v>
      </c>
      <c r="CE134" s="659">
        <v>0</v>
      </c>
      <c r="CF134" s="659">
        <v>12387</v>
      </c>
      <c r="CG134" s="659">
        <v>519</v>
      </c>
      <c r="CH134" s="659">
        <v>0</v>
      </c>
      <c r="CI134" s="659">
        <v>0</v>
      </c>
      <c r="CJ134" s="659">
        <v>127430</v>
      </c>
      <c r="CK134" s="659">
        <v>0</v>
      </c>
      <c r="CL134" s="659">
        <v>0</v>
      </c>
      <c r="CM134" s="659">
        <v>118920</v>
      </c>
      <c r="CN134" s="659">
        <v>518</v>
      </c>
      <c r="CO134" s="659">
        <v>0</v>
      </c>
      <c r="CP134" s="659">
        <v>0</v>
      </c>
      <c r="CQ134" s="659">
        <v>117330</v>
      </c>
      <c r="CR134" s="659">
        <v>0</v>
      </c>
      <c r="CS134" s="659">
        <v>0</v>
      </c>
      <c r="CT134" s="659">
        <v>117130</v>
      </c>
      <c r="CU134" s="659">
        <v>50</v>
      </c>
      <c r="CV134" s="659">
        <v>0</v>
      </c>
      <c r="CW134" s="659">
        <v>0</v>
      </c>
      <c r="CX134" s="659">
        <v>7500</v>
      </c>
      <c r="CY134" s="659">
        <v>0</v>
      </c>
      <c r="CZ134" s="659">
        <v>0</v>
      </c>
      <c r="DA134" s="659">
        <v>7500</v>
      </c>
      <c r="DB134" s="659">
        <v>736</v>
      </c>
      <c r="DC134" s="659">
        <v>0</v>
      </c>
      <c r="DD134" s="659">
        <v>0</v>
      </c>
      <c r="DE134" s="659">
        <v>201390</v>
      </c>
      <c r="DF134" s="659">
        <v>0</v>
      </c>
      <c r="DG134" s="659">
        <v>0</v>
      </c>
      <c r="DH134" s="659">
        <v>198900</v>
      </c>
      <c r="DI134" s="659">
        <v>2395</v>
      </c>
      <c r="DJ134" s="659">
        <v>0</v>
      </c>
      <c r="DK134" s="659">
        <v>0</v>
      </c>
      <c r="DL134" s="659">
        <v>561950</v>
      </c>
      <c r="DM134" s="659">
        <v>0</v>
      </c>
      <c r="DN134" s="659">
        <v>0</v>
      </c>
      <c r="DO134" s="659">
        <v>445825</v>
      </c>
      <c r="DP134" s="659">
        <v>518</v>
      </c>
      <c r="DQ134" s="659">
        <v>0</v>
      </c>
      <c r="DR134" s="659">
        <v>0</v>
      </c>
      <c r="DS134" s="659">
        <v>105263</v>
      </c>
      <c r="DT134" s="659">
        <v>0</v>
      </c>
      <c r="DU134" s="659">
        <v>0</v>
      </c>
      <c r="DV134" s="659">
        <v>96066</v>
      </c>
      <c r="DW134" s="659">
        <v>1257</v>
      </c>
      <c r="DX134" s="659">
        <v>0</v>
      </c>
      <c r="DY134" s="659">
        <v>0</v>
      </c>
      <c r="DZ134" s="659">
        <v>237380</v>
      </c>
      <c r="EA134" s="659">
        <v>0</v>
      </c>
      <c r="EB134" s="659">
        <v>0</v>
      </c>
      <c r="EC134" s="659">
        <v>226412</v>
      </c>
      <c r="ED134" s="659">
        <v>1421</v>
      </c>
      <c r="EE134" s="659">
        <v>0</v>
      </c>
      <c r="EF134" s="659">
        <v>0</v>
      </c>
      <c r="EG134" s="659">
        <v>316622</v>
      </c>
      <c r="EH134" s="659">
        <v>0</v>
      </c>
      <c r="EI134" s="659">
        <v>0</v>
      </c>
      <c r="EJ134" s="659">
        <v>308425</v>
      </c>
      <c r="EK134" s="659">
        <v>191</v>
      </c>
      <c r="EL134" s="659">
        <v>0</v>
      </c>
      <c r="EM134" s="659">
        <v>0</v>
      </c>
      <c r="EN134" s="659">
        <v>55900</v>
      </c>
      <c r="EO134" s="659">
        <v>0</v>
      </c>
      <c r="EP134" s="659">
        <v>0</v>
      </c>
      <c r="EQ134" s="659">
        <v>55900</v>
      </c>
    </row>
    <row r="135" spans="1:147" ht="20.7" customHeight="1" x14ac:dyDescent="0.3">
      <c r="A135" s="657" t="s">
        <v>1791</v>
      </c>
      <c r="B135" s="658" t="s">
        <v>269</v>
      </c>
      <c r="C135" s="659">
        <v>1275</v>
      </c>
      <c r="D135" s="659">
        <v>0</v>
      </c>
      <c r="E135" s="659">
        <v>0</v>
      </c>
      <c r="F135" s="659">
        <v>201331</v>
      </c>
      <c r="G135" s="659">
        <v>0</v>
      </c>
      <c r="H135" s="659">
        <v>0</v>
      </c>
      <c r="I135" s="659">
        <v>194468</v>
      </c>
      <c r="J135" s="801">
        <v>13</v>
      </c>
      <c r="K135" s="659">
        <v>0</v>
      </c>
      <c r="L135" s="659">
        <v>0</v>
      </c>
      <c r="M135" s="659">
        <v>2908</v>
      </c>
      <c r="N135" s="659">
        <v>0</v>
      </c>
      <c r="O135" s="659">
        <v>0</v>
      </c>
      <c r="P135" s="659">
        <v>2908</v>
      </c>
      <c r="Q135" s="801">
        <v>0</v>
      </c>
      <c r="R135" s="659">
        <v>0</v>
      </c>
      <c r="S135" s="659">
        <v>0</v>
      </c>
      <c r="T135" s="659">
        <v>0</v>
      </c>
      <c r="U135" s="659">
        <v>0</v>
      </c>
      <c r="V135" s="659">
        <v>0</v>
      </c>
      <c r="W135" s="801">
        <v>2</v>
      </c>
      <c r="X135" s="659">
        <v>0</v>
      </c>
      <c r="Y135" s="659">
        <v>0</v>
      </c>
      <c r="Z135" s="659">
        <v>120</v>
      </c>
      <c r="AA135" s="659">
        <v>0</v>
      </c>
      <c r="AB135" s="659">
        <v>0</v>
      </c>
      <c r="AC135" s="659">
        <v>120</v>
      </c>
      <c r="AD135" s="801">
        <v>7</v>
      </c>
      <c r="AE135" s="659">
        <v>0</v>
      </c>
      <c r="AF135" s="659">
        <v>0</v>
      </c>
      <c r="AG135" s="659">
        <v>1251</v>
      </c>
      <c r="AH135" s="659">
        <v>0</v>
      </c>
      <c r="AI135" s="659">
        <v>0</v>
      </c>
      <c r="AJ135" s="659">
        <v>1251</v>
      </c>
      <c r="AK135" s="801">
        <v>0</v>
      </c>
      <c r="AL135" s="659">
        <v>0</v>
      </c>
      <c r="AM135" s="659">
        <v>0</v>
      </c>
      <c r="AN135" s="659">
        <v>0</v>
      </c>
      <c r="AO135" s="659">
        <v>0</v>
      </c>
      <c r="AP135" s="659">
        <v>0</v>
      </c>
      <c r="AQ135" s="801">
        <v>10</v>
      </c>
      <c r="AR135" s="659">
        <v>0</v>
      </c>
      <c r="AS135" s="659">
        <v>0</v>
      </c>
      <c r="AT135" s="659">
        <v>2650</v>
      </c>
      <c r="AU135" s="659">
        <v>0</v>
      </c>
      <c r="AV135" s="659">
        <v>0</v>
      </c>
      <c r="AW135" s="659">
        <v>2399</v>
      </c>
      <c r="AX135" s="659">
        <v>6</v>
      </c>
      <c r="AY135" s="659">
        <v>0</v>
      </c>
      <c r="AZ135" s="659">
        <v>0</v>
      </c>
      <c r="BA135" s="659">
        <v>996</v>
      </c>
      <c r="BB135" s="659">
        <v>0</v>
      </c>
      <c r="BC135" s="659">
        <v>0</v>
      </c>
      <c r="BD135" s="659">
        <v>977</v>
      </c>
      <c r="BE135" s="801">
        <v>19</v>
      </c>
      <c r="BF135" s="659">
        <v>0</v>
      </c>
      <c r="BG135" s="659">
        <v>0</v>
      </c>
      <c r="BH135" s="659">
        <v>10060</v>
      </c>
      <c r="BI135" s="659">
        <v>0</v>
      </c>
      <c r="BJ135" s="659">
        <v>0</v>
      </c>
      <c r="BK135" s="659">
        <v>10060</v>
      </c>
      <c r="BL135" s="659">
        <v>15</v>
      </c>
      <c r="BM135" s="659">
        <v>0</v>
      </c>
      <c r="BN135" s="659">
        <v>0</v>
      </c>
      <c r="BO135" s="659">
        <v>2081</v>
      </c>
      <c r="BP135" s="659">
        <v>0</v>
      </c>
      <c r="BQ135" s="659">
        <v>0</v>
      </c>
      <c r="BR135" s="659">
        <v>2048</v>
      </c>
      <c r="BS135" s="659">
        <v>0</v>
      </c>
      <c r="BT135" s="659">
        <v>0</v>
      </c>
      <c r="BU135" s="659">
        <v>0</v>
      </c>
      <c r="BV135" s="659">
        <v>0</v>
      </c>
      <c r="BW135" s="659">
        <v>0</v>
      </c>
      <c r="BX135" s="659">
        <v>0</v>
      </c>
      <c r="BY135" s="659">
        <v>0</v>
      </c>
      <c r="BZ135" s="659">
        <v>15</v>
      </c>
      <c r="CA135" s="659">
        <v>0</v>
      </c>
      <c r="CB135" s="659">
        <v>0</v>
      </c>
      <c r="CC135" s="659">
        <v>2105</v>
      </c>
      <c r="CD135" s="659">
        <v>0</v>
      </c>
      <c r="CE135" s="659">
        <v>0</v>
      </c>
      <c r="CF135" s="659">
        <v>2105</v>
      </c>
      <c r="CG135" s="659">
        <v>39</v>
      </c>
      <c r="CH135" s="659">
        <v>0</v>
      </c>
      <c r="CI135" s="659">
        <v>0</v>
      </c>
      <c r="CJ135" s="659">
        <v>10550</v>
      </c>
      <c r="CK135" s="659">
        <v>0</v>
      </c>
      <c r="CL135" s="659">
        <v>0</v>
      </c>
      <c r="CM135" s="659">
        <v>10000</v>
      </c>
      <c r="CN135" s="659">
        <v>21</v>
      </c>
      <c r="CO135" s="659">
        <v>0</v>
      </c>
      <c r="CP135" s="659">
        <v>0</v>
      </c>
      <c r="CQ135" s="659">
        <v>3680</v>
      </c>
      <c r="CR135" s="659">
        <v>0</v>
      </c>
      <c r="CS135" s="659">
        <v>0</v>
      </c>
      <c r="CT135" s="659">
        <v>3680</v>
      </c>
      <c r="CU135" s="659">
        <v>0</v>
      </c>
      <c r="CV135" s="659">
        <v>0</v>
      </c>
      <c r="CW135" s="659">
        <v>0</v>
      </c>
      <c r="CX135" s="659">
        <v>0</v>
      </c>
      <c r="CY135" s="659">
        <v>0</v>
      </c>
      <c r="CZ135" s="659">
        <v>0</v>
      </c>
      <c r="DA135" s="659">
        <v>0</v>
      </c>
      <c r="DB135" s="659">
        <v>25</v>
      </c>
      <c r="DC135" s="659">
        <v>0</v>
      </c>
      <c r="DD135" s="659">
        <v>0</v>
      </c>
      <c r="DE135" s="659">
        <v>8750</v>
      </c>
      <c r="DF135" s="659">
        <v>0</v>
      </c>
      <c r="DG135" s="659">
        <v>0</v>
      </c>
      <c r="DH135" s="659">
        <v>8500</v>
      </c>
      <c r="DI135" s="659">
        <v>710</v>
      </c>
      <c r="DJ135" s="659">
        <v>0</v>
      </c>
      <c r="DK135" s="659">
        <v>0</v>
      </c>
      <c r="DL135" s="659">
        <v>92000</v>
      </c>
      <c r="DM135" s="659">
        <v>0</v>
      </c>
      <c r="DN135" s="659">
        <v>0</v>
      </c>
      <c r="DO135" s="659">
        <v>88800</v>
      </c>
      <c r="DP135" s="659">
        <v>0</v>
      </c>
      <c r="DQ135" s="659">
        <v>0</v>
      </c>
      <c r="DR135" s="659">
        <v>0</v>
      </c>
      <c r="DS135" s="659">
        <v>0</v>
      </c>
      <c r="DT135" s="659">
        <v>0</v>
      </c>
      <c r="DU135" s="659">
        <v>0</v>
      </c>
      <c r="DV135" s="659">
        <v>0</v>
      </c>
      <c r="DW135" s="659">
        <v>265</v>
      </c>
      <c r="DX135" s="659">
        <v>0</v>
      </c>
      <c r="DY135" s="659">
        <v>0</v>
      </c>
      <c r="DZ135" s="659">
        <v>41960</v>
      </c>
      <c r="EA135" s="659">
        <v>0</v>
      </c>
      <c r="EB135" s="659">
        <v>0</v>
      </c>
      <c r="EC135" s="659">
        <v>41460</v>
      </c>
      <c r="ED135" s="659">
        <v>128</v>
      </c>
      <c r="EE135" s="659">
        <v>0</v>
      </c>
      <c r="EF135" s="659">
        <v>0</v>
      </c>
      <c r="EG135" s="659">
        <v>22220</v>
      </c>
      <c r="EH135" s="659">
        <v>0</v>
      </c>
      <c r="EI135" s="659">
        <v>0</v>
      </c>
      <c r="EJ135" s="659">
        <v>20160</v>
      </c>
      <c r="EK135" s="659">
        <v>0</v>
      </c>
      <c r="EL135" s="659">
        <v>0</v>
      </c>
      <c r="EM135" s="659">
        <v>0</v>
      </c>
      <c r="EN135" s="659">
        <v>0</v>
      </c>
      <c r="EO135" s="659">
        <v>0</v>
      </c>
      <c r="EP135" s="659">
        <v>0</v>
      </c>
      <c r="EQ135" s="659">
        <v>0</v>
      </c>
    </row>
    <row r="136" spans="1:147" ht="20.7" customHeight="1" x14ac:dyDescent="0.3">
      <c r="A136" s="657" t="s">
        <v>1792</v>
      </c>
      <c r="B136" s="658" t="s">
        <v>269</v>
      </c>
      <c r="C136" s="659">
        <v>201</v>
      </c>
      <c r="D136" s="659">
        <v>0</v>
      </c>
      <c r="E136" s="659">
        <v>0</v>
      </c>
      <c r="F136" s="659">
        <v>25385</v>
      </c>
      <c r="G136" s="659">
        <v>0</v>
      </c>
      <c r="H136" s="659">
        <v>0</v>
      </c>
      <c r="I136" s="659">
        <v>24776</v>
      </c>
      <c r="J136" s="801">
        <v>0</v>
      </c>
      <c r="K136" s="659">
        <v>0</v>
      </c>
      <c r="L136" s="659">
        <v>0</v>
      </c>
      <c r="M136" s="659">
        <v>0</v>
      </c>
      <c r="N136" s="659">
        <v>0</v>
      </c>
      <c r="O136" s="659">
        <v>0</v>
      </c>
      <c r="P136" s="659">
        <v>0</v>
      </c>
      <c r="Q136" s="801">
        <v>0</v>
      </c>
      <c r="R136" s="659">
        <v>0</v>
      </c>
      <c r="S136" s="659">
        <v>0</v>
      </c>
      <c r="T136" s="659">
        <v>0</v>
      </c>
      <c r="U136" s="659">
        <v>0</v>
      </c>
      <c r="V136" s="659">
        <v>0</v>
      </c>
      <c r="W136" s="801">
        <v>0</v>
      </c>
      <c r="X136" s="659">
        <v>0</v>
      </c>
      <c r="Y136" s="659">
        <v>0</v>
      </c>
      <c r="Z136" s="659">
        <v>0</v>
      </c>
      <c r="AA136" s="659">
        <v>0</v>
      </c>
      <c r="AB136" s="659">
        <v>0</v>
      </c>
      <c r="AC136" s="659">
        <v>0</v>
      </c>
      <c r="AD136" s="801">
        <v>2</v>
      </c>
      <c r="AE136" s="659">
        <v>0</v>
      </c>
      <c r="AF136" s="659">
        <v>0</v>
      </c>
      <c r="AG136" s="659">
        <v>140</v>
      </c>
      <c r="AH136" s="659">
        <v>0</v>
      </c>
      <c r="AI136" s="659">
        <v>0</v>
      </c>
      <c r="AJ136" s="659">
        <v>140</v>
      </c>
      <c r="AK136" s="801">
        <v>0</v>
      </c>
      <c r="AL136" s="659">
        <v>0</v>
      </c>
      <c r="AM136" s="659">
        <v>0</v>
      </c>
      <c r="AN136" s="659">
        <v>0</v>
      </c>
      <c r="AO136" s="659">
        <v>0</v>
      </c>
      <c r="AP136" s="659">
        <v>0</v>
      </c>
      <c r="AQ136" s="801">
        <v>0</v>
      </c>
      <c r="AR136" s="659">
        <v>0</v>
      </c>
      <c r="AS136" s="659">
        <v>0</v>
      </c>
      <c r="AT136" s="659">
        <v>0</v>
      </c>
      <c r="AU136" s="659">
        <v>0</v>
      </c>
      <c r="AV136" s="659">
        <v>0</v>
      </c>
      <c r="AW136" s="659">
        <v>0</v>
      </c>
      <c r="AX136" s="659">
        <v>0</v>
      </c>
      <c r="AY136" s="659">
        <v>0</v>
      </c>
      <c r="AZ136" s="659">
        <v>0</v>
      </c>
      <c r="BA136" s="659">
        <v>0</v>
      </c>
      <c r="BB136" s="659">
        <v>0</v>
      </c>
      <c r="BC136" s="659">
        <v>0</v>
      </c>
      <c r="BD136" s="659">
        <v>0</v>
      </c>
      <c r="BE136" s="801">
        <v>0</v>
      </c>
      <c r="BF136" s="659">
        <v>0</v>
      </c>
      <c r="BG136" s="659">
        <v>0</v>
      </c>
      <c r="BH136" s="659">
        <v>0</v>
      </c>
      <c r="BI136" s="659">
        <v>0</v>
      </c>
      <c r="BJ136" s="659">
        <v>0</v>
      </c>
      <c r="BK136" s="659">
        <v>0</v>
      </c>
      <c r="BL136" s="659">
        <v>3</v>
      </c>
      <c r="BM136" s="659">
        <v>0</v>
      </c>
      <c r="BN136" s="659">
        <v>0</v>
      </c>
      <c r="BO136" s="659">
        <v>625</v>
      </c>
      <c r="BP136" s="659">
        <v>0</v>
      </c>
      <c r="BQ136" s="659">
        <v>0</v>
      </c>
      <c r="BR136" s="659">
        <v>620</v>
      </c>
      <c r="BS136" s="659">
        <v>0</v>
      </c>
      <c r="BT136" s="659">
        <v>0</v>
      </c>
      <c r="BU136" s="659">
        <v>0</v>
      </c>
      <c r="BV136" s="659">
        <v>0</v>
      </c>
      <c r="BW136" s="659">
        <v>0</v>
      </c>
      <c r="BX136" s="659">
        <v>0</v>
      </c>
      <c r="BY136" s="659">
        <v>0</v>
      </c>
      <c r="BZ136" s="659">
        <v>0</v>
      </c>
      <c r="CA136" s="659">
        <v>0</v>
      </c>
      <c r="CB136" s="659">
        <v>0</v>
      </c>
      <c r="CC136" s="659">
        <v>0</v>
      </c>
      <c r="CD136" s="659">
        <v>0</v>
      </c>
      <c r="CE136" s="659">
        <v>0</v>
      </c>
      <c r="CF136" s="659">
        <v>0</v>
      </c>
      <c r="CG136" s="659">
        <v>0</v>
      </c>
      <c r="CH136" s="659">
        <v>0</v>
      </c>
      <c r="CI136" s="659">
        <v>0</v>
      </c>
      <c r="CJ136" s="659">
        <v>0</v>
      </c>
      <c r="CK136" s="659">
        <v>0</v>
      </c>
      <c r="CL136" s="659">
        <v>0</v>
      </c>
      <c r="CM136" s="659">
        <v>0</v>
      </c>
      <c r="CN136" s="659">
        <v>0</v>
      </c>
      <c r="CO136" s="659">
        <v>0</v>
      </c>
      <c r="CP136" s="659">
        <v>0</v>
      </c>
      <c r="CQ136" s="659">
        <v>0</v>
      </c>
      <c r="CR136" s="659">
        <v>0</v>
      </c>
      <c r="CS136" s="659">
        <v>0</v>
      </c>
      <c r="CT136" s="659">
        <v>0</v>
      </c>
      <c r="CU136" s="659">
        <v>0</v>
      </c>
      <c r="CV136" s="659">
        <v>0</v>
      </c>
      <c r="CW136" s="659">
        <v>0</v>
      </c>
      <c r="CX136" s="659">
        <v>0</v>
      </c>
      <c r="CY136" s="659">
        <v>0</v>
      </c>
      <c r="CZ136" s="659">
        <v>0</v>
      </c>
      <c r="DA136" s="659">
        <v>0</v>
      </c>
      <c r="DB136" s="659">
        <v>15</v>
      </c>
      <c r="DC136" s="659">
        <v>0</v>
      </c>
      <c r="DD136" s="659">
        <v>0</v>
      </c>
      <c r="DE136" s="659">
        <v>2900</v>
      </c>
      <c r="DF136" s="659">
        <v>0</v>
      </c>
      <c r="DG136" s="659">
        <v>0</v>
      </c>
      <c r="DH136" s="659">
        <v>2900</v>
      </c>
      <c r="DI136" s="659">
        <v>180</v>
      </c>
      <c r="DJ136" s="659">
        <v>0</v>
      </c>
      <c r="DK136" s="659">
        <v>0</v>
      </c>
      <c r="DL136" s="659">
        <v>21600</v>
      </c>
      <c r="DM136" s="659">
        <v>0</v>
      </c>
      <c r="DN136" s="659">
        <v>0</v>
      </c>
      <c r="DO136" s="659">
        <v>21000</v>
      </c>
      <c r="DP136" s="659">
        <v>0</v>
      </c>
      <c r="DQ136" s="659">
        <v>0</v>
      </c>
      <c r="DR136" s="659">
        <v>0</v>
      </c>
      <c r="DS136" s="659">
        <v>0</v>
      </c>
      <c r="DT136" s="659">
        <v>0</v>
      </c>
      <c r="DU136" s="659">
        <v>0</v>
      </c>
      <c r="DV136" s="659">
        <v>0</v>
      </c>
      <c r="DW136" s="659">
        <v>1</v>
      </c>
      <c r="DX136" s="659">
        <v>0</v>
      </c>
      <c r="DY136" s="659">
        <v>0</v>
      </c>
      <c r="DZ136" s="659">
        <v>120</v>
      </c>
      <c r="EA136" s="659">
        <v>0</v>
      </c>
      <c r="EB136" s="659">
        <v>0</v>
      </c>
      <c r="EC136" s="659">
        <v>116</v>
      </c>
      <c r="ED136" s="659">
        <v>0</v>
      </c>
      <c r="EE136" s="659">
        <v>0</v>
      </c>
      <c r="EF136" s="659">
        <v>0</v>
      </c>
      <c r="EG136" s="659">
        <v>0</v>
      </c>
      <c r="EH136" s="659">
        <v>0</v>
      </c>
      <c r="EI136" s="659">
        <v>0</v>
      </c>
      <c r="EJ136" s="659">
        <v>0</v>
      </c>
      <c r="EK136" s="659">
        <v>0</v>
      </c>
      <c r="EL136" s="659">
        <v>0</v>
      </c>
      <c r="EM136" s="659">
        <v>0</v>
      </c>
      <c r="EN136" s="659">
        <v>0</v>
      </c>
      <c r="EO136" s="659">
        <v>0</v>
      </c>
      <c r="EP136" s="659">
        <v>0</v>
      </c>
      <c r="EQ136" s="659">
        <v>0</v>
      </c>
    </row>
    <row r="137" spans="1:147" ht="13.95" customHeight="1" x14ac:dyDescent="0.3">
      <c r="A137" s="657" t="s">
        <v>1793</v>
      </c>
      <c r="B137" s="658" t="s">
        <v>269</v>
      </c>
      <c r="C137" s="659">
        <v>15533</v>
      </c>
      <c r="D137" s="659">
        <v>0</v>
      </c>
      <c r="E137" s="659">
        <v>0</v>
      </c>
      <c r="F137" s="659">
        <v>3437200</v>
      </c>
      <c r="G137" s="659">
        <v>0</v>
      </c>
      <c r="H137" s="659">
        <v>0</v>
      </c>
      <c r="I137" s="659">
        <v>3323917</v>
      </c>
      <c r="J137" s="801">
        <v>206</v>
      </c>
      <c r="K137" s="659">
        <v>0</v>
      </c>
      <c r="L137" s="659">
        <v>0</v>
      </c>
      <c r="M137" s="659">
        <v>46812</v>
      </c>
      <c r="N137" s="659">
        <v>0</v>
      </c>
      <c r="O137" s="659">
        <v>0</v>
      </c>
      <c r="P137" s="659">
        <v>44630</v>
      </c>
      <c r="Q137" s="801">
        <v>0</v>
      </c>
      <c r="R137" s="659">
        <v>0</v>
      </c>
      <c r="S137" s="659">
        <v>0</v>
      </c>
      <c r="T137" s="659">
        <v>0</v>
      </c>
      <c r="U137" s="659">
        <v>0</v>
      </c>
      <c r="V137" s="659">
        <v>0</v>
      </c>
      <c r="W137" s="801">
        <v>132</v>
      </c>
      <c r="X137" s="659">
        <v>0</v>
      </c>
      <c r="Y137" s="659">
        <v>0</v>
      </c>
      <c r="Z137" s="659">
        <v>33294</v>
      </c>
      <c r="AA137" s="659">
        <v>0</v>
      </c>
      <c r="AB137" s="659">
        <v>0</v>
      </c>
      <c r="AC137" s="659">
        <v>33244</v>
      </c>
      <c r="AD137" s="801">
        <v>788</v>
      </c>
      <c r="AE137" s="659">
        <v>0</v>
      </c>
      <c r="AF137" s="659">
        <v>0</v>
      </c>
      <c r="AG137" s="659">
        <v>205718</v>
      </c>
      <c r="AH137" s="659">
        <v>0</v>
      </c>
      <c r="AI137" s="659">
        <v>0</v>
      </c>
      <c r="AJ137" s="659">
        <v>205718</v>
      </c>
      <c r="AK137" s="801">
        <v>22</v>
      </c>
      <c r="AL137" s="659">
        <v>0</v>
      </c>
      <c r="AM137" s="659">
        <v>5500</v>
      </c>
      <c r="AN137" s="659">
        <v>0</v>
      </c>
      <c r="AO137" s="659">
        <v>0</v>
      </c>
      <c r="AP137" s="659">
        <v>5500</v>
      </c>
      <c r="AQ137" s="801">
        <v>334</v>
      </c>
      <c r="AR137" s="659">
        <v>0</v>
      </c>
      <c r="AS137" s="659">
        <v>0</v>
      </c>
      <c r="AT137" s="659">
        <v>103710</v>
      </c>
      <c r="AU137" s="659">
        <v>0</v>
      </c>
      <c r="AV137" s="659">
        <v>0</v>
      </c>
      <c r="AW137" s="659">
        <v>100070</v>
      </c>
      <c r="AX137" s="659">
        <v>19</v>
      </c>
      <c r="AY137" s="659">
        <v>0</v>
      </c>
      <c r="AZ137" s="659">
        <v>0</v>
      </c>
      <c r="BA137" s="659">
        <v>2300</v>
      </c>
      <c r="BB137" s="659">
        <v>0</v>
      </c>
      <c r="BC137" s="659">
        <v>0</v>
      </c>
      <c r="BD137" s="659">
        <v>2278</v>
      </c>
      <c r="BE137" s="801">
        <v>1278</v>
      </c>
      <c r="BF137" s="659">
        <v>0</v>
      </c>
      <c r="BG137" s="659">
        <v>0</v>
      </c>
      <c r="BH137" s="659">
        <v>448770</v>
      </c>
      <c r="BI137" s="659">
        <v>0</v>
      </c>
      <c r="BJ137" s="659">
        <v>0</v>
      </c>
      <c r="BK137" s="659">
        <v>448770</v>
      </c>
      <c r="BL137" s="659">
        <v>79</v>
      </c>
      <c r="BM137" s="659">
        <v>0</v>
      </c>
      <c r="BN137" s="659">
        <v>0</v>
      </c>
      <c r="BO137" s="659">
        <v>16098</v>
      </c>
      <c r="BP137" s="659">
        <v>0</v>
      </c>
      <c r="BQ137" s="659">
        <v>0</v>
      </c>
      <c r="BR137" s="659">
        <v>15792</v>
      </c>
      <c r="BS137" s="659">
        <v>21</v>
      </c>
      <c r="BT137" s="659">
        <v>0</v>
      </c>
      <c r="BU137" s="659">
        <v>0</v>
      </c>
      <c r="BV137" s="659">
        <v>2760</v>
      </c>
      <c r="BW137" s="659">
        <v>0</v>
      </c>
      <c r="BX137" s="659">
        <v>0</v>
      </c>
      <c r="BY137" s="659">
        <v>2760</v>
      </c>
      <c r="BZ137" s="659">
        <v>268</v>
      </c>
      <c r="CA137" s="659">
        <v>0</v>
      </c>
      <c r="CB137" s="659">
        <v>0</v>
      </c>
      <c r="CC137" s="659">
        <v>60906</v>
      </c>
      <c r="CD137" s="659">
        <v>0</v>
      </c>
      <c r="CE137" s="659">
        <v>0</v>
      </c>
      <c r="CF137" s="659">
        <v>60166</v>
      </c>
      <c r="CG137" s="659">
        <v>1217</v>
      </c>
      <c r="CH137" s="659">
        <v>0</v>
      </c>
      <c r="CI137" s="659">
        <v>0</v>
      </c>
      <c r="CJ137" s="659">
        <v>166905</v>
      </c>
      <c r="CK137" s="659">
        <v>0</v>
      </c>
      <c r="CL137" s="659">
        <v>0</v>
      </c>
      <c r="CM137" s="659">
        <v>140370</v>
      </c>
      <c r="CN137" s="659">
        <v>803</v>
      </c>
      <c r="CO137" s="659">
        <v>0</v>
      </c>
      <c r="CP137" s="659">
        <v>0</v>
      </c>
      <c r="CQ137" s="659">
        <v>171790</v>
      </c>
      <c r="CR137" s="659">
        <v>0</v>
      </c>
      <c r="CS137" s="659">
        <v>0</v>
      </c>
      <c r="CT137" s="659">
        <v>171790</v>
      </c>
      <c r="CU137" s="659">
        <v>105</v>
      </c>
      <c r="CV137" s="659">
        <v>0</v>
      </c>
      <c r="CW137" s="659">
        <v>0</v>
      </c>
      <c r="CX137" s="659">
        <v>19800</v>
      </c>
      <c r="CY137" s="659">
        <v>0</v>
      </c>
      <c r="CZ137" s="659">
        <v>0</v>
      </c>
      <c r="DA137" s="659">
        <v>19800</v>
      </c>
      <c r="DB137" s="659">
        <v>1271</v>
      </c>
      <c r="DC137" s="659">
        <v>0</v>
      </c>
      <c r="DD137" s="659">
        <v>0</v>
      </c>
      <c r="DE137" s="659">
        <v>344400</v>
      </c>
      <c r="DF137" s="659">
        <v>0</v>
      </c>
      <c r="DG137" s="659">
        <v>0</v>
      </c>
      <c r="DH137" s="659">
        <v>328073</v>
      </c>
      <c r="DI137" s="659">
        <v>4890</v>
      </c>
      <c r="DJ137" s="659">
        <v>0</v>
      </c>
      <c r="DK137" s="659">
        <v>0</v>
      </c>
      <c r="DL137" s="659">
        <v>968750</v>
      </c>
      <c r="DM137" s="659">
        <v>0</v>
      </c>
      <c r="DN137" s="659">
        <v>0</v>
      </c>
      <c r="DO137" s="659">
        <v>927420</v>
      </c>
      <c r="DP137" s="659">
        <v>574</v>
      </c>
      <c r="DQ137" s="659">
        <v>0</v>
      </c>
      <c r="DR137" s="659">
        <v>0</v>
      </c>
      <c r="DS137" s="659">
        <v>123145</v>
      </c>
      <c r="DT137" s="659">
        <v>0</v>
      </c>
      <c r="DU137" s="659">
        <v>0</v>
      </c>
      <c r="DV137" s="659">
        <v>122870</v>
      </c>
      <c r="DW137" s="659">
        <v>932</v>
      </c>
      <c r="DX137" s="659">
        <v>0</v>
      </c>
      <c r="DY137" s="659">
        <v>0</v>
      </c>
      <c r="DZ137" s="659">
        <v>142948</v>
      </c>
      <c r="EA137" s="659">
        <v>0</v>
      </c>
      <c r="EB137" s="659">
        <v>0</v>
      </c>
      <c r="EC137" s="659">
        <v>140545</v>
      </c>
      <c r="ED137" s="659">
        <v>2160</v>
      </c>
      <c r="EE137" s="659">
        <v>0</v>
      </c>
      <c r="EF137" s="659">
        <v>0</v>
      </c>
      <c r="EG137" s="659">
        <v>450046</v>
      </c>
      <c r="EH137" s="659">
        <v>0</v>
      </c>
      <c r="EI137" s="659">
        <v>0</v>
      </c>
      <c r="EJ137" s="659">
        <v>430573</v>
      </c>
      <c r="EK137" s="659">
        <v>434</v>
      </c>
      <c r="EL137" s="659">
        <v>0</v>
      </c>
      <c r="EM137" s="659">
        <v>0</v>
      </c>
      <c r="EN137" s="659">
        <v>123548</v>
      </c>
      <c r="EO137" s="659">
        <v>0</v>
      </c>
      <c r="EP137" s="659">
        <v>0</v>
      </c>
      <c r="EQ137" s="659">
        <v>123548</v>
      </c>
    </row>
    <row r="138" spans="1:147" ht="20.7" customHeight="1" x14ac:dyDescent="0.3">
      <c r="A138" s="657" t="s">
        <v>1794</v>
      </c>
      <c r="B138" s="658" t="s">
        <v>269</v>
      </c>
      <c r="C138" s="659">
        <v>21201</v>
      </c>
      <c r="D138" s="659">
        <v>0</v>
      </c>
      <c r="E138" s="659">
        <v>0</v>
      </c>
      <c r="F138" s="659">
        <v>5261891</v>
      </c>
      <c r="G138" s="659">
        <v>0</v>
      </c>
      <c r="H138" s="659">
        <v>0</v>
      </c>
      <c r="I138" s="659">
        <v>5042348</v>
      </c>
      <c r="J138" s="801">
        <v>279</v>
      </c>
      <c r="K138" s="659">
        <v>0</v>
      </c>
      <c r="L138" s="659">
        <v>0</v>
      </c>
      <c r="M138" s="659">
        <v>69825</v>
      </c>
      <c r="N138" s="659">
        <v>0</v>
      </c>
      <c r="O138" s="659">
        <v>0</v>
      </c>
      <c r="P138" s="659">
        <v>69825</v>
      </c>
      <c r="Q138" s="801">
        <v>0</v>
      </c>
      <c r="R138" s="659">
        <v>0</v>
      </c>
      <c r="S138" s="659">
        <v>0</v>
      </c>
      <c r="T138" s="659">
        <v>0</v>
      </c>
      <c r="U138" s="659">
        <v>0</v>
      </c>
      <c r="V138" s="659">
        <v>0</v>
      </c>
      <c r="W138" s="801">
        <v>5</v>
      </c>
      <c r="X138" s="659">
        <v>0</v>
      </c>
      <c r="Y138" s="659">
        <v>0</v>
      </c>
      <c r="Z138" s="659">
        <v>460</v>
      </c>
      <c r="AA138" s="659">
        <v>0</v>
      </c>
      <c r="AB138" s="659">
        <v>0</v>
      </c>
      <c r="AC138" s="659">
        <v>440</v>
      </c>
      <c r="AD138" s="801">
        <v>2593</v>
      </c>
      <c r="AE138" s="659">
        <v>0</v>
      </c>
      <c r="AF138" s="659">
        <v>0</v>
      </c>
      <c r="AG138" s="659">
        <v>874539</v>
      </c>
      <c r="AH138" s="659">
        <v>0</v>
      </c>
      <c r="AI138" s="659">
        <v>0</v>
      </c>
      <c r="AJ138" s="659">
        <v>874539</v>
      </c>
      <c r="AK138" s="801">
        <v>0</v>
      </c>
      <c r="AL138" s="659">
        <v>0</v>
      </c>
      <c r="AM138" s="659">
        <v>0</v>
      </c>
      <c r="AN138" s="659">
        <v>0</v>
      </c>
      <c r="AO138" s="659">
        <v>0</v>
      </c>
      <c r="AP138" s="659">
        <v>0</v>
      </c>
      <c r="AQ138" s="801">
        <v>506</v>
      </c>
      <c r="AR138" s="659">
        <v>0</v>
      </c>
      <c r="AS138" s="659">
        <v>0</v>
      </c>
      <c r="AT138" s="659">
        <v>141565</v>
      </c>
      <c r="AU138" s="659">
        <v>0</v>
      </c>
      <c r="AV138" s="659">
        <v>0</v>
      </c>
      <c r="AW138" s="659">
        <v>136610</v>
      </c>
      <c r="AX138" s="659">
        <v>11</v>
      </c>
      <c r="AY138" s="659">
        <v>0</v>
      </c>
      <c r="AZ138" s="659">
        <v>0</v>
      </c>
      <c r="BA138" s="659">
        <v>3057</v>
      </c>
      <c r="BB138" s="659">
        <v>0</v>
      </c>
      <c r="BC138" s="659">
        <v>0</v>
      </c>
      <c r="BD138" s="659">
        <v>2987</v>
      </c>
      <c r="BE138" s="801">
        <v>1311</v>
      </c>
      <c r="BF138" s="659">
        <v>0</v>
      </c>
      <c r="BG138" s="659">
        <v>0</v>
      </c>
      <c r="BH138" s="659">
        <v>366377</v>
      </c>
      <c r="BI138" s="659">
        <v>0</v>
      </c>
      <c r="BJ138" s="659">
        <v>0</v>
      </c>
      <c r="BK138" s="659">
        <v>366377</v>
      </c>
      <c r="BL138" s="659">
        <v>530</v>
      </c>
      <c r="BM138" s="659">
        <v>0</v>
      </c>
      <c r="BN138" s="659">
        <v>0</v>
      </c>
      <c r="BO138" s="659">
        <v>131078</v>
      </c>
      <c r="BP138" s="659">
        <v>0</v>
      </c>
      <c r="BQ138" s="659">
        <v>0</v>
      </c>
      <c r="BR138" s="659">
        <v>128654</v>
      </c>
      <c r="BS138" s="659">
        <v>466</v>
      </c>
      <c r="BT138" s="659">
        <v>0</v>
      </c>
      <c r="BU138" s="659">
        <v>0</v>
      </c>
      <c r="BV138" s="659">
        <v>152160</v>
      </c>
      <c r="BW138" s="659">
        <v>0</v>
      </c>
      <c r="BX138" s="659">
        <v>0</v>
      </c>
      <c r="BY138" s="659">
        <v>152160</v>
      </c>
      <c r="BZ138" s="659">
        <v>111</v>
      </c>
      <c r="CA138" s="659">
        <v>0</v>
      </c>
      <c r="CB138" s="659">
        <v>0</v>
      </c>
      <c r="CC138" s="659">
        <v>36941</v>
      </c>
      <c r="CD138" s="659">
        <v>0</v>
      </c>
      <c r="CE138" s="659">
        <v>0</v>
      </c>
      <c r="CF138" s="659">
        <v>36569</v>
      </c>
      <c r="CG138" s="659">
        <v>765</v>
      </c>
      <c r="CH138" s="659">
        <v>0</v>
      </c>
      <c r="CI138" s="659">
        <v>0</v>
      </c>
      <c r="CJ138" s="659">
        <v>255500</v>
      </c>
      <c r="CK138" s="659">
        <v>0</v>
      </c>
      <c r="CL138" s="659">
        <v>0</v>
      </c>
      <c r="CM138" s="659">
        <v>233500</v>
      </c>
      <c r="CN138" s="659">
        <v>511</v>
      </c>
      <c r="CO138" s="659">
        <v>0</v>
      </c>
      <c r="CP138" s="659">
        <v>0</v>
      </c>
      <c r="CQ138" s="659">
        <v>160059</v>
      </c>
      <c r="CR138" s="659">
        <v>0</v>
      </c>
      <c r="CS138" s="659">
        <v>0</v>
      </c>
      <c r="CT138" s="659">
        <v>159709</v>
      </c>
      <c r="CU138" s="659">
        <v>50</v>
      </c>
      <c r="CV138" s="659">
        <v>0</v>
      </c>
      <c r="CW138" s="659">
        <v>0</v>
      </c>
      <c r="CX138" s="659">
        <v>7500</v>
      </c>
      <c r="CY138" s="659">
        <v>0</v>
      </c>
      <c r="CZ138" s="659">
        <v>0</v>
      </c>
      <c r="DA138" s="659">
        <v>7500</v>
      </c>
      <c r="DB138" s="659">
        <v>757</v>
      </c>
      <c r="DC138" s="659">
        <v>0</v>
      </c>
      <c r="DD138" s="659">
        <v>0</v>
      </c>
      <c r="DE138" s="659">
        <v>265315</v>
      </c>
      <c r="DF138" s="659">
        <v>0</v>
      </c>
      <c r="DG138" s="659">
        <v>0</v>
      </c>
      <c r="DH138" s="659">
        <v>262915</v>
      </c>
      <c r="DI138" s="659">
        <v>1985</v>
      </c>
      <c r="DJ138" s="659">
        <v>0</v>
      </c>
      <c r="DK138" s="659">
        <v>0</v>
      </c>
      <c r="DL138" s="659">
        <v>539400</v>
      </c>
      <c r="DM138" s="659">
        <v>0</v>
      </c>
      <c r="DN138" s="659">
        <v>0</v>
      </c>
      <c r="DO138" s="659">
        <v>520220</v>
      </c>
      <c r="DP138" s="659">
        <v>697</v>
      </c>
      <c r="DQ138" s="659">
        <v>0</v>
      </c>
      <c r="DR138" s="659">
        <v>0</v>
      </c>
      <c r="DS138" s="659">
        <v>143372</v>
      </c>
      <c r="DT138" s="659">
        <v>0</v>
      </c>
      <c r="DU138" s="659">
        <v>0</v>
      </c>
      <c r="DV138" s="659">
        <v>143360</v>
      </c>
      <c r="DW138" s="659">
        <v>761</v>
      </c>
      <c r="DX138" s="659">
        <v>0</v>
      </c>
      <c r="DY138" s="659">
        <v>0</v>
      </c>
      <c r="DZ138" s="659">
        <v>227445</v>
      </c>
      <c r="EA138" s="659">
        <v>0</v>
      </c>
      <c r="EB138" s="659">
        <v>0</v>
      </c>
      <c r="EC138" s="659">
        <v>215665</v>
      </c>
      <c r="ED138" s="659">
        <v>9021</v>
      </c>
      <c r="EE138" s="659">
        <v>0</v>
      </c>
      <c r="EF138" s="659">
        <v>0</v>
      </c>
      <c r="EG138" s="659">
        <v>1637900</v>
      </c>
      <c r="EH138" s="659">
        <v>0</v>
      </c>
      <c r="EI138" s="659">
        <v>0</v>
      </c>
      <c r="EJ138" s="659">
        <v>1481920</v>
      </c>
      <c r="EK138" s="659">
        <v>842</v>
      </c>
      <c r="EL138" s="659">
        <v>0</v>
      </c>
      <c r="EM138" s="659">
        <v>0</v>
      </c>
      <c r="EN138" s="659">
        <v>249398</v>
      </c>
      <c r="EO138" s="659">
        <v>0</v>
      </c>
      <c r="EP138" s="659">
        <v>0</v>
      </c>
      <c r="EQ138" s="659">
        <v>249398</v>
      </c>
    </row>
    <row r="139" spans="1:147" ht="13.95" customHeight="1" x14ac:dyDescent="0.3">
      <c r="A139" s="657" t="s">
        <v>1795</v>
      </c>
      <c r="B139" s="658" t="s">
        <v>269</v>
      </c>
      <c r="C139" s="659">
        <v>14970</v>
      </c>
      <c r="D139" s="659">
        <v>0</v>
      </c>
      <c r="E139" s="659">
        <v>0</v>
      </c>
      <c r="F139" s="659">
        <v>3715290</v>
      </c>
      <c r="G139" s="659">
        <v>0</v>
      </c>
      <c r="H139" s="659">
        <v>0</v>
      </c>
      <c r="I139" s="659">
        <v>3590725</v>
      </c>
      <c r="J139" s="801">
        <v>1158</v>
      </c>
      <c r="K139" s="659">
        <v>0</v>
      </c>
      <c r="L139" s="659">
        <v>0</v>
      </c>
      <c r="M139" s="659">
        <v>201370</v>
      </c>
      <c r="N139" s="659">
        <v>0</v>
      </c>
      <c r="O139" s="659">
        <v>0</v>
      </c>
      <c r="P139" s="659">
        <v>201370</v>
      </c>
      <c r="Q139" s="801">
        <v>0</v>
      </c>
      <c r="R139" s="659">
        <v>0</v>
      </c>
      <c r="S139" s="659">
        <v>0</v>
      </c>
      <c r="T139" s="659">
        <v>0</v>
      </c>
      <c r="U139" s="659">
        <v>0</v>
      </c>
      <c r="V139" s="659">
        <v>0</v>
      </c>
      <c r="W139" s="801">
        <v>61</v>
      </c>
      <c r="X139" s="659">
        <v>0</v>
      </c>
      <c r="Y139" s="659">
        <v>0</v>
      </c>
      <c r="Z139" s="659">
        <v>19700</v>
      </c>
      <c r="AA139" s="659">
        <v>0</v>
      </c>
      <c r="AB139" s="659">
        <v>0</v>
      </c>
      <c r="AC139" s="659">
        <v>19400</v>
      </c>
      <c r="AD139" s="801">
        <v>1318</v>
      </c>
      <c r="AE139" s="659">
        <v>0</v>
      </c>
      <c r="AF139" s="659">
        <v>0</v>
      </c>
      <c r="AG139" s="659">
        <v>252885</v>
      </c>
      <c r="AH139" s="659">
        <v>0</v>
      </c>
      <c r="AI139" s="659">
        <v>0</v>
      </c>
      <c r="AJ139" s="659">
        <v>252885</v>
      </c>
      <c r="AK139" s="801">
        <v>5</v>
      </c>
      <c r="AL139" s="659">
        <v>0</v>
      </c>
      <c r="AM139" s="659">
        <v>1250</v>
      </c>
      <c r="AN139" s="659">
        <v>0</v>
      </c>
      <c r="AO139" s="659">
        <v>0</v>
      </c>
      <c r="AP139" s="659">
        <v>1250</v>
      </c>
      <c r="AQ139" s="801">
        <v>1664</v>
      </c>
      <c r="AR139" s="659">
        <v>0</v>
      </c>
      <c r="AS139" s="659">
        <v>0</v>
      </c>
      <c r="AT139" s="659">
        <v>409730</v>
      </c>
      <c r="AU139" s="659">
        <v>0</v>
      </c>
      <c r="AV139" s="659">
        <v>0</v>
      </c>
      <c r="AW139" s="659">
        <v>389590</v>
      </c>
      <c r="AX139" s="659">
        <v>36</v>
      </c>
      <c r="AY139" s="659">
        <v>0</v>
      </c>
      <c r="AZ139" s="659">
        <v>0</v>
      </c>
      <c r="BA139" s="659">
        <v>10065</v>
      </c>
      <c r="BB139" s="659">
        <v>0</v>
      </c>
      <c r="BC139" s="659">
        <v>0</v>
      </c>
      <c r="BD139" s="659">
        <v>9885</v>
      </c>
      <c r="BE139" s="801">
        <v>1856</v>
      </c>
      <c r="BF139" s="659">
        <v>0</v>
      </c>
      <c r="BG139" s="659">
        <v>0</v>
      </c>
      <c r="BH139" s="659">
        <v>557598</v>
      </c>
      <c r="BI139" s="659">
        <v>0</v>
      </c>
      <c r="BJ139" s="659">
        <v>0</v>
      </c>
      <c r="BK139" s="659">
        <v>557598</v>
      </c>
      <c r="BL139" s="659">
        <v>400</v>
      </c>
      <c r="BM139" s="659">
        <v>0</v>
      </c>
      <c r="BN139" s="659">
        <v>0</v>
      </c>
      <c r="BO139" s="659">
        <v>88579</v>
      </c>
      <c r="BP139" s="659">
        <v>0</v>
      </c>
      <c r="BQ139" s="659">
        <v>0</v>
      </c>
      <c r="BR139" s="659">
        <v>86746</v>
      </c>
      <c r="BS139" s="659">
        <v>153</v>
      </c>
      <c r="BT139" s="659">
        <v>0</v>
      </c>
      <c r="BU139" s="659">
        <v>0</v>
      </c>
      <c r="BV139" s="659">
        <v>12756</v>
      </c>
      <c r="BW139" s="659">
        <v>0</v>
      </c>
      <c r="BX139" s="659">
        <v>0</v>
      </c>
      <c r="BY139" s="659">
        <v>12756</v>
      </c>
      <c r="BZ139" s="659">
        <v>77</v>
      </c>
      <c r="CA139" s="659">
        <v>0</v>
      </c>
      <c r="CB139" s="659">
        <v>0</v>
      </c>
      <c r="CC139" s="659">
        <v>23682</v>
      </c>
      <c r="CD139" s="659">
        <v>0</v>
      </c>
      <c r="CE139" s="659">
        <v>0</v>
      </c>
      <c r="CF139" s="659">
        <v>22969</v>
      </c>
      <c r="CG139" s="659">
        <v>1405</v>
      </c>
      <c r="CH139" s="659">
        <v>0</v>
      </c>
      <c r="CI139" s="659">
        <v>0</v>
      </c>
      <c r="CJ139" s="659">
        <v>452150</v>
      </c>
      <c r="CK139" s="659">
        <v>0</v>
      </c>
      <c r="CL139" s="659">
        <v>0</v>
      </c>
      <c r="CM139" s="659">
        <v>400550</v>
      </c>
      <c r="CN139" s="659">
        <v>300</v>
      </c>
      <c r="CO139" s="659">
        <v>0</v>
      </c>
      <c r="CP139" s="659">
        <v>0</v>
      </c>
      <c r="CQ139" s="659">
        <v>86700</v>
      </c>
      <c r="CR139" s="659">
        <v>0</v>
      </c>
      <c r="CS139" s="659">
        <v>0</v>
      </c>
      <c r="CT139" s="659">
        <v>86300</v>
      </c>
      <c r="CU139" s="659">
        <v>20</v>
      </c>
      <c r="CV139" s="659">
        <v>0</v>
      </c>
      <c r="CW139" s="659">
        <v>0</v>
      </c>
      <c r="CX139" s="659">
        <v>2200</v>
      </c>
      <c r="CY139" s="659">
        <v>0</v>
      </c>
      <c r="CZ139" s="659">
        <v>0</v>
      </c>
      <c r="DA139" s="659">
        <v>2200</v>
      </c>
      <c r="DB139" s="659">
        <v>770</v>
      </c>
      <c r="DC139" s="659">
        <v>0</v>
      </c>
      <c r="DD139" s="659">
        <v>0</v>
      </c>
      <c r="DE139" s="659">
        <v>191240</v>
      </c>
      <c r="DF139" s="659">
        <v>0</v>
      </c>
      <c r="DG139" s="659">
        <v>0</v>
      </c>
      <c r="DH139" s="659">
        <v>185258</v>
      </c>
      <c r="DI139" s="659">
        <v>2375</v>
      </c>
      <c r="DJ139" s="659">
        <v>0</v>
      </c>
      <c r="DK139" s="659">
        <v>0</v>
      </c>
      <c r="DL139" s="659">
        <v>570600</v>
      </c>
      <c r="DM139" s="659">
        <v>0</v>
      </c>
      <c r="DN139" s="659">
        <v>0</v>
      </c>
      <c r="DO139" s="659">
        <v>552700</v>
      </c>
      <c r="DP139" s="659">
        <v>164</v>
      </c>
      <c r="DQ139" s="659">
        <v>0</v>
      </c>
      <c r="DR139" s="659">
        <v>0</v>
      </c>
      <c r="DS139" s="659">
        <v>22317</v>
      </c>
      <c r="DT139" s="659">
        <v>0</v>
      </c>
      <c r="DU139" s="659">
        <v>0</v>
      </c>
      <c r="DV139" s="659">
        <v>20179</v>
      </c>
      <c r="DW139" s="659">
        <v>1345</v>
      </c>
      <c r="DX139" s="659">
        <v>0</v>
      </c>
      <c r="DY139" s="659">
        <v>0</v>
      </c>
      <c r="DZ139" s="659">
        <v>358445</v>
      </c>
      <c r="EA139" s="659">
        <v>0</v>
      </c>
      <c r="EB139" s="659">
        <v>0</v>
      </c>
      <c r="EC139" s="659">
        <v>343168</v>
      </c>
      <c r="ED139" s="659">
        <v>1772</v>
      </c>
      <c r="EE139" s="659">
        <v>0</v>
      </c>
      <c r="EF139" s="659">
        <v>0</v>
      </c>
      <c r="EG139" s="659">
        <v>425212</v>
      </c>
      <c r="EH139" s="659">
        <v>0</v>
      </c>
      <c r="EI139" s="659">
        <v>0</v>
      </c>
      <c r="EJ139" s="659">
        <v>417110</v>
      </c>
      <c r="EK139" s="659">
        <v>91</v>
      </c>
      <c r="EL139" s="659">
        <v>0</v>
      </c>
      <c r="EM139" s="659">
        <v>0</v>
      </c>
      <c r="EN139" s="659">
        <v>28811</v>
      </c>
      <c r="EO139" s="659">
        <v>0</v>
      </c>
      <c r="EP139" s="659">
        <v>0</v>
      </c>
      <c r="EQ139" s="659">
        <v>28811</v>
      </c>
    </row>
    <row r="140" spans="1:147" ht="13.95" customHeight="1" x14ac:dyDescent="0.3">
      <c r="A140" s="657" t="s">
        <v>1796</v>
      </c>
      <c r="B140" s="658" t="s">
        <v>269</v>
      </c>
      <c r="C140" s="659">
        <v>11141</v>
      </c>
      <c r="D140" s="659">
        <v>0</v>
      </c>
      <c r="E140" s="659">
        <v>0</v>
      </c>
      <c r="F140" s="659">
        <v>5632413</v>
      </c>
      <c r="G140" s="659">
        <v>0</v>
      </c>
      <c r="H140" s="659">
        <v>0</v>
      </c>
      <c r="I140" s="659">
        <v>5373612</v>
      </c>
      <c r="J140" s="801">
        <v>42</v>
      </c>
      <c r="K140" s="659">
        <v>0</v>
      </c>
      <c r="L140" s="659">
        <v>0</v>
      </c>
      <c r="M140" s="659">
        <v>15155</v>
      </c>
      <c r="N140" s="659">
        <v>0</v>
      </c>
      <c r="O140" s="659">
        <v>0</v>
      </c>
      <c r="P140" s="659">
        <v>15155</v>
      </c>
      <c r="Q140" s="801">
        <v>0</v>
      </c>
      <c r="R140" s="659">
        <v>0</v>
      </c>
      <c r="S140" s="659">
        <v>0</v>
      </c>
      <c r="T140" s="659">
        <v>0</v>
      </c>
      <c r="U140" s="659">
        <v>0</v>
      </c>
      <c r="V140" s="659">
        <v>0</v>
      </c>
      <c r="W140" s="801">
        <v>0</v>
      </c>
      <c r="X140" s="659">
        <v>0</v>
      </c>
      <c r="Y140" s="659">
        <v>0</v>
      </c>
      <c r="Z140" s="659">
        <v>0</v>
      </c>
      <c r="AA140" s="659">
        <v>0</v>
      </c>
      <c r="AB140" s="659">
        <v>0</v>
      </c>
      <c r="AC140" s="659">
        <v>0</v>
      </c>
      <c r="AD140" s="801">
        <v>1350</v>
      </c>
      <c r="AE140" s="659">
        <v>0</v>
      </c>
      <c r="AF140" s="659">
        <v>0</v>
      </c>
      <c r="AG140" s="659">
        <v>741845</v>
      </c>
      <c r="AH140" s="659">
        <v>0</v>
      </c>
      <c r="AI140" s="659">
        <v>0</v>
      </c>
      <c r="AJ140" s="659">
        <v>741845</v>
      </c>
      <c r="AK140" s="801">
        <v>0</v>
      </c>
      <c r="AL140" s="659">
        <v>0</v>
      </c>
      <c r="AM140" s="659">
        <v>0</v>
      </c>
      <c r="AN140" s="659">
        <v>0</v>
      </c>
      <c r="AO140" s="659">
        <v>0</v>
      </c>
      <c r="AP140" s="659">
        <v>0</v>
      </c>
      <c r="AQ140" s="801">
        <v>294</v>
      </c>
      <c r="AR140" s="659">
        <v>0</v>
      </c>
      <c r="AS140" s="659">
        <v>0</v>
      </c>
      <c r="AT140" s="659">
        <v>158670</v>
      </c>
      <c r="AU140" s="659">
        <v>0</v>
      </c>
      <c r="AV140" s="659">
        <v>0</v>
      </c>
      <c r="AW140" s="659">
        <v>153010</v>
      </c>
      <c r="AX140" s="659">
        <v>0</v>
      </c>
      <c r="AY140" s="659">
        <v>0</v>
      </c>
      <c r="AZ140" s="659">
        <v>0</v>
      </c>
      <c r="BA140" s="659">
        <v>0</v>
      </c>
      <c r="BB140" s="659">
        <v>0</v>
      </c>
      <c r="BC140" s="659">
        <v>0</v>
      </c>
      <c r="BD140" s="659">
        <v>0</v>
      </c>
      <c r="BE140" s="801">
        <v>1020</v>
      </c>
      <c r="BF140" s="659">
        <v>0</v>
      </c>
      <c r="BG140" s="659">
        <v>0</v>
      </c>
      <c r="BH140" s="659">
        <v>449120</v>
      </c>
      <c r="BI140" s="659">
        <v>0</v>
      </c>
      <c r="BJ140" s="659">
        <v>0</v>
      </c>
      <c r="BK140" s="659">
        <v>449120</v>
      </c>
      <c r="BL140" s="659">
        <v>191</v>
      </c>
      <c r="BM140" s="659">
        <v>0</v>
      </c>
      <c r="BN140" s="659">
        <v>0</v>
      </c>
      <c r="BO140" s="659">
        <v>67390</v>
      </c>
      <c r="BP140" s="659">
        <v>0</v>
      </c>
      <c r="BQ140" s="659">
        <v>0</v>
      </c>
      <c r="BR140" s="659">
        <v>61246</v>
      </c>
      <c r="BS140" s="659">
        <v>95</v>
      </c>
      <c r="BT140" s="659">
        <v>0</v>
      </c>
      <c r="BU140" s="659">
        <v>0</v>
      </c>
      <c r="BV140" s="659">
        <v>13000</v>
      </c>
      <c r="BW140" s="659">
        <v>0</v>
      </c>
      <c r="BX140" s="659">
        <v>0</v>
      </c>
      <c r="BY140" s="659">
        <v>13000</v>
      </c>
      <c r="BZ140" s="659">
        <v>35</v>
      </c>
      <c r="CA140" s="659">
        <v>0</v>
      </c>
      <c r="CB140" s="659">
        <v>0</v>
      </c>
      <c r="CC140" s="659">
        <v>10400</v>
      </c>
      <c r="CD140" s="659">
        <v>0</v>
      </c>
      <c r="CE140" s="659">
        <v>0</v>
      </c>
      <c r="CF140" s="659">
        <v>10335</v>
      </c>
      <c r="CG140" s="659">
        <v>2190</v>
      </c>
      <c r="CH140" s="659">
        <v>0</v>
      </c>
      <c r="CI140" s="659">
        <v>0</v>
      </c>
      <c r="CJ140" s="659">
        <v>1299000</v>
      </c>
      <c r="CK140" s="659">
        <v>0</v>
      </c>
      <c r="CL140" s="659">
        <v>0</v>
      </c>
      <c r="CM140" s="659">
        <v>1176500</v>
      </c>
      <c r="CN140" s="659">
        <v>108</v>
      </c>
      <c r="CO140" s="659">
        <v>0</v>
      </c>
      <c r="CP140" s="659">
        <v>0</v>
      </c>
      <c r="CQ140" s="659">
        <v>47300</v>
      </c>
      <c r="CR140" s="659">
        <v>0</v>
      </c>
      <c r="CS140" s="659">
        <v>0</v>
      </c>
      <c r="CT140" s="659">
        <v>47300</v>
      </c>
      <c r="CU140" s="659">
        <v>40</v>
      </c>
      <c r="CV140" s="659">
        <v>0</v>
      </c>
      <c r="CW140" s="659">
        <v>0</v>
      </c>
      <c r="CX140" s="659">
        <v>10000</v>
      </c>
      <c r="CY140" s="659">
        <v>0</v>
      </c>
      <c r="CZ140" s="659">
        <v>0</v>
      </c>
      <c r="DA140" s="659">
        <v>10000</v>
      </c>
      <c r="DB140" s="659">
        <v>1260</v>
      </c>
      <c r="DC140" s="659">
        <v>0</v>
      </c>
      <c r="DD140" s="659">
        <v>0</v>
      </c>
      <c r="DE140" s="659">
        <v>927500</v>
      </c>
      <c r="DF140" s="659">
        <v>0</v>
      </c>
      <c r="DG140" s="659">
        <v>0</v>
      </c>
      <c r="DH140" s="659">
        <v>840740</v>
      </c>
      <c r="DI140" s="659">
        <v>2084</v>
      </c>
      <c r="DJ140" s="659">
        <v>0</v>
      </c>
      <c r="DK140" s="659">
        <v>0</v>
      </c>
      <c r="DL140" s="659">
        <v>992000</v>
      </c>
      <c r="DM140" s="659">
        <v>0</v>
      </c>
      <c r="DN140" s="659">
        <v>0</v>
      </c>
      <c r="DO140" s="659">
        <v>974700</v>
      </c>
      <c r="DP140" s="659">
        <v>221</v>
      </c>
      <c r="DQ140" s="659">
        <v>0</v>
      </c>
      <c r="DR140" s="659">
        <v>0</v>
      </c>
      <c r="DS140" s="659">
        <v>103382</v>
      </c>
      <c r="DT140" s="659">
        <v>0</v>
      </c>
      <c r="DU140" s="659">
        <v>0</v>
      </c>
      <c r="DV140" s="659">
        <v>87150</v>
      </c>
      <c r="DW140" s="659">
        <v>96</v>
      </c>
      <c r="DX140" s="659">
        <v>0</v>
      </c>
      <c r="DY140" s="659">
        <v>0</v>
      </c>
      <c r="DZ140" s="659">
        <v>30550</v>
      </c>
      <c r="EA140" s="659">
        <v>0</v>
      </c>
      <c r="EB140" s="659">
        <v>0</v>
      </c>
      <c r="EC140" s="659">
        <v>28760</v>
      </c>
      <c r="ED140" s="659">
        <v>1450</v>
      </c>
      <c r="EE140" s="659">
        <v>0</v>
      </c>
      <c r="EF140" s="659">
        <v>0</v>
      </c>
      <c r="EG140" s="659">
        <v>283550</v>
      </c>
      <c r="EH140" s="659">
        <v>0</v>
      </c>
      <c r="EI140" s="659">
        <v>0</v>
      </c>
      <c r="EJ140" s="659">
        <v>281200</v>
      </c>
      <c r="EK140" s="659">
        <v>665</v>
      </c>
      <c r="EL140" s="659">
        <v>0</v>
      </c>
      <c r="EM140" s="659">
        <v>0</v>
      </c>
      <c r="EN140" s="659">
        <v>483551</v>
      </c>
      <c r="EO140" s="659">
        <v>0</v>
      </c>
      <c r="EP140" s="659">
        <v>0</v>
      </c>
      <c r="EQ140" s="659">
        <v>483551</v>
      </c>
    </row>
    <row r="141" spans="1:147" ht="13.95" customHeight="1" x14ac:dyDescent="0.3">
      <c r="A141" s="657" t="s">
        <v>1797</v>
      </c>
      <c r="B141" s="658" t="s">
        <v>269</v>
      </c>
      <c r="C141" s="659">
        <v>19795</v>
      </c>
      <c r="D141" s="659">
        <v>0</v>
      </c>
      <c r="E141" s="659">
        <v>0</v>
      </c>
      <c r="F141" s="659">
        <v>5321248</v>
      </c>
      <c r="G141" s="659">
        <v>0</v>
      </c>
      <c r="H141" s="659">
        <v>0</v>
      </c>
      <c r="I141" s="659">
        <v>5200546</v>
      </c>
      <c r="J141" s="801">
        <v>70</v>
      </c>
      <c r="K141" s="659">
        <v>0</v>
      </c>
      <c r="L141" s="659">
        <v>0</v>
      </c>
      <c r="M141" s="659">
        <v>18110</v>
      </c>
      <c r="N141" s="659">
        <v>0</v>
      </c>
      <c r="O141" s="659">
        <v>0</v>
      </c>
      <c r="P141" s="659">
        <v>17350</v>
      </c>
      <c r="Q141" s="801">
        <v>0</v>
      </c>
      <c r="R141" s="659">
        <v>0</v>
      </c>
      <c r="S141" s="659">
        <v>0</v>
      </c>
      <c r="T141" s="659">
        <v>0</v>
      </c>
      <c r="U141" s="659">
        <v>0</v>
      </c>
      <c r="V141" s="659">
        <v>0</v>
      </c>
      <c r="W141" s="801">
        <v>21</v>
      </c>
      <c r="X141" s="659">
        <v>0</v>
      </c>
      <c r="Y141" s="659">
        <v>0</v>
      </c>
      <c r="Z141" s="659">
        <v>2375</v>
      </c>
      <c r="AA141" s="659">
        <v>0</v>
      </c>
      <c r="AB141" s="659">
        <v>0</v>
      </c>
      <c r="AC141" s="659">
        <v>2370</v>
      </c>
      <c r="AD141" s="801">
        <v>4</v>
      </c>
      <c r="AE141" s="659">
        <v>0</v>
      </c>
      <c r="AF141" s="659">
        <v>0</v>
      </c>
      <c r="AG141" s="659">
        <v>920</v>
      </c>
      <c r="AH141" s="659">
        <v>0</v>
      </c>
      <c r="AI141" s="659">
        <v>0</v>
      </c>
      <c r="AJ141" s="659">
        <v>920</v>
      </c>
      <c r="AK141" s="801">
        <v>0</v>
      </c>
      <c r="AL141" s="659">
        <v>0</v>
      </c>
      <c r="AM141" s="659">
        <v>0</v>
      </c>
      <c r="AN141" s="659">
        <v>0</v>
      </c>
      <c r="AO141" s="659">
        <v>0</v>
      </c>
      <c r="AP141" s="659">
        <v>0</v>
      </c>
      <c r="AQ141" s="801">
        <v>35</v>
      </c>
      <c r="AR141" s="659">
        <v>0</v>
      </c>
      <c r="AS141" s="659">
        <v>0</v>
      </c>
      <c r="AT141" s="659">
        <v>10510</v>
      </c>
      <c r="AU141" s="659">
        <v>0</v>
      </c>
      <c r="AV141" s="659">
        <v>0</v>
      </c>
      <c r="AW141" s="659">
        <v>10135</v>
      </c>
      <c r="AX141" s="659">
        <v>22</v>
      </c>
      <c r="AY141" s="659">
        <v>0</v>
      </c>
      <c r="AZ141" s="659">
        <v>0</v>
      </c>
      <c r="BA141" s="659">
        <v>4132</v>
      </c>
      <c r="BB141" s="659">
        <v>0</v>
      </c>
      <c r="BC141" s="659">
        <v>0</v>
      </c>
      <c r="BD141" s="659">
        <v>4044</v>
      </c>
      <c r="BE141" s="801">
        <v>146</v>
      </c>
      <c r="BF141" s="659">
        <v>0</v>
      </c>
      <c r="BG141" s="659">
        <v>0</v>
      </c>
      <c r="BH141" s="659">
        <v>52350</v>
      </c>
      <c r="BI141" s="659">
        <v>0</v>
      </c>
      <c r="BJ141" s="659">
        <v>0</v>
      </c>
      <c r="BK141" s="659">
        <v>52350</v>
      </c>
      <c r="BL141" s="659">
        <v>97</v>
      </c>
      <c r="BM141" s="659">
        <v>0</v>
      </c>
      <c r="BN141" s="659">
        <v>0</v>
      </c>
      <c r="BO141" s="659">
        <v>21469</v>
      </c>
      <c r="BP141" s="659">
        <v>0</v>
      </c>
      <c r="BQ141" s="659">
        <v>0</v>
      </c>
      <c r="BR141" s="659">
        <v>21174</v>
      </c>
      <c r="BS141" s="659">
        <v>13</v>
      </c>
      <c r="BT141" s="659">
        <v>0</v>
      </c>
      <c r="BU141" s="659">
        <v>0</v>
      </c>
      <c r="BV141" s="659">
        <v>2125</v>
      </c>
      <c r="BW141" s="659">
        <v>0</v>
      </c>
      <c r="BX141" s="659">
        <v>0</v>
      </c>
      <c r="BY141" s="659">
        <v>2125</v>
      </c>
      <c r="BZ141" s="659">
        <v>129</v>
      </c>
      <c r="CA141" s="659">
        <v>0</v>
      </c>
      <c r="CB141" s="659">
        <v>0</v>
      </c>
      <c r="CC141" s="659">
        <v>46037</v>
      </c>
      <c r="CD141" s="659">
        <v>0</v>
      </c>
      <c r="CE141" s="659">
        <v>0</v>
      </c>
      <c r="CF141" s="659">
        <v>45432</v>
      </c>
      <c r="CG141" s="659">
        <v>600</v>
      </c>
      <c r="CH141" s="659">
        <v>0</v>
      </c>
      <c r="CI141" s="659">
        <v>0</v>
      </c>
      <c r="CJ141" s="659">
        <v>163900</v>
      </c>
      <c r="CK141" s="659">
        <v>0</v>
      </c>
      <c r="CL141" s="659">
        <v>0</v>
      </c>
      <c r="CM141" s="659">
        <v>145400</v>
      </c>
      <c r="CN141" s="659">
        <v>2544</v>
      </c>
      <c r="CO141" s="659">
        <v>0</v>
      </c>
      <c r="CP141" s="659">
        <v>0</v>
      </c>
      <c r="CQ141" s="659">
        <v>675447</v>
      </c>
      <c r="CR141" s="659">
        <v>0</v>
      </c>
      <c r="CS141" s="659">
        <v>0</v>
      </c>
      <c r="CT141" s="659">
        <v>675447</v>
      </c>
      <c r="CU141" s="659">
        <v>900</v>
      </c>
      <c r="CV141" s="659">
        <v>0</v>
      </c>
      <c r="CW141" s="659">
        <v>0</v>
      </c>
      <c r="CX141" s="659">
        <v>252000</v>
      </c>
      <c r="CY141" s="659">
        <v>0</v>
      </c>
      <c r="CZ141" s="659">
        <v>0</v>
      </c>
      <c r="DA141" s="659">
        <v>252000</v>
      </c>
      <c r="DB141" s="659">
        <v>2688</v>
      </c>
      <c r="DC141" s="659">
        <v>0</v>
      </c>
      <c r="DD141" s="659">
        <v>0</v>
      </c>
      <c r="DE141" s="659">
        <v>765190</v>
      </c>
      <c r="DF141" s="659">
        <v>0</v>
      </c>
      <c r="DG141" s="659">
        <v>0</v>
      </c>
      <c r="DH141" s="659">
        <v>748434</v>
      </c>
      <c r="DI141" s="659">
        <v>6260</v>
      </c>
      <c r="DJ141" s="659">
        <v>0</v>
      </c>
      <c r="DK141" s="659">
        <v>0</v>
      </c>
      <c r="DL141" s="659">
        <v>1390100</v>
      </c>
      <c r="DM141" s="659">
        <v>0</v>
      </c>
      <c r="DN141" s="659">
        <v>0</v>
      </c>
      <c r="DO141" s="659">
        <v>1323150</v>
      </c>
      <c r="DP141" s="659">
        <v>796</v>
      </c>
      <c r="DQ141" s="659">
        <v>0</v>
      </c>
      <c r="DR141" s="659">
        <v>0</v>
      </c>
      <c r="DS141" s="659">
        <v>207273</v>
      </c>
      <c r="DT141" s="659">
        <v>0</v>
      </c>
      <c r="DU141" s="659">
        <v>0</v>
      </c>
      <c r="DV141" s="659">
        <v>206945</v>
      </c>
      <c r="DW141" s="659">
        <v>3109</v>
      </c>
      <c r="DX141" s="659">
        <v>0</v>
      </c>
      <c r="DY141" s="659">
        <v>0</v>
      </c>
      <c r="DZ141" s="659">
        <v>1126200</v>
      </c>
      <c r="EA141" s="659">
        <v>0</v>
      </c>
      <c r="EB141" s="659">
        <v>0</v>
      </c>
      <c r="EC141" s="659">
        <v>1122620</v>
      </c>
      <c r="ED141" s="659">
        <v>1656</v>
      </c>
      <c r="EE141" s="659">
        <v>0</v>
      </c>
      <c r="EF141" s="659">
        <v>0</v>
      </c>
      <c r="EG141" s="659">
        <v>361844</v>
      </c>
      <c r="EH141" s="659">
        <v>0</v>
      </c>
      <c r="EI141" s="659">
        <v>0</v>
      </c>
      <c r="EJ141" s="659">
        <v>349384</v>
      </c>
      <c r="EK141" s="659">
        <v>705</v>
      </c>
      <c r="EL141" s="659">
        <v>0</v>
      </c>
      <c r="EM141" s="659">
        <v>0</v>
      </c>
      <c r="EN141" s="659">
        <v>221266</v>
      </c>
      <c r="EO141" s="659">
        <v>0</v>
      </c>
      <c r="EP141" s="659">
        <v>0</v>
      </c>
      <c r="EQ141" s="659">
        <v>221266</v>
      </c>
    </row>
    <row r="142" spans="1:147" ht="20.7" customHeight="1" x14ac:dyDescent="0.3">
      <c r="A142" s="657" t="s">
        <v>1798</v>
      </c>
      <c r="B142" s="658" t="s">
        <v>269</v>
      </c>
      <c r="C142" s="659">
        <v>8527</v>
      </c>
      <c r="D142" s="659">
        <v>0</v>
      </c>
      <c r="E142" s="659">
        <v>0</v>
      </c>
      <c r="F142" s="659">
        <v>1956408</v>
      </c>
      <c r="G142" s="659">
        <v>0</v>
      </c>
      <c r="H142" s="659">
        <v>0</v>
      </c>
      <c r="I142" s="659">
        <v>1910910</v>
      </c>
      <c r="J142" s="801">
        <v>81</v>
      </c>
      <c r="K142" s="659">
        <v>0</v>
      </c>
      <c r="L142" s="659">
        <v>0</v>
      </c>
      <c r="M142" s="659">
        <v>18278</v>
      </c>
      <c r="N142" s="659">
        <v>0</v>
      </c>
      <c r="O142" s="659">
        <v>0</v>
      </c>
      <c r="P142" s="659">
        <v>16575</v>
      </c>
      <c r="Q142" s="801">
        <v>0</v>
      </c>
      <c r="R142" s="659">
        <v>0</v>
      </c>
      <c r="S142" s="659">
        <v>0</v>
      </c>
      <c r="T142" s="659">
        <v>0</v>
      </c>
      <c r="U142" s="659">
        <v>0</v>
      </c>
      <c r="V142" s="659">
        <v>0</v>
      </c>
      <c r="W142" s="801">
        <v>17</v>
      </c>
      <c r="X142" s="659">
        <v>0</v>
      </c>
      <c r="Y142" s="659">
        <v>0</v>
      </c>
      <c r="Z142" s="659">
        <v>2264</v>
      </c>
      <c r="AA142" s="659">
        <v>0</v>
      </c>
      <c r="AB142" s="659">
        <v>0</v>
      </c>
      <c r="AC142" s="659">
        <v>2256</v>
      </c>
      <c r="AD142" s="801">
        <v>294</v>
      </c>
      <c r="AE142" s="659">
        <v>0</v>
      </c>
      <c r="AF142" s="659">
        <v>0</v>
      </c>
      <c r="AG142" s="659">
        <v>76442</v>
      </c>
      <c r="AH142" s="659">
        <v>0</v>
      </c>
      <c r="AI142" s="659">
        <v>0</v>
      </c>
      <c r="AJ142" s="659">
        <v>76442</v>
      </c>
      <c r="AK142" s="801">
        <v>2</v>
      </c>
      <c r="AL142" s="659">
        <v>0</v>
      </c>
      <c r="AM142" s="659">
        <v>500</v>
      </c>
      <c r="AN142" s="659">
        <v>0</v>
      </c>
      <c r="AO142" s="659">
        <v>0</v>
      </c>
      <c r="AP142" s="659">
        <v>500</v>
      </c>
      <c r="AQ142" s="801">
        <v>36</v>
      </c>
      <c r="AR142" s="659">
        <v>0</v>
      </c>
      <c r="AS142" s="659">
        <v>0</v>
      </c>
      <c r="AT142" s="659">
        <v>11400</v>
      </c>
      <c r="AU142" s="659">
        <v>0</v>
      </c>
      <c r="AV142" s="659">
        <v>0</v>
      </c>
      <c r="AW142" s="659">
        <v>10350</v>
      </c>
      <c r="AX142" s="659">
        <v>2</v>
      </c>
      <c r="AY142" s="659">
        <v>0</v>
      </c>
      <c r="AZ142" s="659">
        <v>0</v>
      </c>
      <c r="BA142" s="659">
        <v>157</v>
      </c>
      <c r="BB142" s="659">
        <v>0</v>
      </c>
      <c r="BC142" s="659">
        <v>0</v>
      </c>
      <c r="BD142" s="659">
        <v>153</v>
      </c>
      <c r="BE142" s="801">
        <v>123</v>
      </c>
      <c r="BF142" s="659">
        <v>0</v>
      </c>
      <c r="BG142" s="659">
        <v>0</v>
      </c>
      <c r="BH142" s="659">
        <v>45863</v>
      </c>
      <c r="BI142" s="659">
        <v>0</v>
      </c>
      <c r="BJ142" s="659">
        <v>0</v>
      </c>
      <c r="BK142" s="659">
        <v>45863</v>
      </c>
      <c r="BL142" s="659">
        <v>45</v>
      </c>
      <c r="BM142" s="659">
        <v>0</v>
      </c>
      <c r="BN142" s="659">
        <v>0</v>
      </c>
      <c r="BO142" s="659">
        <v>9215</v>
      </c>
      <c r="BP142" s="659">
        <v>0</v>
      </c>
      <c r="BQ142" s="659">
        <v>0</v>
      </c>
      <c r="BR142" s="659">
        <v>9055</v>
      </c>
      <c r="BS142" s="659">
        <v>13</v>
      </c>
      <c r="BT142" s="659">
        <v>0</v>
      </c>
      <c r="BU142" s="659">
        <v>0</v>
      </c>
      <c r="BV142" s="659">
        <v>1420</v>
      </c>
      <c r="BW142" s="659">
        <v>0</v>
      </c>
      <c r="BX142" s="659">
        <v>0</v>
      </c>
      <c r="BY142" s="659">
        <v>1420</v>
      </c>
      <c r="BZ142" s="659">
        <v>495</v>
      </c>
      <c r="CA142" s="659">
        <v>0</v>
      </c>
      <c r="CB142" s="659">
        <v>0</v>
      </c>
      <c r="CC142" s="659">
        <v>158801</v>
      </c>
      <c r="CD142" s="659">
        <v>0</v>
      </c>
      <c r="CE142" s="659">
        <v>0</v>
      </c>
      <c r="CF142" s="659">
        <v>156684</v>
      </c>
      <c r="CG142" s="659">
        <v>307</v>
      </c>
      <c r="CH142" s="659">
        <v>0</v>
      </c>
      <c r="CI142" s="659">
        <v>0</v>
      </c>
      <c r="CJ142" s="659">
        <v>58330</v>
      </c>
      <c r="CK142" s="659">
        <v>0</v>
      </c>
      <c r="CL142" s="659">
        <v>0</v>
      </c>
      <c r="CM142" s="659">
        <v>49820</v>
      </c>
      <c r="CN142" s="659">
        <v>1628</v>
      </c>
      <c r="CO142" s="659">
        <v>0</v>
      </c>
      <c r="CP142" s="659">
        <v>0</v>
      </c>
      <c r="CQ142" s="659">
        <v>409490</v>
      </c>
      <c r="CR142" s="659">
        <v>0</v>
      </c>
      <c r="CS142" s="659">
        <v>0</v>
      </c>
      <c r="CT142" s="659">
        <v>409490</v>
      </c>
      <c r="CU142" s="659">
        <v>105</v>
      </c>
      <c r="CV142" s="659">
        <v>0</v>
      </c>
      <c r="CW142" s="659">
        <v>0</v>
      </c>
      <c r="CX142" s="659">
        <v>20850</v>
      </c>
      <c r="CY142" s="659">
        <v>0</v>
      </c>
      <c r="CZ142" s="659">
        <v>0</v>
      </c>
      <c r="DA142" s="659">
        <v>20850</v>
      </c>
      <c r="DB142" s="659">
        <v>938</v>
      </c>
      <c r="DC142" s="659">
        <v>0</v>
      </c>
      <c r="DD142" s="659">
        <v>0</v>
      </c>
      <c r="DE142" s="659">
        <v>291910</v>
      </c>
      <c r="DF142" s="659">
        <v>0</v>
      </c>
      <c r="DG142" s="659">
        <v>0</v>
      </c>
      <c r="DH142" s="659">
        <v>282087</v>
      </c>
      <c r="DI142" s="659">
        <v>3245</v>
      </c>
      <c r="DJ142" s="659">
        <v>0</v>
      </c>
      <c r="DK142" s="659">
        <v>0</v>
      </c>
      <c r="DL142" s="659">
        <v>611675</v>
      </c>
      <c r="DM142" s="659">
        <v>0</v>
      </c>
      <c r="DN142" s="659">
        <v>0</v>
      </c>
      <c r="DO142" s="659">
        <v>592310</v>
      </c>
      <c r="DP142" s="659">
        <v>391</v>
      </c>
      <c r="DQ142" s="659">
        <v>0</v>
      </c>
      <c r="DR142" s="659">
        <v>0</v>
      </c>
      <c r="DS142" s="659">
        <v>90409</v>
      </c>
      <c r="DT142" s="659">
        <v>0</v>
      </c>
      <c r="DU142" s="659">
        <v>0</v>
      </c>
      <c r="DV142" s="659">
        <v>90106</v>
      </c>
      <c r="DW142" s="659">
        <v>187</v>
      </c>
      <c r="DX142" s="659">
        <v>0</v>
      </c>
      <c r="DY142" s="659">
        <v>0</v>
      </c>
      <c r="DZ142" s="659">
        <v>28080</v>
      </c>
      <c r="EA142" s="659">
        <v>0</v>
      </c>
      <c r="EB142" s="659">
        <v>0</v>
      </c>
      <c r="EC142" s="659">
        <v>27625</v>
      </c>
      <c r="ED142" s="659">
        <v>502</v>
      </c>
      <c r="EE142" s="659">
        <v>0</v>
      </c>
      <c r="EF142" s="659">
        <v>0</v>
      </c>
      <c r="EG142" s="659">
        <v>88300</v>
      </c>
      <c r="EH142" s="659">
        <v>0</v>
      </c>
      <c r="EI142" s="659">
        <v>0</v>
      </c>
      <c r="EJ142" s="659">
        <v>86300</v>
      </c>
      <c r="EK142" s="659">
        <v>116</v>
      </c>
      <c r="EL142" s="659">
        <v>0</v>
      </c>
      <c r="EM142" s="659">
        <v>0</v>
      </c>
      <c r="EN142" s="659">
        <v>33024</v>
      </c>
      <c r="EO142" s="659">
        <v>0</v>
      </c>
      <c r="EP142" s="659">
        <v>0</v>
      </c>
      <c r="EQ142" s="659">
        <v>33024</v>
      </c>
    </row>
    <row r="143" spans="1:147" ht="13.95" customHeight="1" x14ac:dyDescent="0.3">
      <c r="A143" s="657" t="s">
        <v>1799</v>
      </c>
      <c r="B143" s="658" t="s">
        <v>269</v>
      </c>
      <c r="C143" s="659">
        <v>651</v>
      </c>
      <c r="D143" s="659">
        <v>0</v>
      </c>
      <c r="E143" s="659">
        <v>0</v>
      </c>
      <c r="F143" s="659">
        <v>141934</v>
      </c>
      <c r="G143" s="659">
        <v>0</v>
      </c>
      <c r="H143" s="659">
        <v>0</v>
      </c>
      <c r="I143" s="659">
        <v>132186</v>
      </c>
      <c r="J143" s="801">
        <v>0</v>
      </c>
      <c r="K143" s="659">
        <v>0</v>
      </c>
      <c r="L143" s="659">
        <v>0</v>
      </c>
      <c r="M143" s="659">
        <v>0</v>
      </c>
      <c r="N143" s="659">
        <v>0</v>
      </c>
      <c r="O143" s="659">
        <v>0</v>
      </c>
      <c r="P143" s="659">
        <v>0</v>
      </c>
      <c r="Q143" s="801">
        <v>0</v>
      </c>
      <c r="R143" s="659">
        <v>0</v>
      </c>
      <c r="S143" s="659">
        <v>0</v>
      </c>
      <c r="T143" s="659">
        <v>0</v>
      </c>
      <c r="U143" s="659">
        <v>0</v>
      </c>
      <c r="V143" s="659">
        <v>0</v>
      </c>
      <c r="W143" s="801">
        <v>0</v>
      </c>
      <c r="X143" s="659">
        <v>0</v>
      </c>
      <c r="Y143" s="659">
        <v>0</v>
      </c>
      <c r="Z143" s="659">
        <v>0</v>
      </c>
      <c r="AA143" s="659">
        <v>0</v>
      </c>
      <c r="AB143" s="659">
        <v>0</v>
      </c>
      <c r="AC143" s="659">
        <v>0</v>
      </c>
      <c r="AD143" s="801">
        <v>14</v>
      </c>
      <c r="AE143" s="659">
        <v>0</v>
      </c>
      <c r="AF143" s="659">
        <v>0</v>
      </c>
      <c r="AG143" s="659">
        <v>1171</v>
      </c>
      <c r="AH143" s="659">
        <v>0</v>
      </c>
      <c r="AI143" s="659">
        <v>0</v>
      </c>
      <c r="AJ143" s="659">
        <v>1171</v>
      </c>
      <c r="AK143" s="801">
        <v>0</v>
      </c>
      <c r="AL143" s="659">
        <v>0</v>
      </c>
      <c r="AM143" s="659">
        <v>0</v>
      </c>
      <c r="AN143" s="659">
        <v>0</v>
      </c>
      <c r="AO143" s="659">
        <v>0</v>
      </c>
      <c r="AP143" s="659">
        <v>0</v>
      </c>
      <c r="AQ143" s="801">
        <v>7</v>
      </c>
      <c r="AR143" s="659">
        <v>0</v>
      </c>
      <c r="AS143" s="659">
        <v>0</v>
      </c>
      <c r="AT143" s="659">
        <v>980</v>
      </c>
      <c r="AU143" s="659">
        <v>0</v>
      </c>
      <c r="AV143" s="659">
        <v>0</v>
      </c>
      <c r="AW143" s="659">
        <v>935</v>
      </c>
      <c r="AX143" s="659">
        <v>1</v>
      </c>
      <c r="AY143" s="659">
        <v>0</v>
      </c>
      <c r="AZ143" s="659">
        <v>0</v>
      </c>
      <c r="BA143" s="659">
        <v>170</v>
      </c>
      <c r="BB143" s="659">
        <v>0</v>
      </c>
      <c r="BC143" s="659">
        <v>0</v>
      </c>
      <c r="BD143" s="659">
        <v>170</v>
      </c>
      <c r="BE143" s="801">
        <v>5</v>
      </c>
      <c r="BF143" s="659">
        <v>0</v>
      </c>
      <c r="BG143" s="659">
        <v>0</v>
      </c>
      <c r="BH143" s="659">
        <v>514</v>
      </c>
      <c r="BI143" s="659">
        <v>0</v>
      </c>
      <c r="BJ143" s="659">
        <v>0</v>
      </c>
      <c r="BK143" s="659">
        <v>514</v>
      </c>
      <c r="BL143" s="659">
        <v>44</v>
      </c>
      <c r="BM143" s="659">
        <v>0</v>
      </c>
      <c r="BN143" s="659">
        <v>0</v>
      </c>
      <c r="BO143" s="659">
        <v>3672</v>
      </c>
      <c r="BP143" s="659">
        <v>0</v>
      </c>
      <c r="BQ143" s="659">
        <v>0</v>
      </c>
      <c r="BR143" s="659">
        <v>3649</v>
      </c>
      <c r="BS143" s="659">
        <v>0</v>
      </c>
      <c r="BT143" s="659">
        <v>0</v>
      </c>
      <c r="BU143" s="659">
        <v>0</v>
      </c>
      <c r="BV143" s="659">
        <v>0</v>
      </c>
      <c r="BW143" s="659">
        <v>0</v>
      </c>
      <c r="BX143" s="659">
        <v>0</v>
      </c>
      <c r="BY143" s="659">
        <v>0</v>
      </c>
      <c r="BZ143" s="659">
        <v>0</v>
      </c>
      <c r="CA143" s="659">
        <v>0</v>
      </c>
      <c r="CB143" s="659">
        <v>0</v>
      </c>
      <c r="CC143" s="659">
        <v>0</v>
      </c>
      <c r="CD143" s="659">
        <v>0</v>
      </c>
      <c r="CE143" s="659">
        <v>0</v>
      </c>
      <c r="CF143" s="659">
        <v>0</v>
      </c>
      <c r="CG143" s="659">
        <v>230</v>
      </c>
      <c r="CH143" s="659">
        <v>0</v>
      </c>
      <c r="CI143" s="659">
        <v>0</v>
      </c>
      <c r="CJ143" s="659">
        <v>84260</v>
      </c>
      <c r="CK143" s="659">
        <v>0</v>
      </c>
      <c r="CL143" s="659">
        <v>0</v>
      </c>
      <c r="CM143" s="659">
        <v>75830</v>
      </c>
      <c r="CN143" s="659">
        <v>0</v>
      </c>
      <c r="CO143" s="659">
        <v>0</v>
      </c>
      <c r="CP143" s="659">
        <v>0</v>
      </c>
      <c r="CQ143" s="659">
        <v>0</v>
      </c>
      <c r="CR143" s="659">
        <v>0</v>
      </c>
      <c r="CS143" s="659">
        <v>0</v>
      </c>
      <c r="CT143" s="659">
        <v>0</v>
      </c>
      <c r="CU143" s="659">
        <v>0</v>
      </c>
      <c r="CV143" s="659">
        <v>0</v>
      </c>
      <c r="CW143" s="659">
        <v>0</v>
      </c>
      <c r="CX143" s="659">
        <v>0</v>
      </c>
      <c r="CY143" s="659">
        <v>0</v>
      </c>
      <c r="CZ143" s="659">
        <v>0</v>
      </c>
      <c r="DA143" s="659">
        <v>0</v>
      </c>
      <c r="DB143" s="659">
        <v>16</v>
      </c>
      <c r="DC143" s="659">
        <v>0</v>
      </c>
      <c r="DD143" s="659">
        <v>0</v>
      </c>
      <c r="DE143" s="659">
        <v>2550</v>
      </c>
      <c r="DF143" s="659">
        <v>0</v>
      </c>
      <c r="DG143" s="659">
        <v>0</v>
      </c>
      <c r="DH143" s="659">
        <v>2550</v>
      </c>
      <c r="DI143" s="659">
        <v>199</v>
      </c>
      <c r="DJ143" s="659">
        <v>0</v>
      </c>
      <c r="DK143" s="659">
        <v>0</v>
      </c>
      <c r="DL143" s="659">
        <v>33640</v>
      </c>
      <c r="DM143" s="659">
        <v>0</v>
      </c>
      <c r="DN143" s="659">
        <v>0</v>
      </c>
      <c r="DO143" s="659">
        <v>32540</v>
      </c>
      <c r="DP143" s="659">
        <v>0</v>
      </c>
      <c r="DQ143" s="659">
        <v>0</v>
      </c>
      <c r="DR143" s="659">
        <v>0</v>
      </c>
      <c r="DS143" s="659">
        <v>0</v>
      </c>
      <c r="DT143" s="659">
        <v>0</v>
      </c>
      <c r="DU143" s="659">
        <v>0</v>
      </c>
      <c r="DV143" s="659">
        <v>0</v>
      </c>
      <c r="DW143" s="659">
        <v>0</v>
      </c>
      <c r="DX143" s="659">
        <v>0</v>
      </c>
      <c r="DY143" s="659">
        <v>0</v>
      </c>
      <c r="DZ143" s="659">
        <v>0</v>
      </c>
      <c r="EA143" s="659">
        <v>0</v>
      </c>
      <c r="EB143" s="659">
        <v>0</v>
      </c>
      <c r="EC143" s="659">
        <v>0</v>
      </c>
      <c r="ED143" s="659">
        <v>27</v>
      </c>
      <c r="EE143" s="659">
        <v>0</v>
      </c>
      <c r="EF143" s="659">
        <v>0</v>
      </c>
      <c r="EG143" s="659">
        <v>2720</v>
      </c>
      <c r="EH143" s="659">
        <v>0</v>
      </c>
      <c r="EI143" s="659">
        <v>0</v>
      </c>
      <c r="EJ143" s="659">
        <v>2570</v>
      </c>
      <c r="EK143" s="659">
        <v>108</v>
      </c>
      <c r="EL143" s="659">
        <v>0</v>
      </c>
      <c r="EM143" s="659">
        <v>0</v>
      </c>
      <c r="EN143" s="659">
        <v>12257</v>
      </c>
      <c r="EO143" s="659">
        <v>0</v>
      </c>
      <c r="EP143" s="659">
        <v>0</v>
      </c>
      <c r="EQ143" s="659">
        <v>12257</v>
      </c>
    </row>
    <row r="144" spans="1:147" ht="13.95" customHeight="1" x14ac:dyDescent="0.3">
      <c r="A144" s="657" t="s">
        <v>1800</v>
      </c>
      <c r="B144" s="658" t="s">
        <v>269</v>
      </c>
      <c r="C144" s="659">
        <v>5801</v>
      </c>
      <c r="D144" s="659">
        <v>0</v>
      </c>
      <c r="E144" s="659">
        <v>0</v>
      </c>
      <c r="F144" s="659">
        <v>877223</v>
      </c>
      <c r="G144" s="659">
        <v>0</v>
      </c>
      <c r="H144" s="659">
        <v>0</v>
      </c>
      <c r="I144" s="659">
        <v>848019</v>
      </c>
      <c r="J144" s="801">
        <v>251</v>
      </c>
      <c r="K144" s="659">
        <v>0</v>
      </c>
      <c r="L144" s="659">
        <v>0</v>
      </c>
      <c r="M144" s="659">
        <v>24660</v>
      </c>
      <c r="N144" s="659">
        <v>0</v>
      </c>
      <c r="O144" s="659">
        <v>0</v>
      </c>
      <c r="P144" s="659">
        <v>23660</v>
      </c>
      <c r="Q144" s="801">
        <v>0</v>
      </c>
      <c r="R144" s="659">
        <v>0</v>
      </c>
      <c r="S144" s="659">
        <v>0</v>
      </c>
      <c r="T144" s="659">
        <v>0</v>
      </c>
      <c r="U144" s="659">
        <v>0</v>
      </c>
      <c r="V144" s="659">
        <v>0</v>
      </c>
      <c r="W144" s="801">
        <v>4</v>
      </c>
      <c r="X144" s="659">
        <v>0</v>
      </c>
      <c r="Y144" s="659">
        <v>0</v>
      </c>
      <c r="Z144" s="659">
        <v>520</v>
      </c>
      <c r="AA144" s="659">
        <v>0</v>
      </c>
      <c r="AB144" s="659">
        <v>0</v>
      </c>
      <c r="AC144" s="659">
        <v>520</v>
      </c>
      <c r="AD144" s="801">
        <v>186</v>
      </c>
      <c r="AE144" s="659">
        <v>0</v>
      </c>
      <c r="AF144" s="659">
        <v>0</v>
      </c>
      <c r="AG144" s="659">
        <v>30815</v>
      </c>
      <c r="AH144" s="659">
        <v>0</v>
      </c>
      <c r="AI144" s="659">
        <v>0</v>
      </c>
      <c r="AJ144" s="659">
        <v>30815</v>
      </c>
      <c r="AK144" s="801">
        <v>3</v>
      </c>
      <c r="AL144" s="659">
        <v>0</v>
      </c>
      <c r="AM144" s="659">
        <v>310</v>
      </c>
      <c r="AN144" s="659">
        <v>0</v>
      </c>
      <c r="AO144" s="659">
        <v>0</v>
      </c>
      <c r="AP144" s="659">
        <v>310</v>
      </c>
      <c r="AQ144" s="801">
        <v>79</v>
      </c>
      <c r="AR144" s="659">
        <v>0</v>
      </c>
      <c r="AS144" s="659">
        <v>0</v>
      </c>
      <c r="AT144" s="659">
        <v>17420</v>
      </c>
      <c r="AU144" s="659">
        <v>0</v>
      </c>
      <c r="AV144" s="659">
        <v>0</v>
      </c>
      <c r="AW144" s="659">
        <v>16790</v>
      </c>
      <c r="AX144" s="659">
        <v>0</v>
      </c>
      <c r="AY144" s="659">
        <v>0</v>
      </c>
      <c r="AZ144" s="659">
        <v>0</v>
      </c>
      <c r="BA144" s="659">
        <v>0</v>
      </c>
      <c r="BB144" s="659">
        <v>0</v>
      </c>
      <c r="BC144" s="659">
        <v>0</v>
      </c>
      <c r="BD144" s="659">
        <v>0</v>
      </c>
      <c r="BE144" s="801">
        <v>1313</v>
      </c>
      <c r="BF144" s="659">
        <v>0</v>
      </c>
      <c r="BG144" s="659">
        <v>0</v>
      </c>
      <c r="BH144" s="659">
        <v>256260</v>
      </c>
      <c r="BI144" s="659">
        <v>0</v>
      </c>
      <c r="BJ144" s="659">
        <v>0</v>
      </c>
      <c r="BK144" s="659">
        <v>256260</v>
      </c>
      <c r="BL144" s="659">
        <v>449</v>
      </c>
      <c r="BM144" s="659">
        <v>0</v>
      </c>
      <c r="BN144" s="659">
        <v>0</v>
      </c>
      <c r="BO144" s="659">
        <v>58900</v>
      </c>
      <c r="BP144" s="659">
        <v>0</v>
      </c>
      <c r="BQ144" s="659">
        <v>0</v>
      </c>
      <c r="BR144" s="659">
        <v>58030</v>
      </c>
      <c r="BS144" s="659">
        <v>0</v>
      </c>
      <c r="BT144" s="659">
        <v>0</v>
      </c>
      <c r="BU144" s="659">
        <v>0</v>
      </c>
      <c r="BV144" s="659">
        <v>0</v>
      </c>
      <c r="BW144" s="659">
        <v>0</v>
      </c>
      <c r="BX144" s="659">
        <v>0</v>
      </c>
      <c r="BY144" s="659">
        <v>0</v>
      </c>
      <c r="BZ144" s="659">
        <v>531</v>
      </c>
      <c r="CA144" s="659">
        <v>0</v>
      </c>
      <c r="CB144" s="659">
        <v>0</v>
      </c>
      <c r="CC144" s="659">
        <v>84562</v>
      </c>
      <c r="CD144" s="659">
        <v>0</v>
      </c>
      <c r="CE144" s="659">
        <v>0</v>
      </c>
      <c r="CF144" s="659">
        <v>82696</v>
      </c>
      <c r="CG144" s="659">
        <v>654</v>
      </c>
      <c r="CH144" s="659">
        <v>0</v>
      </c>
      <c r="CI144" s="659">
        <v>0</v>
      </c>
      <c r="CJ144" s="659">
        <v>113890</v>
      </c>
      <c r="CK144" s="659">
        <v>0</v>
      </c>
      <c r="CL144" s="659">
        <v>0</v>
      </c>
      <c r="CM144" s="659">
        <v>96485</v>
      </c>
      <c r="CN144" s="659">
        <v>523</v>
      </c>
      <c r="CO144" s="659">
        <v>0</v>
      </c>
      <c r="CP144" s="659">
        <v>0</v>
      </c>
      <c r="CQ144" s="659">
        <v>78286</v>
      </c>
      <c r="CR144" s="659">
        <v>0</v>
      </c>
      <c r="CS144" s="659">
        <v>0</v>
      </c>
      <c r="CT144" s="659">
        <v>78286</v>
      </c>
      <c r="CU144" s="659">
        <v>122</v>
      </c>
      <c r="CV144" s="659">
        <v>0</v>
      </c>
      <c r="CW144" s="659">
        <v>0</v>
      </c>
      <c r="CX144" s="659">
        <v>21960</v>
      </c>
      <c r="CY144" s="659">
        <v>0</v>
      </c>
      <c r="CZ144" s="659">
        <v>0</v>
      </c>
      <c r="DA144" s="659">
        <v>21960</v>
      </c>
      <c r="DB144" s="659">
        <v>390</v>
      </c>
      <c r="DC144" s="659">
        <v>0</v>
      </c>
      <c r="DD144" s="659">
        <v>0</v>
      </c>
      <c r="DE144" s="659">
        <v>54750</v>
      </c>
      <c r="DF144" s="659">
        <v>0</v>
      </c>
      <c r="DG144" s="659">
        <v>0</v>
      </c>
      <c r="DH144" s="659">
        <v>52767</v>
      </c>
      <c r="DI144" s="659">
        <v>1040</v>
      </c>
      <c r="DJ144" s="659">
        <v>0</v>
      </c>
      <c r="DK144" s="659">
        <v>0</v>
      </c>
      <c r="DL144" s="659">
        <v>117400</v>
      </c>
      <c r="DM144" s="659">
        <v>0</v>
      </c>
      <c r="DN144" s="659">
        <v>0</v>
      </c>
      <c r="DO144" s="659">
        <v>112225</v>
      </c>
      <c r="DP144" s="659">
        <v>0</v>
      </c>
      <c r="DQ144" s="659">
        <v>0</v>
      </c>
      <c r="DR144" s="659">
        <v>0</v>
      </c>
      <c r="DS144" s="659">
        <v>0</v>
      </c>
      <c r="DT144" s="659">
        <v>0</v>
      </c>
      <c r="DU144" s="659">
        <v>0</v>
      </c>
      <c r="DV144" s="659">
        <v>0</v>
      </c>
      <c r="DW144" s="659">
        <v>43</v>
      </c>
      <c r="DX144" s="659">
        <v>0</v>
      </c>
      <c r="DY144" s="659">
        <v>0</v>
      </c>
      <c r="DZ144" s="659">
        <v>4500</v>
      </c>
      <c r="EA144" s="659">
        <v>0</v>
      </c>
      <c r="EB144" s="659">
        <v>0</v>
      </c>
      <c r="EC144" s="659">
        <v>4400</v>
      </c>
      <c r="ED144" s="659">
        <v>213</v>
      </c>
      <c r="EE144" s="659">
        <v>0</v>
      </c>
      <c r="EF144" s="659">
        <v>0</v>
      </c>
      <c r="EG144" s="659">
        <v>12990</v>
      </c>
      <c r="EH144" s="659">
        <v>0</v>
      </c>
      <c r="EI144" s="659">
        <v>0</v>
      </c>
      <c r="EJ144" s="659">
        <v>12815</v>
      </c>
      <c r="EK144" s="659">
        <v>0</v>
      </c>
      <c r="EL144" s="659">
        <v>0</v>
      </c>
      <c r="EM144" s="659">
        <v>0</v>
      </c>
      <c r="EN144" s="659">
        <v>0</v>
      </c>
      <c r="EO144" s="659">
        <v>0</v>
      </c>
      <c r="EP144" s="659">
        <v>0</v>
      </c>
      <c r="EQ144" s="659">
        <v>0</v>
      </c>
    </row>
    <row r="145" spans="1:147" ht="20.7" customHeight="1" x14ac:dyDescent="0.3">
      <c r="A145" s="657" t="s">
        <v>1801</v>
      </c>
      <c r="B145" s="658" t="s">
        <v>269</v>
      </c>
      <c r="C145" s="659">
        <v>2448</v>
      </c>
      <c r="D145" s="659">
        <v>0</v>
      </c>
      <c r="E145" s="659">
        <v>0</v>
      </c>
      <c r="F145" s="659">
        <v>522521</v>
      </c>
      <c r="G145" s="659">
        <v>0</v>
      </c>
      <c r="H145" s="659">
        <v>0</v>
      </c>
      <c r="I145" s="659">
        <v>496431</v>
      </c>
      <c r="J145" s="801">
        <v>55</v>
      </c>
      <c r="K145" s="659">
        <v>0</v>
      </c>
      <c r="L145" s="659">
        <v>0</v>
      </c>
      <c r="M145" s="659">
        <v>12274</v>
      </c>
      <c r="N145" s="659">
        <v>0</v>
      </c>
      <c r="O145" s="659">
        <v>0</v>
      </c>
      <c r="P145" s="659">
        <v>12274</v>
      </c>
      <c r="Q145" s="801">
        <v>0</v>
      </c>
      <c r="R145" s="659">
        <v>0</v>
      </c>
      <c r="S145" s="659">
        <v>0</v>
      </c>
      <c r="T145" s="659">
        <v>0</v>
      </c>
      <c r="U145" s="659">
        <v>0</v>
      </c>
      <c r="V145" s="659">
        <v>0</v>
      </c>
      <c r="W145" s="801">
        <v>65</v>
      </c>
      <c r="X145" s="659">
        <v>0</v>
      </c>
      <c r="Y145" s="659">
        <v>0</v>
      </c>
      <c r="Z145" s="659">
        <v>12338</v>
      </c>
      <c r="AA145" s="659">
        <v>0</v>
      </c>
      <c r="AB145" s="659">
        <v>0</v>
      </c>
      <c r="AC145" s="659">
        <v>11318</v>
      </c>
      <c r="AD145" s="801">
        <v>53</v>
      </c>
      <c r="AE145" s="659">
        <v>0</v>
      </c>
      <c r="AF145" s="659">
        <v>0</v>
      </c>
      <c r="AG145" s="659">
        <v>15520</v>
      </c>
      <c r="AH145" s="659">
        <v>0</v>
      </c>
      <c r="AI145" s="659">
        <v>0</v>
      </c>
      <c r="AJ145" s="659">
        <v>15520</v>
      </c>
      <c r="AK145" s="801">
        <v>4</v>
      </c>
      <c r="AL145" s="659">
        <v>0</v>
      </c>
      <c r="AM145" s="659">
        <v>800</v>
      </c>
      <c r="AN145" s="659">
        <v>0</v>
      </c>
      <c r="AO145" s="659">
        <v>0</v>
      </c>
      <c r="AP145" s="659">
        <v>800</v>
      </c>
      <c r="AQ145" s="801">
        <v>39</v>
      </c>
      <c r="AR145" s="659">
        <v>0</v>
      </c>
      <c r="AS145" s="659">
        <v>0</v>
      </c>
      <c r="AT145" s="659">
        <v>11590</v>
      </c>
      <c r="AU145" s="659">
        <v>0</v>
      </c>
      <c r="AV145" s="659">
        <v>0</v>
      </c>
      <c r="AW145" s="659">
        <v>10940</v>
      </c>
      <c r="AX145" s="659">
        <v>0</v>
      </c>
      <c r="AY145" s="659">
        <v>0</v>
      </c>
      <c r="AZ145" s="659">
        <v>0</v>
      </c>
      <c r="BA145" s="659">
        <v>0</v>
      </c>
      <c r="BB145" s="659">
        <v>0</v>
      </c>
      <c r="BC145" s="659">
        <v>0</v>
      </c>
      <c r="BD145" s="659">
        <v>0</v>
      </c>
      <c r="BE145" s="801">
        <v>121</v>
      </c>
      <c r="BF145" s="659">
        <v>0</v>
      </c>
      <c r="BG145" s="659">
        <v>0</v>
      </c>
      <c r="BH145" s="659">
        <v>34621</v>
      </c>
      <c r="BI145" s="659">
        <v>0</v>
      </c>
      <c r="BJ145" s="659">
        <v>0</v>
      </c>
      <c r="BK145" s="659">
        <v>34621</v>
      </c>
      <c r="BL145" s="659">
        <v>108</v>
      </c>
      <c r="BM145" s="659">
        <v>0</v>
      </c>
      <c r="BN145" s="659">
        <v>0</v>
      </c>
      <c r="BO145" s="659">
        <v>21219</v>
      </c>
      <c r="BP145" s="659">
        <v>0</v>
      </c>
      <c r="BQ145" s="659">
        <v>0</v>
      </c>
      <c r="BR145" s="659">
        <v>20310</v>
      </c>
      <c r="BS145" s="659">
        <v>20</v>
      </c>
      <c r="BT145" s="659">
        <v>0</v>
      </c>
      <c r="BU145" s="659">
        <v>0</v>
      </c>
      <c r="BV145" s="659">
        <v>6200</v>
      </c>
      <c r="BW145" s="659">
        <v>0</v>
      </c>
      <c r="BX145" s="659">
        <v>0</v>
      </c>
      <c r="BY145" s="659">
        <v>6200</v>
      </c>
      <c r="BZ145" s="659">
        <v>87</v>
      </c>
      <c r="CA145" s="659">
        <v>0</v>
      </c>
      <c r="CB145" s="659">
        <v>0</v>
      </c>
      <c r="CC145" s="659">
        <v>17503</v>
      </c>
      <c r="CD145" s="659">
        <v>0</v>
      </c>
      <c r="CE145" s="659">
        <v>0</v>
      </c>
      <c r="CF145" s="659">
        <v>17168</v>
      </c>
      <c r="CG145" s="659">
        <v>363</v>
      </c>
      <c r="CH145" s="659">
        <v>0</v>
      </c>
      <c r="CI145" s="659">
        <v>0</v>
      </c>
      <c r="CJ145" s="659">
        <v>65500</v>
      </c>
      <c r="CK145" s="659">
        <v>0</v>
      </c>
      <c r="CL145" s="659">
        <v>0</v>
      </c>
      <c r="CM145" s="659">
        <v>53350</v>
      </c>
      <c r="CN145" s="659">
        <v>391</v>
      </c>
      <c r="CO145" s="659">
        <v>0</v>
      </c>
      <c r="CP145" s="659">
        <v>0</v>
      </c>
      <c r="CQ145" s="659">
        <v>99805</v>
      </c>
      <c r="CR145" s="659">
        <v>0</v>
      </c>
      <c r="CS145" s="659">
        <v>0</v>
      </c>
      <c r="CT145" s="659">
        <v>94905</v>
      </c>
      <c r="CU145" s="659">
        <v>0</v>
      </c>
      <c r="CV145" s="659">
        <v>0</v>
      </c>
      <c r="CW145" s="659">
        <v>0</v>
      </c>
      <c r="CX145" s="659">
        <v>0</v>
      </c>
      <c r="CY145" s="659">
        <v>0</v>
      </c>
      <c r="CZ145" s="659">
        <v>0</v>
      </c>
      <c r="DA145" s="659">
        <v>0</v>
      </c>
      <c r="DB145" s="659">
        <v>127</v>
      </c>
      <c r="DC145" s="659">
        <v>0</v>
      </c>
      <c r="DD145" s="659">
        <v>0</v>
      </c>
      <c r="DE145" s="659">
        <v>34100</v>
      </c>
      <c r="DF145" s="659">
        <v>0</v>
      </c>
      <c r="DG145" s="659">
        <v>0</v>
      </c>
      <c r="DH145" s="659">
        <v>32100</v>
      </c>
      <c r="DI145" s="659">
        <v>715</v>
      </c>
      <c r="DJ145" s="659">
        <v>0</v>
      </c>
      <c r="DK145" s="659">
        <v>0</v>
      </c>
      <c r="DL145" s="659">
        <v>141600</v>
      </c>
      <c r="DM145" s="659">
        <v>0</v>
      </c>
      <c r="DN145" s="659">
        <v>0</v>
      </c>
      <c r="DO145" s="659">
        <v>138095</v>
      </c>
      <c r="DP145" s="659">
        <v>113</v>
      </c>
      <c r="DQ145" s="659">
        <v>0</v>
      </c>
      <c r="DR145" s="659">
        <v>0</v>
      </c>
      <c r="DS145" s="659">
        <v>21876</v>
      </c>
      <c r="DT145" s="659">
        <v>0</v>
      </c>
      <c r="DU145" s="659">
        <v>0</v>
      </c>
      <c r="DV145" s="659">
        <v>21755</v>
      </c>
      <c r="DW145" s="659">
        <v>78</v>
      </c>
      <c r="DX145" s="659">
        <v>0</v>
      </c>
      <c r="DY145" s="659">
        <v>0</v>
      </c>
      <c r="DZ145" s="659">
        <v>10750</v>
      </c>
      <c r="EA145" s="659">
        <v>0</v>
      </c>
      <c r="EB145" s="659">
        <v>0</v>
      </c>
      <c r="EC145" s="659">
        <v>10250</v>
      </c>
      <c r="ED145" s="659">
        <v>79</v>
      </c>
      <c r="EE145" s="659">
        <v>0</v>
      </c>
      <c r="EF145" s="659">
        <v>0</v>
      </c>
      <c r="EG145" s="659">
        <v>8675</v>
      </c>
      <c r="EH145" s="659">
        <v>0</v>
      </c>
      <c r="EI145" s="659">
        <v>0</v>
      </c>
      <c r="EJ145" s="659">
        <v>8675</v>
      </c>
      <c r="EK145" s="659">
        <v>30</v>
      </c>
      <c r="EL145" s="659">
        <v>0</v>
      </c>
      <c r="EM145" s="659">
        <v>0</v>
      </c>
      <c r="EN145" s="659">
        <v>8150</v>
      </c>
      <c r="EO145" s="659">
        <v>0</v>
      </c>
      <c r="EP145" s="659">
        <v>0</v>
      </c>
      <c r="EQ145" s="659">
        <v>8150</v>
      </c>
    </row>
    <row r="146" spans="1:147" ht="13.95" customHeight="1" x14ac:dyDescent="0.3">
      <c r="A146" s="657" t="s">
        <v>1802</v>
      </c>
      <c r="B146" s="658" t="s">
        <v>269</v>
      </c>
      <c r="C146" s="659">
        <v>5607</v>
      </c>
      <c r="D146" s="659">
        <v>0</v>
      </c>
      <c r="E146" s="659">
        <v>0</v>
      </c>
      <c r="F146" s="659">
        <v>989309</v>
      </c>
      <c r="G146" s="659">
        <v>0</v>
      </c>
      <c r="H146" s="659">
        <v>0</v>
      </c>
      <c r="I146" s="659">
        <v>946125</v>
      </c>
      <c r="J146" s="801">
        <v>0</v>
      </c>
      <c r="K146" s="659">
        <v>0</v>
      </c>
      <c r="L146" s="659">
        <v>0</v>
      </c>
      <c r="M146" s="659">
        <v>0</v>
      </c>
      <c r="N146" s="659">
        <v>0</v>
      </c>
      <c r="O146" s="659">
        <v>0</v>
      </c>
      <c r="P146" s="659">
        <v>0</v>
      </c>
      <c r="Q146" s="801">
        <v>0</v>
      </c>
      <c r="R146" s="659">
        <v>0</v>
      </c>
      <c r="S146" s="659">
        <v>0</v>
      </c>
      <c r="T146" s="659">
        <v>0</v>
      </c>
      <c r="U146" s="659">
        <v>0</v>
      </c>
      <c r="V146" s="659">
        <v>0</v>
      </c>
      <c r="W146" s="801">
        <v>110</v>
      </c>
      <c r="X146" s="659">
        <v>0</v>
      </c>
      <c r="Y146" s="659">
        <v>0</v>
      </c>
      <c r="Z146" s="659">
        <v>17483</v>
      </c>
      <c r="AA146" s="659">
        <v>0</v>
      </c>
      <c r="AB146" s="659">
        <v>0</v>
      </c>
      <c r="AC146" s="659">
        <v>17483</v>
      </c>
      <c r="AD146" s="801">
        <v>2</v>
      </c>
      <c r="AE146" s="659">
        <v>0</v>
      </c>
      <c r="AF146" s="659">
        <v>0</v>
      </c>
      <c r="AG146" s="659">
        <v>300</v>
      </c>
      <c r="AH146" s="659">
        <v>0</v>
      </c>
      <c r="AI146" s="659">
        <v>0</v>
      </c>
      <c r="AJ146" s="659">
        <v>300</v>
      </c>
      <c r="AK146" s="801">
        <v>0</v>
      </c>
      <c r="AL146" s="659">
        <v>0</v>
      </c>
      <c r="AM146" s="659">
        <v>0</v>
      </c>
      <c r="AN146" s="659">
        <v>0</v>
      </c>
      <c r="AO146" s="659">
        <v>0</v>
      </c>
      <c r="AP146" s="659">
        <v>0</v>
      </c>
      <c r="AQ146" s="801">
        <v>0</v>
      </c>
      <c r="AR146" s="659">
        <v>0</v>
      </c>
      <c r="AS146" s="659">
        <v>0</v>
      </c>
      <c r="AT146" s="659">
        <v>0</v>
      </c>
      <c r="AU146" s="659">
        <v>0</v>
      </c>
      <c r="AV146" s="659">
        <v>0</v>
      </c>
      <c r="AW146" s="659">
        <v>0</v>
      </c>
      <c r="AX146" s="659">
        <v>9</v>
      </c>
      <c r="AY146" s="659">
        <v>0</v>
      </c>
      <c r="AZ146" s="659">
        <v>0</v>
      </c>
      <c r="BA146" s="659">
        <v>1893</v>
      </c>
      <c r="BB146" s="659">
        <v>0</v>
      </c>
      <c r="BC146" s="659">
        <v>0</v>
      </c>
      <c r="BD146" s="659">
        <v>1820</v>
      </c>
      <c r="BE146" s="801">
        <v>26</v>
      </c>
      <c r="BF146" s="659">
        <v>0</v>
      </c>
      <c r="BG146" s="659">
        <v>0</v>
      </c>
      <c r="BH146" s="659">
        <v>4400</v>
      </c>
      <c r="BI146" s="659">
        <v>0</v>
      </c>
      <c r="BJ146" s="659">
        <v>0</v>
      </c>
      <c r="BK146" s="659">
        <v>4400</v>
      </c>
      <c r="BL146" s="659">
        <v>139</v>
      </c>
      <c r="BM146" s="659">
        <v>0</v>
      </c>
      <c r="BN146" s="659">
        <v>0</v>
      </c>
      <c r="BO146" s="659">
        <v>28493</v>
      </c>
      <c r="BP146" s="659">
        <v>0</v>
      </c>
      <c r="BQ146" s="659">
        <v>0</v>
      </c>
      <c r="BR146" s="659">
        <v>28074</v>
      </c>
      <c r="BS146" s="659">
        <v>6</v>
      </c>
      <c r="BT146" s="659">
        <v>0</v>
      </c>
      <c r="BU146" s="659">
        <v>0</v>
      </c>
      <c r="BV146" s="659">
        <v>990</v>
      </c>
      <c r="BW146" s="659">
        <v>0</v>
      </c>
      <c r="BX146" s="659">
        <v>0</v>
      </c>
      <c r="BY146" s="659">
        <v>990</v>
      </c>
      <c r="BZ146" s="659">
        <v>32</v>
      </c>
      <c r="CA146" s="659">
        <v>0</v>
      </c>
      <c r="CB146" s="659">
        <v>0</v>
      </c>
      <c r="CC146" s="659">
        <v>8084</v>
      </c>
      <c r="CD146" s="659">
        <v>0</v>
      </c>
      <c r="CE146" s="659">
        <v>0</v>
      </c>
      <c r="CF146" s="659">
        <v>7819</v>
      </c>
      <c r="CG146" s="659">
        <v>620</v>
      </c>
      <c r="CH146" s="659">
        <v>0</v>
      </c>
      <c r="CI146" s="659">
        <v>0</v>
      </c>
      <c r="CJ146" s="659">
        <v>217800</v>
      </c>
      <c r="CK146" s="659">
        <v>0</v>
      </c>
      <c r="CL146" s="659">
        <v>0</v>
      </c>
      <c r="CM146" s="659">
        <v>197300</v>
      </c>
      <c r="CN146" s="659">
        <v>70</v>
      </c>
      <c r="CO146" s="659">
        <v>0</v>
      </c>
      <c r="CP146" s="659">
        <v>0</v>
      </c>
      <c r="CQ146" s="659">
        <v>19000</v>
      </c>
      <c r="CR146" s="659">
        <v>0</v>
      </c>
      <c r="CS146" s="659">
        <v>0</v>
      </c>
      <c r="CT146" s="659">
        <v>17800</v>
      </c>
      <c r="CU146" s="659">
        <v>0</v>
      </c>
      <c r="CV146" s="659">
        <v>0</v>
      </c>
      <c r="CW146" s="659">
        <v>0</v>
      </c>
      <c r="CX146" s="659">
        <v>0</v>
      </c>
      <c r="CY146" s="659">
        <v>0</v>
      </c>
      <c r="CZ146" s="659">
        <v>0</v>
      </c>
      <c r="DA146" s="659">
        <v>0</v>
      </c>
      <c r="DB146" s="659">
        <v>177</v>
      </c>
      <c r="DC146" s="659">
        <v>0</v>
      </c>
      <c r="DD146" s="659">
        <v>0</v>
      </c>
      <c r="DE146" s="659">
        <v>28810</v>
      </c>
      <c r="DF146" s="659">
        <v>0</v>
      </c>
      <c r="DG146" s="659">
        <v>0</v>
      </c>
      <c r="DH146" s="659">
        <v>27382</v>
      </c>
      <c r="DI146" s="659">
        <v>2860</v>
      </c>
      <c r="DJ146" s="659">
        <v>0</v>
      </c>
      <c r="DK146" s="659">
        <v>0</v>
      </c>
      <c r="DL146" s="659">
        <v>421500</v>
      </c>
      <c r="DM146" s="659">
        <v>0</v>
      </c>
      <c r="DN146" s="659">
        <v>0</v>
      </c>
      <c r="DO146" s="659">
        <v>407200</v>
      </c>
      <c r="DP146" s="659">
        <v>228</v>
      </c>
      <c r="DQ146" s="659">
        <v>0</v>
      </c>
      <c r="DR146" s="659">
        <v>0</v>
      </c>
      <c r="DS146" s="659">
        <v>45386</v>
      </c>
      <c r="DT146" s="659">
        <v>0</v>
      </c>
      <c r="DU146" s="659">
        <v>0</v>
      </c>
      <c r="DV146" s="659">
        <v>44904</v>
      </c>
      <c r="DW146" s="659">
        <v>239</v>
      </c>
      <c r="DX146" s="659">
        <v>0</v>
      </c>
      <c r="DY146" s="659">
        <v>0</v>
      </c>
      <c r="DZ146" s="659">
        <v>41130</v>
      </c>
      <c r="EA146" s="659">
        <v>0</v>
      </c>
      <c r="EB146" s="659">
        <v>0</v>
      </c>
      <c r="EC146" s="659">
        <v>40110</v>
      </c>
      <c r="ED146" s="659">
        <v>971</v>
      </c>
      <c r="EE146" s="659">
        <v>0</v>
      </c>
      <c r="EF146" s="659">
        <v>0</v>
      </c>
      <c r="EG146" s="659">
        <v>132207</v>
      </c>
      <c r="EH146" s="659">
        <v>0</v>
      </c>
      <c r="EI146" s="659">
        <v>0</v>
      </c>
      <c r="EJ146" s="659">
        <v>128710</v>
      </c>
      <c r="EK146" s="659">
        <v>118</v>
      </c>
      <c r="EL146" s="659">
        <v>0</v>
      </c>
      <c r="EM146" s="659">
        <v>0</v>
      </c>
      <c r="EN146" s="659">
        <v>21833</v>
      </c>
      <c r="EO146" s="659">
        <v>0</v>
      </c>
      <c r="EP146" s="659">
        <v>0</v>
      </c>
      <c r="EQ146" s="659">
        <v>21833</v>
      </c>
    </row>
    <row r="147" spans="1:147" ht="13.95" customHeight="1" x14ac:dyDescent="0.3">
      <c r="A147" s="657" t="s">
        <v>1803</v>
      </c>
      <c r="B147" s="658" t="s">
        <v>269</v>
      </c>
      <c r="C147" s="659">
        <v>17324</v>
      </c>
      <c r="D147" s="659">
        <v>0</v>
      </c>
      <c r="E147" s="659">
        <v>0</v>
      </c>
      <c r="F147" s="659">
        <v>5497319</v>
      </c>
      <c r="G147" s="659">
        <v>0</v>
      </c>
      <c r="H147" s="659">
        <v>0</v>
      </c>
      <c r="I147" s="659">
        <v>5236670</v>
      </c>
      <c r="J147" s="801">
        <v>269</v>
      </c>
      <c r="K147" s="659">
        <v>0</v>
      </c>
      <c r="L147" s="659">
        <v>0</v>
      </c>
      <c r="M147" s="659">
        <v>123830</v>
      </c>
      <c r="N147" s="659">
        <v>0</v>
      </c>
      <c r="O147" s="659">
        <v>0</v>
      </c>
      <c r="P147" s="659">
        <v>123830</v>
      </c>
      <c r="Q147" s="801">
        <v>0</v>
      </c>
      <c r="R147" s="659">
        <v>0</v>
      </c>
      <c r="S147" s="659">
        <v>0</v>
      </c>
      <c r="T147" s="659">
        <v>0</v>
      </c>
      <c r="U147" s="659">
        <v>0</v>
      </c>
      <c r="V147" s="659">
        <v>0</v>
      </c>
      <c r="W147" s="801">
        <v>154</v>
      </c>
      <c r="X147" s="659">
        <v>0</v>
      </c>
      <c r="Y147" s="659">
        <v>0</v>
      </c>
      <c r="Z147" s="659">
        <v>43350</v>
      </c>
      <c r="AA147" s="659">
        <v>0</v>
      </c>
      <c r="AB147" s="659">
        <v>0</v>
      </c>
      <c r="AC147" s="659">
        <v>43150</v>
      </c>
      <c r="AD147" s="801">
        <v>76</v>
      </c>
      <c r="AE147" s="659">
        <v>0</v>
      </c>
      <c r="AF147" s="659">
        <v>0</v>
      </c>
      <c r="AG147" s="659">
        <v>32690</v>
      </c>
      <c r="AH147" s="659">
        <v>0</v>
      </c>
      <c r="AI147" s="659">
        <v>0</v>
      </c>
      <c r="AJ147" s="659">
        <v>32690</v>
      </c>
      <c r="AK147" s="801">
        <v>4</v>
      </c>
      <c r="AL147" s="659">
        <v>0</v>
      </c>
      <c r="AM147" s="659">
        <v>1300</v>
      </c>
      <c r="AN147" s="659">
        <v>0</v>
      </c>
      <c r="AO147" s="659">
        <v>0</v>
      </c>
      <c r="AP147" s="659">
        <v>1300</v>
      </c>
      <c r="AQ147" s="801">
        <v>41</v>
      </c>
      <c r="AR147" s="659">
        <v>0</v>
      </c>
      <c r="AS147" s="659">
        <v>0</v>
      </c>
      <c r="AT147" s="659">
        <v>12515</v>
      </c>
      <c r="AU147" s="659">
        <v>0</v>
      </c>
      <c r="AV147" s="659">
        <v>0</v>
      </c>
      <c r="AW147" s="659">
        <v>12040</v>
      </c>
      <c r="AX147" s="659">
        <v>13</v>
      </c>
      <c r="AY147" s="659">
        <v>0</v>
      </c>
      <c r="AZ147" s="659">
        <v>0</v>
      </c>
      <c r="BA147" s="659">
        <v>3668</v>
      </c>
      <c r="BB147" s="659">
        <v>0</v>
      </c>
      <c r="BC147" s="659">
        <v>0</v>
      </c>
      <c r="BD147" s="659">
        <v>3578</v>
      </c>
      <c r="BE147" s="801">
        <v>135</v>
      </c>
      <c r="BF147" s="659">
        <v>0</v>
      </c>
      <c r="BG147" s="659">
        <v>0</v>
      </c>
      <c r="BH147" s="659">
        <v>70575</v>
      </c>
      <c r="BI147" s="659">
        <v>0</v>
      </c>
      <c r="BJ147" s="659">
        <v>0</v>
      </c>
      <c r="BK147" s="659">
        <v>70575</v>
      </c>
      <c r="BL147" s="659">
        <v>386</v>
      </c>
      <c r="BM147" s="659">
        <v>0</v>
      </c>
      <c r="BN147" s="659">
        <v>0</v>
      </c>
      <c r="BO147" s="659">
        <v>142287</v>
      </c>
      <c r="BP147" s="659">
        <v>0</v>
      </c>
      <c r="BQ147" s="659">
        <v>0</v>
      </c>
      <c r="BR147" s="659">
        <v>138683</v>
      </c>
      <c r="BS147" s="659">
        <v>40</v>
      </c>
      <c r="BT147" s="659">
        <v>0</v>
      </c>
      <c r="BU147" s="659">
        <v>0</v>
      </c>
      <c r="BV147" s="659">
        <v>7100</v>
      </c>
      <c r="BW147" s="659">
        <v>0</v>
      </c>
      <c r="BX147" s="659">
        <v>0</v>
      </c>
      <c r="BY147" s="659">
        <v>7100</v>
      </c>
      <c r="BZ147" s="659">
        <v>160</v>
      </c>
      <c r="CA147" s="659">
        <v>0</v>
      </c>
      <c r="CB147" s="659">
        <v>0</v>
      </c>
      <c r="CC147" s="659">
        <v>91566</v>
      </c>
      <c r="CD147" s="659">
        <v>0</v>
      </c>
      <c r="CE147" s="659">
        <v>0</v>
      </c>
      <c r="CF147" s="659">
        <v>89115</v>
      </c>
      <c r="CG147" s="659">
        <v>1125</v>
      </c>
      <c r="CH147" s="659">
        <v>0</v>
      </c>
      <c r="CI147" s="659">
        <v>0</v>
      </c>
      <c r="CJ147" s="659">
        <v>459500</v>
      </c>
      <c r="CK147" s="659">
        <v>0</v>
      </c>
      <c r="CL147" s="659">
        <v>0</v>
      </c>
      <c r="CM147" s="659">
        <v>394000</v>
      </c>
      <c r="CN147" s="659">
        <v>1338</v>
      </c>
      <c r="CO147" s="659">
        <v>0</v>
      </c>
      <c r="CP147" s="659">
        <v>0</v>
      </c>
      <c r="CQ147" s="659">
        <v>540400</v>
      </c>
      <c r="CR147" s="659">
        <v>0</v>
      </c>
      <c r="CS147" s="659">
        <v>0</v>
      </c>
      <c r="CT147" s="659">
        <v>540150</v>
      </c>
      <c r="CU147" s="659">
        <v>25</v>
      </c>
      <c r="CV147" s="659">
        <v>0</v>
      </c>
      <c r="CW147" s="659">
        <v>0</v>
      </c>
      <c r="CX147" s="659">
        <v>4800</v>
      </c>
      <c r="CY147" s="659">
        <v>0</v>
      </c>
      <c r="CZ147" s="659">
        <v>0</v>
      </c>
      <c r="DA147" s="659">
        <v>4800</v>
      </c>
      <c r="DB147" s="659">
        <v>1071</v>
      </c>
      <c r="DC147" s="659">
        <v>0</v>
      </c>
      <c r="DD147" s="659">
        <v>0</v>
      </c>
      <c r="DE147" s="659">
        <v>591850</v>
      </c>
      <c r="DF147" s="659">
        <v>0</v>
      </c>
      <c r="DG147" s="659">
        <v>0</v>
      </c>
      <c r="DH147" s="659">
        <v>555324</v>
      </c>
      <c r="DI147" s="659">
        <v>2055</v>
      </c>
      <c r="DJ147" s="659">
        <v>0</v>
      </c>
      <c r="DK147" s="659">
        <v>0</v>
      </c>
      <c r="DL147" s="659">
        <v>1050000</v>
      </c>
      <c r="DM147" s="659">
        <v>0</v>
      </c>
      <c r="DN147" s="659">
        <v>0</v>
      </c>
      <c r="DO147" s="659">
        <v>1004370</v>
      </c>
      <c r="DP147" s="659">
        <v>884</v>
      </c>
      <c r="DQ147" s="659">
        <v>0</v>
      </c>
      <c r="DR147" s="659">
        <v>0</v>
      </c>
      <c r="DS147" s="659">
        <v>366001</v>
      </c>
      <c r="DT147" s="659">
        <v>0</v>
      </c>
      <c r="DU147" s="659">
        <v>0</v>
      </c>
      <c r="DV147" s="659">
        <v>365454</v>
      </c>
      <c r="DW147" s="659">
        <v>1892</v>
      </c>
      <c r="DX147" s="659">
        <v>0</v>
      </c>
      <c r="DY147" s="659">
        <v>0</v>
      </c>
      <c r="DZ147" s="659">
        <v>461945</v>
      </c>
      <c r="EA147" s="659">
        <v>0</v>
      </c>
      <c r="EB147" s="659">
        <v>0</v>
      </c>
      <c r="EC147" s="659">
        <v>422471</v>
      </c>
      <c r="ED147" s="659">
        <v>7535</v>
      </c>
      <c r="EE147" s="659">
        <v>0</v>
      </c>
      <c r="EF147" s="659">
        <v>0</v>
      </c>
      <c r="EG147" s="659">
        <v>1446410</v>
      </c>
      <c r="EH147" s="659">
        <v>0</v>
      </c>
      <c r="EI147" s="659">
        <v>0</v>
      </c>
      <c r="EJ147" s="659">
        <v>1380510</v>
      </c>
      <c r="EK147" s="659">
        <v>121</v>
      </c>
      <c r="EL147" s="659">
        <v>0</v>
      </c>
      <c r="EM147" s="659">
        <v>0</v>
      </c>
      <c r="EN147" s="659">
        <v>47532</v>
      </c>
      <c r="EO147" s="659">
        <v>0</v>
      </c>
      <c r="EP147" s="659">
        <v>0</v>
      </c>
      <c r="EQ147" s="659">
        <v>47530</v>
      </c>
    </row>
    <row r="148" spans="1:147" ht="13.95" customHeight="1" x14ac:dyDescent="0.3">
      <c r="A148" s="657" t="s">
        <v>1804</v>
      </c>
      <c r="B148" s="658" t="s">
        <v>269</v>
      </c>
      <c r="C148" s="659">
        <v>0</v>
      </c>
      <c r="D148" s="659">
        <v>0</v>
      </c>
      <c r="E148" s="659">
        <v>0</v>
      </c>
      <c r="F148" s="659">
        <v>0</v>
      </c>
      <c r="G148" s="659">
        <v>0</v>
      </c>
      <c r="H148" s="659">
        <v>0</v>
      </c>
      <c r="I148" s="659">
        <v>0</v>
      </c>
      <c r="J148" s="801">
        <v>0</v>
      </c>
      <c r="K148" s="659">
        <v>0</v>
      </c>
      <c r="L148" s="659">
        <v>0</v>
      </c>
      <c r="M148" s="659">
        <v>0</v>
      </c>
      <c r="N148" s="659">
        <v>0</v>
      </c>
      <c r="O148" s="659">
        <v>0</v>
      </c>
      <c r="P148" s="659">
        <v>0</v>
      </c>
      <c r="Q148" s="801">
        <v>0</v>
      </c>
      <c r="R148" s="659">
        <v>0</v>
      </c>
      <c r="S148" s="659">
        <v>0</v>
      </c>
      <c r="T148" s="659">
        <v>0</v>
      </c>
      <c r="U148" s="659">
        <v>0</v>
      </c>
      <c r="V148" s="659">
        <v>0</v>
      </c>
      <c r="W148" s="801">
        <v>0</v>
      </c>
      <c r="X148" s="659">
        <v>0</v>
      </c>
      <c r="Y148" s="659">
        <v>0</v>
      </c>
      <c r="Z148" s="659">
        <v>0</v>
      </c>
      <c r="AA148" s="659">
        <v>0</v>
      </c>
      <c r="AB148" s="659">
        <v>0</v>
      </c>
      <c r="AC148" s="659">
        <v>0</v>
      </c>
      <c r="AD148" s="801">
        <v>0</v>
      </c>
      <c r="AE148" s="659">
        <v>0</v>
      </c>
      <c r="AF148" s="659">
        <v>0</v>
      </c>
      <c r="AG148" s="659">
        <v>0</v>
      </c>
      <c r="AH148" s="659">
        <v>0</v>
      </c>
      <c r="AI148" s="659">
        <v>0</v>
      </c>
      <c r="AJ148" s="659">
        <v>0</v>
      </c>
      <c r="AK148" s="801">
        <v>0</v>
      </c>
      <c r="AL148" s="659">
        <v>0</v>
      </c>
      <c r="AM148" s="659">
        <v>0</v>
      </c>
      <c r="AN148" s="659">
        <v>0</v>
      </c>
      <c r="AO148" s="659">
        <v>0</v>
      </c>
      <c r="AP148" s="659">
        <v>0</v>
      </c>
      <c r="AQ148" s="801">
        <v>0</v>
      </c>
      <c r="AR148" s="659">
        <v>0</v>
      </c>
      <c r="AS148" s="659">
        <v>0</v>
      </c>
      <c r="AT148" s="659">
        <v>0</v>
      </c>
      <c r="AU148" s="659">
        <v>0</v>
      </c>
      <c r="AV148" s="659">
        <v>0</v>
      </c>
      <c r="AW148" s="659">
        <v>0</v>
      </c>
      <c r="AX148" s="659">
        <v>0</v>
      </c>
      <c r="AY148" s="659">
        <v>0</v>
      </c>
      <c r="AZ148" s="659">
        <v>0</v>
      </c>
      <c r="BA148" s="659">
        <v>0</v>
      </c>
      <c r="BB148" s="659">
        <v>0</v>
      </c>
      <c r="BC148" s="659">
        <v>0</v>
      </c>
      <c r="BD148" s="659">
        <v>0</v>
      </c>
      <c r="BE148" s="801">
        <v>0</v>
      </c>
      <c r="BF148" s="659">
        <v>0</v>
      </c>
      <c r="BG148" s="659">
        <v>0</v>
      </c>
      <c r="BH148" s="659">
        <v>0</v>
      </c>
      <c r="BI148" s="659">
        <v>0</v>
      </c>
      <c r="BJ148" s="659">
        <v>0</v>
      </c>
      <c r="BK148" s="659">
        <v>0</v>
      </c>
      <c r="BL148" s="659">
        <v>0</v>
      </c>
      <c r="BM148" s="659">
        <v>0</v>
      </c>
      <c r="BN148" s="659">
        <v>0</v>
      </c>
      <c r="BO148" s="659">
        <v>0</v>
      </c>
      <c r="BP148" s="659">
        <v>0</v>
      </c>
      <c r="BQ148" s="659">
        <v>0</v>
      </c>
      <c r="BR148" s="659">
        <v>0</v>
      </c>
      <c r="BS148" s="659">
        <v>0</v>
      </c>
      <c r="BT148" s="659">
        <v>0</v>
      </c>
      <c r="BU148" s="659">
        <v>0</v>
      </c>
      <c r="BV148" s="659">
        <v>0</v>
      </c>
      <c r="BW148" s="659">
        <v>0</v>
      </c>
      <c r="BX148" s="659">
        <v>0</v>
      </c>
      <c r="BY148" s="659">
        <v>0</v>
      </c>
      <c r="BZ148" s="659">
        <v>0</v>
      </c>
      <c r="CA148" s="659">
        <v>0</v>
      </c>
      <c r="CB148" s="659">
        <v>0</v>
      </c>
      <c r="CC148" s="659">
        <v>0</v>
      </c>
      <c r="CD148" s="659">
        <v>0</v>
      </c>
      <c r="CE148" s="659">
        <v>0</v>
      </c>
      <c r="CF148" s="659">
        <v>0</v>
      </c>
      <c r="CG148" s="659">
        <v>0</v>
      </c>
      <c r="CH148" s="659">
        <v>0</v>
      </c>
      <c r="CI148" s="659">
        <v>0</v>
      </c>
      <c r="CJ148" s="659">
        <v>0</v>
      </c>
      <c r="CK148" s="659">
        <v>0</v>
      </c>
      <c r="CL148" s="659">
        <v>0</v>
      </c>
      <c r="CM148" s="659">
        <v>0</v>
      </c>
      <c r="CN148" s="659">
        <v>0</v>
      </c>
      <c r="CO148" s="659">
        <v>0</v>
      </c>
      <c r="CP148" s="659">
        <v>0</v>
      </c>
      <c r="CQ148" s="659">
        <v>0</v>
      </c>
      <c r="CR148" s="659">
        <v>0</v>
      </c>
      <c r="CS148" s="659">
        <v>0</v>
      </c>
      <c r="CT148" s="659">
        <v>0</v>
      </c>
      <c r="CU148" s="659">
        <v>0</v>
      </c>
      <c r="CV148" s="659">
        <v>0</v>
      </c>
      <c r="CW148" s="659">
        <v>0</v>
      </c>
      <c r="CX148" s="659">
        <v>0</v>
      </c>
      <c r="CY148" s="659">
        <v>0</v>
      </c>
      <c r="CZ148" s="659">
        <v>0</v>
      </c>
      <c r="DA148" s="659">
        <v>0</v>
      </c>
      <c r="DB148" s="659">
        <v>0</v>
      </c>
      <c r="DC148" s="659">
        <v>0</v>
      </c>
      <c r="DD148" s="659">
        <v>0</v>
      </c>
      <c r="DE148" s="659">
        <v>0</v>
      </c>
      <c r="DF148" s="659">
        <v>0</v>
      </c>
      <c r="DG148" s="659">
        <v>0</v>
      </c>
      <c r="DH148" s="659">
        <v>0</v>
      </c>
      <c r="DI148" s="659">
        <v>0</v>
      </c>
      <c r="DJ148" s="659">
        <v>0</v>
      </c>
      <c r="DK148" s="659">
        <v>0</v>
      </c>
      <c r="DL148" s="659">
        <v>0</v>
      </c>
      <c r="DM148" s="659">
        <v>0</v>
      </c>
      <c r="DN148" s="659">
        <v>0</v>
      </c>
      <c r="DO148" s="659">
        <v>0</v>
      </c>
      <c r="DP148" s="659">
        <v>0</v>
      </c>
      <c r="DQ148" s="659">
        <v>0</v>
      </c>
      <c r="DR148" s="659">
        <v>0</v>
      </c>
      <c r="DS148" s="659">
        <v>0</v>
      </c>
      <c r="DT148" s="659">
        <v>0</v>
      </c>
      <c r="DU148" s="659">
        <v>0</v>
      </c>
      <c r="DV148" s="659">
        <v>0</v>
      </c>
      <c r="DW148" s="659">
        <v>0</v>
      </c>
      <c r="DX148" s="659">
        <v>0</v>
      </c>
      <c r="DY148" s="659">
        <v>0</v>
      </c>
      <c r="DZ148" s="659">
        <v>0</v>
      </c>
      <c r="EA148" s="659">
        <v>0</v>
      </c>
      <c r="EB148" s="659">
        <v>0</v>
      </c>
      <c r="EC148" s="659">
        <v>0</v>
      </c>
      <c r="ED148" s="659">
        <v>0</v>
      </c>
      <c r="EE148" s="659">
        <v>0</v>
      </c>
      <c r="EF148" s="659">
        <v>0</v>
      </c>
      <c r="EG148" s="659">
        <v>0</v>
      </c>
      <c r="EH148" s="659">
        <v>0</v>
      </c>
      <c r="EI148" s="659">
        <v>0</v>
      </c>
      <c r="EJ148" s="659">
        <v>0</v>
      </c>
      <c r="EK148" s="659">
        <v>0</v>
      </c>
      <c r="EL148" s="659">
        <v>0</v>
      </c>
      <c r="EM148" s="659">
        <v>0</v>
      </c>
      <c r="EN148" s="659">
        <v>0</v>
      </c>
      <c r="EO148" s="659">
        <v>0</v>
      </c>
      <c r="EP148" s="659">
        <v>0</v>
      </c>
      <c r="EQ148" s="659">
        <v>0</v>
      </c>
    </row>
    <row r="149" spans="1:147" ht="20.7" customHeight="1" x14ac:dyDescent="0.3">
      <c r="A149" s="657" t="s">
        <v>1805</v>
      </c>
      <c r="B149" s="658" t="s">
        <v>269</v>
      </c>
      <c r="C149" s="659">
        <v>0</v>
      </c>
      <c r="D149" s="659">
        <v>0</v>
      </c>
      <c r="E149" s="659">
        <v>0</v>
      </c>
      <c r="F149" s="659">
        <v>0</v>
      </c>
      <c r="G149" s="659">
        <v>0</v>
      </c>
      <c r="H149" s="659">
        <v>0</v>
      </c>
      <c r="I149" s="659">
        <v>0</v>
      </c>
      <c r="J149" s="801">
        <v>0</v>
      </c>
      <c r="K149" s="659">
        <v>0</v>
      </c>
      <c r="L149" s="659">
        <v>0</v>
      </c>
      <c r="M149" s="659">
        <v>0</v>
      </c>
      <c r="N149" s="659">
        <v>0</v>
      </c>
      <c r="O149" s="659">
        <v>0</v>
      </c>
      <c r="P149" s="659">
        <v>0</v>
      </c>
      <c r="Q149" s="801">
        <v>0</v>
      </c>
      <c r="R149" s="659">
        <v>0</v>
      </c>
      <c r="S149" s="659">
        <v>0</v>
      </c>
      <c r="T149" s="659">
        <v>0</v>
      </c>
      <c r="U149" s="659">
        <v>0</v>
      </c>
      <c r="V149" s="659">
        <v>0</v>
      </c>
      <c r="W149" s="801">
        <v>0</v>
      </c>
      <c r="X149" s="659">
        <v>0</v>
      </c>
      <c r="Y149" s="659">
        <v>0</v>
      </c>
      <c r="Z149" s="659">
        <v>0</v>
      </c>
      <c r="AA149" s="659">
        <v>0</v>
      </c>
      <c r="AB149" s="659">
        <v>0</v>
      </c>
      <c r="AC149" s="659">
        <v>0</v>
      </c>
      <c r="AD149" s="801">
        <v>0</v>
      </c>
      <c r="AE149" s="659">
        <v>0</v>
      </c>
      <c r="AF149" s="659">
        <v>0</v>
      </c>
      <c r="AG149" s="659">
        <v>0</v>
      </c>
      <c r="AH149" s="659">
        <v>0</v>
      </c>
      <c r="AI149" s="659">
        <v>0</v>
      </c>
      <c r="AJ149" s="659">
        <v>0</v>
      </c>
      <c r="AK149" s="801">
        <v>0</v>
      </c>
      <c r="AL149" s="659">
        <v>0</v>
      </c>
      <c r="AM149" s="659">
        <v>0</v>
      </c>
      <c r="AN149" s="659">
        <v>0</v>
      </c>
      <c r="AO149" s="659">
        <v>0</v>
      </c>
      <c r="AP149" s="659">
        <v>0</v>
      </c>
      <c r="AQ149" s="801">
        <v>0</v>
      </c>
      <c r="AR149" s="659">
        <v>0</v>
      </c>
      <c r="AS149" s="659">
        <v>0</v>
      </c>
      <c r="AT149" s="659">
        <v>0</v>
      </c>
      <c r="AU149" s="659">
        <v>0</v>
      </c>
      <c r="AV149" s="659">
        <v>0</v>
      </c>
      <c r="AW149" s="659">
        <v>0</v>
      </c>
      <c r="AX149" s="659">
        <v>0</v>
      </c>
      <c r="AY149" s="659">
        <v>0</v>
      </c>
      <c r="AZ149" s="659">
        <v>0</v>
      </c>
      <c r="BA149" s="659">
        <v>0</v>
      </c>
      <c r="BB149" s="659">
        <v>0</v>
      </c>
      <c r="BC149" s="659">
        <v>0</v>
      </c>
      <c r="BD149" s="659">
        <v>0</v>
      </c>
      <c r="BE149" s="801">
        <v>0</v>
      </c>
      <c r="BF149" s="659">
        <v>0</v>
      </c>
      <c r="BG149" s="659">
        <v>0</v>
      </c>
      <c r="BH149" s="659">
        <v>0</v>
      </c>
      <c r="BI149" s="659">
        <v>0</v>
      </c>
      <c r="BJ149" s="659">
        <v>0</v>
      </c>
      <c r="BK149" s="659">
        <v>0</v>
      </c>
      <c r="BL149" s="659">
        <v>0</v>
      </c>
      <c r="BM149" s="659">
        <v>0</v>
      </c>
      <c r="BN149" s="659">
        <v>0</v>
      </c>
      <c r="BO149" s="659">
        <v>0</v>
      </c>
      <c r="BP149" s="659">
        <v>0</v>
      </c>
      <c r="BQ149" s="659">
        <v>0</v>
      </c>
      <c r="BR149" s="659">
        <v>0</v>
      </c>
      <c r="BS149" s="659">
        <v>0</v>
      </c>
      <c r="BT149" s="659">
        <v>0</v>
      </c>
      <c r="BU149" s="659">
        <v>0</v>
      </c>
      <c r="BV149" s="659">
        <v>0</v>
      </c>
      <c r="BW149" s="659">
        <v>0</v>
      </c>
      <c r="BX149" s="659">
        <v>0</v>
      </c>
      <c r="BY149" s="659">
        <v>0</v>
      </c>
      <c r="BZ149" s="659">
        <v>0</v>
      </c>
      <c r="CA149" s="659">
        <v>0</v>
      </c>
      <c r="CB149" s="659">
        <v>0</v>
      </c>
      <c r="CC149" s="659">
        <v>0</v>
      </c>
      <c r="CD149" s="659">
        <v>0</v>
      </c>
      <c r="CE149" s="659">
        <v>0</v>
      </c>
      <c r="CF149" s="659">
        <v>0</v>
      </c>
      <c r="CG149" s="659">
        <v>0</v>
      </c>
      <c r="CH149" s="659">
        <v>0</v>
      </c>
      <c r="CI149" s="659">
        <v>0</v>
      </c>
      <c r="CJ149" s="659">
        <v>0</v>
      </c>
      <c r="CK149" s="659">
        <v>0</v>
      </c>
      <c r="CL149" s="659">
        <v>0</v>
      </c>
      <c r="CM149" s="659">
        <v>0</v>
      </c>
      <c r="CN149" s="659">
        <v>0</v>
      </c>
      <c r="CO149" s="659">
        <v>0</v>
      </c>
      <c r="CP149" s="659">
        <v>0</v>
      </c>
      <c r="CQ149" s="659">
        <v>0</v>
      </c>
      <c r="CR149" s="659">
        <v>0</v>
      </c>
      <c r="CS149" s="659">
        <v>0</v>
      </c>
      <c r="CT149" s="659">
        <v>0</v>
      </c>
      <c r="CU149" s="659">
        <v>0</v>
      </c>
      <c r="CV149" s="659">
        <v>0</v>
      </c>
      <c r="CW149" s="659">
        <v>0</v>
      </c>
      <c r="CX149" s="659">
        <v>0</v>
      </c>
      <c r="CY149" s="659">
        <v>0</v>
      </c>
      <c r="CZ149" s="659">
        <v>0</v>
      </c>
      <c r="DA149" s="659">
        <v>0</v>
      </c>
      <c r="DB149" s="659">
        <v>0</v>
      </c>
      <c r="DC149" s="659">
        <v>0</v>
      </c>
      <c r="DD149" s="659">
        <v>0</v>
      </c>
      <c r="DE149" s="659">
        <v>0</v>
      </c>
      <c r="DF149" s="659">
        <v>0</v>
      </c>
      <c r="DG149" s="659">
        <v>0</v>
      </c>
      <c r="DH149" s="659">
        <v>0</v>
      </c>
      <c r="DI149" s="659">
        <v>0</v>
      </c>
      <c r="DJ149" s="659">
        <v>0</v>
      </c>
      <c r="DK149" s="659">
        <v>0</v>
      </c>
      <c r="DL149" s="659">
        <v>0</v>
      </c>
      <c r="DM149" s="659">
        <v>0</v>
      </c>
      <c r="DN149" s="659">
        <v>0</v>
      </c>
      <c r="DO149" s="659">
        <v>0</v>
      </c>
      <c r="DP149" s="659">
        <v>0</v>
      </c>
      <c r="DQ149" s="659">
        <v>0</v>
      </c>
      <c r="DR149" s="659">
        <v>0</v>
      </c>
      <c r="DS149" s="659">
        <v>0</v>
      </c>
      <c r="DT149" s="659">
        <v>0</v>
      </c>
      <c r="DU149" s="659">
        <v>0</v>
      </c>
      <c r="DV149" s="659">
        <v>0</v>
      </c>
      <c r="DW149" s="659">
        <v>0</v>
      </c>
      <c r="DX149" s="659">
        <v>0</v>
      </c>
      <c r="DY149" s="659">
        <v>0</v>
      </c>
      <c r="DZ149" s="659">
        <v>0</v>
      </c>
      <c r="EA149" s="659">
        <v>0</v>
      </c>
      <c r="EB149" s="659">
        <v>0</v>
      </c>
      <c r="EC149" s="659">
        <v>0</v>
      </c>
      <c r="ED149" s="659">
        <v>0</v>
      </c>
      <c r="EE149" s="659">
        <v>0</v>
      </c>
      <c r="EF149" s="659">
        <v>0</v>
      </c>
      <c r="EG149" s="659">
        <v>0</v>
      </c>
      <c r="EH149" s="659">
        <v>0</v>
      </c>
      <c r="EI149" s="659">
        <v>0</v>
      </c>
      <c r="EJ149" s="659">
        <v>0</v>
      </c>
      <c r="EK149" s="659">
        <v>0</v>
      </c>
      <c r="EL149" s="659">
        <v>0</v>
      </c>
      <c r="EM149" s="659">
        <v>0</v>
      </c>
      <c r="EN149" s="659">
        <v>0</v>
      </c>
      <c r="EO149" s="659">
        <v>0</v>
      </c>
      <c r="EP149" s="659">
        <v>0</v>
      </c>
      <c r="EQ149" s="659">
        <v>0</v>
      </c>
    </row>
    <row r="150" spans="1:147" ht="20.7" customHeight="1" x14ac:dyDescent="0.3">
      <c r="A150" s="657" t="s">
        <v>1806</v>
      </c>
      <c r="B150" s="658" t="s">
        <v>269</v>
      </c>
      <c r="C150" s="659">
        <v>0</v>
      </c>
      <c r="D150" s="659">
        <v>0</v>
      </c>
      <c r="E150" s="659">
        <v>0</v>
      </c>
      <c r="F150" s="659">
        <v>0</v>
      </c>
      <c r="G150" s="659">
        <v>0</v>
      </c>
      <c r="H150" s="659">
        <v>0</v>
      </c>
      <c r="I150" s="659">
        <v>0</v>
      </c>
      <c r="J150" s="801">
        <v>0</v>
      </c>
      <c r="K150" s="659">
        <v>0</v>
      </c>
      <c r="L150" s="659">
        <v>0</v>
      </c>
      <c r="M150" s="659">
        <v>0</v>
      </c>
      <c r="N150" s="659">
        <v>0</v>
      </c>
      <c r="O150" s="659">
        <v>0</v>
      </c>
      <c r="P150" s="659">
        <v>0</v>
      </c>
      <c r="Q150" s="801">
        <v>0</v>
      </c>
      <c r="R150" s="659">
        <v>0</v>
      </c>
      <c r="S150" s="659">
        <v>0</v>
      </c>
      <c r="T150" s="659">
        <v>0</v>
      </c>
      <c r="U150" s="659">
        <v>0</v>
      </c>
      <c r="V150" s="659">
        <v>0</v>
      </c>
      <c r="W150" s="801">
        <v>0</v>
      </c>
      <c r="X150" s="659">
        <v>0</v>
      </c>
      <c r="Y150" s="659">
        <v>0</v>
      </c>
      <c r="Z150" s="659">
        <v>0</v>
      </c>
      <c r="AA150" s="659">
        <v>0</v>
      </c>
      <c r="AB150" s="659">
        <v>0</v>
      </c>
      <c r="AC150" s="659">
        <v>0</v>
      </c>
      <c r="AD150" s="801">
        <v>0</v>
      </c>
      <c r="AE150" s="659">
        <v>0</v>
      </c>
      <c r="AF150" s="659">
        <v>0</v>
      </c>
      <c r="AG150" s="659">
        <v>0</v>
      </c>
      <c r="AH150" s="659">
        <v>0</v>
      </c>
      <c r="AI150" s="659">
        <v>0</v>
      </c>
      <c r="AJ150" s="659">
        <v>0</v>
      </c>
      <c r="AK150" s="801">
        <v>0</v>
      </c>
      <c r="AL150" s="659">
        <v>0</v>
      </c>
      <c r="AM150" s="659">
        <v>0</v>
      </c>
      <c r="AN150" s="659">
        <v>0</v>
      </c>
      <c r="AO150" s="659">
        <v>0</v>
      </c>
      <c r="AP150" s="659">
        <v>0</v>
      </c>
      <c r="AQ150" s="801">
        <v>0</v>
      </c>
      <c r="AR150" s="659">
        <v>0</v>
      </c>
      <c r="AS150" s="659">
        <v>0</v>
      </c>
      <c r="AT150" s="659">
        <v>0</v>
      </c>
      <c r="AU150" s="659">
        <v>0</v>
      </c>
      <c r="AV150" s="659">
        <v>0</v>
      </c>
      <c r="AW150" s="659">
        <v>0</v>
      </c>
      <c r="AX150" s="659">
        <v>0</v>
      </c>
      <c r="AY150" s="659">
        <v>0</v>
      </c>
      <c r="AZ150" s="659">
        <v>0</v>
      </c>
      <c r="BA150" s="659">
        <v>0</v>
      </c>
      <c r="BB150" s="659">
        <v>0</v>
      </c>
      <c r="BC150" s="659">
        <v>0</v>
      </c>
      <c r="BD150" s="659">
        <v>0</v>
      </c>
      <c r="BE150" s="801">
        <v>0</v>
      </c>
      <c r="BF150" s="659">
        <v>0</v>
      </c>
      <c r="BG150" s="659">
        <v>0</v>
      </c>
      <c r="BH150" s="659">
        <v>0</v>
      </c>
      <c r="BI150" s="659">
        <v>0</v>
      </c>
      <c r="BJ150" s="659">
        <v>0</v>
      </c>
      <c r="BK150" s="659">
        <v>0</v>
      </c>
      <c r="BL150" s="659">
        <v>0</v>
      </c>
      <c r="BM150" s="659">
        <v>0</v>
      </c>
      <c r="BN150" s="659">
        <v>0</v>
      </c>
      <c r="BO150" s="659">
        <v>0</v>
      </c>
      <c r="BP150" s="659">
        <v>0</v>
      </c>
      <c r="BQ150" s="659">
        <v>0</v>
      </c>
      <c r="BR150" s="659">
        <v>0</v>
      </c>
      <c r="BS150" s="659">
        <v>0</v>
      </c>
      <c r="BT150" s="659">
        <v>0</v>
      </c>
      <c r="BU150" s="659">
        <v>0</v>
      </c>
      <c r="BV150" s="659">
        <v>0</v>
      </c>
      <c r="BW150" s="659">
        <v>0</v>
      </c>
      <c r="BX150" s="659">
        <v>0</v>
      </c>
      <c r="BY150" s="659">
        <v>0</v>
      </c>
      <c r="BZ150" s="659">
        <v>0</v>
      </c>
      <c r="CA150" s="659">
        <v>0</v>
      </c>
      <c r="CB150" s="659">
        <v>0</v>
      </c>
      <c r="CC150" s="659">
        <v>0</v>
      </c>
      <c r="CD150" s="659">
        <v>0</v>
      </c>
      <c r="CE150" s="659">
        <v>0</v>
      </c>
      <c r="CF150" s="659">
        <v>0</v>
      </c>
      <c r="CG150" s="659">
        <v>0</v>
      </c>
      <c r="CH150" s="659">
        <v>0</v>
      </c>
      <c r="CI150" s="659">
        <v>0</v>
      </c>
      <c r="CJ150" s="659">
        <v>0</v>
      </c>
      <c r="CK150" s="659">
        <v>0</v>
      </c>
      <c r="CL150" s="659">
        <v>0</v>
      </c>
      <c r="CM150" s="659">
        <v>0</v>
      </c>
      <c r="CN150" s="659">
        <v>0</v>
      </c>
      <c r="CO150" s="659">
        <v>0</v>
      </c>
      <c r="CP150" s="659">
        <v>0</v>
      </c>
      <c r="CQ150" s="659">
        <v>0</v>
      </c>
      <c r="CR150" s="659">
        <v>0</v>
      </c>
      <c r="CS150" s="659">
        <v>0</v>
      </c>
      <c r="CT150" s="659">
        <v>0</v>
      </c>
      <c r="CU150" s="659">
        <v>0</v>
      </c>
      <c r="CV150" s="659">
        <v>0</v>
      </c>
      <c r="CW150" s="659">
        <v>0</v>
      </c>
      <c r="CX150" s="659">
        <v>0</v>
      </c>
      <c r="CY150" s="659">
        <v>0</v>
      </c>
      <c r="CZ150" s="659">
        <v>0</v>
      </c>
      <c r="DA150" s="659">
        <v>0</v>
      </c>
      <c r="DB150" s="659">
        <v>0</v>
      </c>
      <c r="DC150" s="659">
        <v>0</v>
      </c>
      <c r="DD150" s="659">
        <v>0</v>
      </c>
      <c r="DE150" s="659">
        <v>0</v>
      </c>
      <c r="DF150" s="659">
        <v>0</v>
      </c>
      <c r="DG150" s="659">
        <v>0</v>
      </c>
      <c r="DH150" s="659">
        <v>0</v>
      </c>
      <c r="DI150" s="659">
        <v>0</v>
      </c>
      <c r="DJ150" s="659">
        <v>0</v>
      </c>
      <c r="DK150" s="659">
        <v>0</v>
      </c>
      <c r="DL150" s="659">
        <v>0</v>
      </c>
      <c r="DM150" s="659">
        <v>0</v>
      </c>
      <c r="DN150" s="659">
        <v>0</v>
      </c>
      <c r="DO150" s="659">
        <v>0</v>
      </c>
      <c r="DP150" s="659">
        <v>0</v>
      </c>
      <c r="DQ150" s="659">
        <v>0</v>
      </c>
      <c r="DR150" s="659">
        <v>0</v>
      </c>
      <c r="DS150" s="659">
        <v>0</v>
      </c>
      <c r="DT150" s="659">
        <v>0</v>
      </c>
      <c r="DU150" s="659">
        <v>0</v>
      </c>
      <c r="DV150" s="659">
        <v>0</v>
      </c>
      <c r="DW150" s="659">
        <v>0</v>
      </c>
      <c r="DX150" s="659">
        <v>0</v>
      </c>
      <c r="DY150" s="659">
        <v>0</v>
      </c>
      <c r="DZ150" s="659">
        <v>0</v>
      </c>
      <c r="EA150" s="659">
        <v>0</v>
      </c>
      <c r="EB150" s="659">
        <v>0</v>
      </c>
      <c r="EC150" s="659">
        <v>0</v>
      </c>
      <c r="ED150" s="659">
        <v>0</v>
      </c>
      <c r="EE150" s="659">
        <v>0</v>
      </c>
      <c r="EF150" s="659">
        <v>0</v>
      </c>
      <c r="EG150" s="659">
        <v>0</v>
      </c>
      <c r="EH150" s="659">
        <v>0</v>
      </c>
      <c r="EI150" s="659">
        <v>0</v>
      </c>
      <c r="EJ150" s="659">
        <v>0</v>
      </c>
      <c r="EK150" s="659">
        <v>0</v>
      </c>
      <c r="EL150" s="659">
        <v>0</v>
      </c>
      <c r="EM150" s="659">
        <v>0</v>
      </c>
      <c r="EN150" s="659">
        <v>0</v>
      </c>
      <c r="EO150" s="659">
        <v>0</v>
      </c>
      <c r="EP150" s="659">
        <v>0</v>
      </c>
      <c r="EQ150" s="659">
        <v>0</v>
      </c>
    </row>
    <row r="151" spans="1:147" ht="20.7" customHeight="1" x14ac:dyDescent="0.3">
      <c r="A151" s="657" t="s">
        <v>1807</v>
      </c>
      <c r="B151" s="658" t="s">
        <v>269</v>
      </c>
      <c r="C151" s="659">
        <v>0</v>
      </c>
      <c r="D151" s="659">
        <v>0</v>
      </c>
      <c r="E151" s="659">
        <v>0</v>
      </c>
      <c r="F151" s="659">
        <v>0</v>
      </c>
      <c r="G151" s="659">
        <v>0</v>
      </c>
      <c r="H151" s="659">
        <v>0</v>
      </c>
      <c r="I151" s="659">
        <v>0</v>
      </c>
      <c r="J151" s="801">
        <v>0</v>
      </c>
      <c r="K151" s="659">
        <v>0</v>
      </c>
      <c r="L151" s="659">
        <v>0</v>
      </c>
      <c r="M151" s="659">
        <v>0</v>
      </c>
      <c r="N151" s="659">
        <v>0</v>
      </c>
      <c r="O151" s="659">
        <v>0</v>
      </c>
      <c r="P151" s="659">
        <v>0</v>
      </c>
      <c r="Q151" s="801">
        <v>0</v>
      </c>
      <c r="R151" s="659">
        <v>0</v>
      </c>
      <c r="S151" s="659">
        <v>0</v>
      </c>
      <c r="T151" s="659">
        <v>0</v>
      </c>
      <c r="U151" s="659">
        <v>0</v>
      </c>
      <c r="V151" s="659">
        <v>0</v>
      </c>
      <c r="W151" s="801">
        <v>0</v>
      </c>
      <c r="X151" s="659">
        <v>0</v>
      </c>
      <c r="Y151" s="659">
        <v>0</v>
      </c>
      <c r="Z151" s="659">
        <v>0</v>
      </c>
      <c r="AA151" s="659">
        <v>0</v>
      </c>
      <c r="AB151" s="659">
        <v>0</v>
      </c>
      <c r="AC151" s="659">
        <v>0</v>
      </c>
      <c r="AD151" s="801">
        <v>0</v>
      </c>
      <c r="AE151" s="659">
        <v>0</v>
      </c>
      <c r="AF151" s="659">
        <v>0</v>
      </c>
      <c r="AG151" s="659">
        <v>0</v>
      </c>
      <c r="AH151" s="659">
        <v>0</v>
      </c>
      <c r="AI151" s="659">
        <v>0</v>
      </c>
      <c r="AJ151" s="659">
        <v>0</v>
      </c>
      <c r="AK151" s="801">
        <v>0</v>
      </c>
      <c r="AL151" s="659">
        <v>0</v>
      </c>
      <c r="AM151" s="659">
        <v>0</v>
      </c>
      <c r="AN151" s="659">
        <v>0</v>
      </c>
      <c r="AO151" s="659">
        <v>0</v>
      </c>
      <c r="AP151" s="659">
        <v>0</v>
      </c>
      <c r="AQ151" s="801">
        <v>0</v>
      </c>
      <c r="AR151" s="659">
        <v>0</v>
      </c>
      <c r="AS151" s="659">
        <v>0</v>
      </c>
      <c r="AT151" s="659">
        <v>0</v>
      </c>
      <c r="AU151" s="659">
        <v>0</v>
      </c>
      <c r="AV151" s="659">
        <v>0</v>
      </c>
      <c r="AW151" s="659">
        <v>0</v>
      </c>
      <c r="AX151" s="659">
        <v>0</v>
      </c>
      <c r="AY151" s="659">
        <v>0</v>
      </c>
      <c r="AZ151" s="659">
        <v>0</v>
      </c>
      <c r="BA151" s="659">
        <v>0</v>
      </c>
      <c r="BB151" s="659">
        <v>0</v>
      </c>
      <c r="BC151" s="659">
        <v>0</v>
      </c>
      <c r="BD151" s="659">
        <v>0</v>
      </c>
      <c r="BE151" s="801">
        <v>0</v>
      </c>
      <c r="BF151" s="659">
        <v>0</v>
      </c>
      <c r="BG151" s="659">
        <v>0</v>
      </c>
      <c r="BH151" s="659">
        <v>0</v>
      </c>
      <c r="BI151" s="659">
        <v>0</v>
      </c>
      <c r="BJ151" s="659">
        <v>0</v>
      </c>
      <c r="BK151" s="659">
        <v>0</v>
      </c>
      <c r="BL151" s="659">
        <v>0</v>
      </c>
      <c r="BM151" s="659">
        <v>0</v>
      </c>
      <c r="BN151" s="659">
        <v>0</v>
      </c>
      <c r="BO151" s="659">
        <v>0</v>
      </c>
      <c r="BP151" s="659">
        <v>0</v>
      </c>
      <c r="BQ151" s="659">
        <v>0</v>
      </c>
      <c r="BR151" s="659">
        <v>0</v>
      </c>
      <c r="BS151" s="659">
        <v>0</v>
      </c>
      <c r="BT151" s="659">
        <v>0</v>
      </c>
      <c r="BU151" s="659">
        <v>0</v>
      </c>
      <c r="BV151" s="659">
        <v>0</v>
      </c>
      <c r="BW151" s="659">
        <v>0</v>
      </c>
      <c r="BX151" s="659">
        <v>0</v>
      </c>
      <c r="BY151" s="659">
        <v>0</v>
      </c>
      <c r="BZ151" s="659">
        <v>0</v>
      </c>
      <c r="CA151" s="659">
        <v>0</v>
      </c>
      <c r="CB151" s="659">
        <v>0</v>
      </c>
      <c r="CC151" s="659">
        <v>0</v>
      </c>
      <c r="CD151" s="659">
        <v>0</v>
      </c>
      <c r="CE151" s="659">
        <v>0</v>
      </c>
      <c r="CF151" s="659">
        <v>0</v>
      </c>
      <c r="CG151" s="659">
        <v>0</v>
      </c>
      <c r="CH151" s="659">
        <v>0</v>
      </c>
      <c r="CI151" s="659">
        <v>0</v>
      </c>
      <c r="CJ151" s="659">
        <v>0</v>
      </c>
      <c r="CK151" s="659">
        <v>0</v>
      </c>
      <c r="CL151" s="659">
        <v>0</v>
      </c>
      <c r="CM151" s="659">
        <v>0</v>
      </c>
      <c r="CN151" s="659">
        <v>0</v>
      </c>
      <c r="CO151" s="659">
        <v>0</v>
      </c>
      <c r="CP151" s="659">
        <v>0</v>
      </c>
      <c r="CQ151" s="659">
        <v>0</v>
      </c>
      <c r="CR151" s="659">
        <v>0</v>
      </c>
      <c r="CS151" s="659">
        <v>0</v>
      </c>
      <c r="CT151" s="659">
        <v>0</v>
      </c>
      <c r="CU151" s="659">
        <v>0</v>
      </c>
      <c r="CV151" s="659">
        <v>0</v>
      </c>
      <c r="CW151" s="659">
        <v>0</v>
      </c>
      <c r="CX151" s="659">
        <v>0</v>
      </c>
      <c r="CY151" s="659">
        <v>0</v>
      </c>
      <c r="CZ151" s="659">
        <v>0</v>
      </c>
      <c r="DA151" s="659">
        <v>0</v>
      </c>
      <c r="DB151" s="659">
        <v>0</v>
      </c>
      <c r="DC151" s="659">
        <v>0</v>
      </c>
      <c r="DD151" s="659">
        <v>0</v>
      </c>
      <c r="DE151" s="659">
        <v>0</v>
      </c>
      <c r="DF151" s="659">
        <v>0</v>
      </c>
      <c r="DG151" s="659">
        <v>0</v>
      </c>
      <c r="DH151" s="659">
        <v>0</v>
      </c>
      <c r="DI151" s="659">
        <v>0</v>
      </c>
      <c r="DJ151" s="659">
        <v>0</v>
      </c>
      <c r="DK151" s="659">
        <v>0</v>
      </c>
      <c r="DL151" s="659">
        <v>0</v>
      </c>
      <c r="DM151" s="659">
        <v>0</v>
      </c>
      <c r="DN151" s="659">
        <v>0</v>
      </c>
      <c r="DO151" s="659">
        <v>0</v>
      </c>
      <c r="DP151" s="659">
        <v>0</v>
      </c>
      <c r="DQ151" s="659">
        <v>0</v>
      </c>
      <c r="DR151" s="659">
        <v>0</v>
      </c>
      <c r="DS151" s="659">
        <v>0</v>
      </c>
      <c r="DT151" s="659">
        <v>0</v>
      </c>
      <c r="DU151" s="659">
        <v>0</v>
      </c>
      <c r="DV151" s="659">
        <v>0</v>
      </c>
      <c r="DW151" s="659">
        <v>0</v>
      </c>
      <c r="DX151" s="659">
        <v>0</v>
      </c>
      <c r="DY151" s="659">
        <v>0</v>
      </c>
      <c r="DZ151" s="659">
        <v>0</v>
      </c>
      <c r="EA151" s="659">
        <v>0</v>
      </c>
      <c r="EB151" s="659">
        <v>0</v>
      </c>
      <c r="EC151" s="659">
        <v>0</v>
      </c>
      <c r="ED151" s="659">
        <v>0</v>
      </c>
      <c r="EE151" s="659">
        <v>0</v>
      </c>
      <c r="EF151" s="659">
        <v>0</v>
      </c>
      <c r="EG151" s="659">
        <v>0</v>
      </c>
      <c r="EH151" s="659">
        <v>0</v>
      </c>
      <c r="EI151" s="659">
        <v>0</v>
      </c>
      <c r="EJ151" s="659">
        <v>0</v>
      </c>
      <c r="EK151" s="659">
        <v>0</v>
      </c>
      <c r="EL151" s="659">
        <v>0</v>
      </c>
      <c r="EM151" s="659">
        <v>0</v>
      </c>
      <c r="EN151" s="659">
        <v>0</v>
      </c>
      <c r="EO151" s="659">
        <v>0</v>
      </c>
      <c r="EP151" s="659">
        <v>0</v>
      </c>
      <c r="EQ151" s="659">
        <v>0</v>
      </c>
    </row>
    <row r="152" spans="1:147" ht="30.45" customHeight="1" x14ac:dyDescent="0.3">
      <c r="A152" s="657" t="s">
        <v>1808</v>
      </c>
      <c r="B152" s="658" t="s">
        <v>269</v>
      </c>
      <c r="C152" s="659">
        <v>0</v>
      </c>
      <c r="D152" s="659">
        <v>0</v>
      </c>
      <c r="E152" s="659">
        <v>0</v>
      </c>
      <c r="F152" s="659">
        <v>0</v>
      </c>
      <c r="G152" s="659">
        <v>0</v>
      </c>
      <c r="H152" s="659">
        <v>0</v>
      </c>
      <c r="I152" s="659">
        <v>0</v>
      </c>
      <c r="J152" s="801">
        <v>0</v>
      </c>
      <c r="K152" s="659">
        <v>0</v>
      </c>
      <c r="L152" s="659">
        <v>0</v>
      </c>
      <c r="M152" s="659">
        <v>0</v>
      </c>
      <c r="N152" s="659">
        <v>0</v>
      </c>
      <c r="O152" s="659">
        <v>0</v>
      </c>
      <c r="P152" s="659">
        <v>0</v>
      </c>
      <c r="Q152" s="801">
        <v>0</v>
      </c>
      <c r="R152" s="659">
        <v>0</v>
      </c>
      <c r="S152" s="659">
        <v>0</v>
      </c>
      <c r="T152" s="659">
        <v>0</v>
      </c>
      <c r="U152" s="659">
        <v>0</v>
      </c>
      <c r="V152" s="659">
        <v>0</v>
      </c>
      <c r="W152" s="801">
        <v>0</v>
      </c>
      <c r="X152" s="659">
        <v>0</v>
      </c>
      <c r="Y152" s="659">
        <v>0</v>
      </c>
      <c r="Z152" s="659">
        <v>0</v>
      </c>
      <c r="AA152" s="659">
        <v>0</v>
      </c>
      <c r="AB152" s="659">
        <v>0</v>
      </c>
      <c r="AC152" s="659">
        <v>0</v>
      </c>
      <c r="AD152" s="801">
        <v>0</v>
      </c>
      <c r="AE152" s="659">
        <v>0</v>
      </c>
      <c r="AF152" s="659">
        <v>0</v>
      </c>
      <c r="AG152" s="659">
        <v>0</v>
      </c>
      <c r="AH152" s="659">
        <v>0</v>
      </c>
      <c r="AI152" s="659">
        <v>0</v>
      </c>
      <c r="AJ152" s="659">
        <v>0</v>
      </c>
      <c r="AK152" s="801">
        <v>0</v>
      </c>
      <c r="AL152" s="659">
        <v>0</v>
      </c>
      <c r="AM152" s="659">
        <v>0</v>
      </c>
      <c r="AN152" s="659">
        <v>0</v>
      </c>
      <c r="AO152" s="659">
        <v>0</v>
      </c>
      <c r="AP152" s="659">
        <v>0</v>
      </c>
      <c r="AQ152" s="801">
        <v>0</v>
      </c>
      <c r="AR152" s="659">
        <v>0</v>
      </c>
      <c r="AS152" s="659">
        <v>0</v>
      </c>
      <c r="AT152" s="659">
        <v>0</v>
      </c>
      <c r="AU152" s="659">
        <v>0</v>
      </c>
      <c r="AV152" s="659">
        <v>0</v>
      </c>
      <c r="AW152" s="659">
        <v>0</v>
      </c>
      <c r="AX152" s="659">
        <v>0</v>
      </c>
      <c r="AY152" s="659">
        <v>0</v>
      </c>
      <c r="AZ152" s="659">
        <v>0</v>
      </c>
      <c r="BA152" s="659">
        <v>0</v>
      </c>
      <c r="BB152" s="659">
        <v>0</v>
      </c>
      <c r="BC152" s="659">
        <v>0</v>
      </c>
      <c r="BD152" s="659">
        <v>0</v>
      </c>
      <c r="BE152" s="801">
        <v>0</v>
      </c>
      <c r="BF152" s="659">
        <v>0</v>
      </c>
      <c r="BG152" s="659">
        <v>0</v>
      </c>
      <c r="BH152" s="659">
        <v>0</v>
      </c>
      <c r="BI152" s="659">
        <v>0</v>
      </c>
      <c r="BJ152" s="659">
        <v>0</v>
      </c>
      <c r="BK152" s="659">
        <v>0</v>
      </c>
      <c r="BL152" s="659">
        <v>0</v>
      </c>
      <c r="BM152" s="659">
        <v>0</v>
      </c>
      <c r="BN152" s="659">
        <v>0</v>
      </c>
      <c r="BO152" s="659">
        <v>0</v>
      </c>
      <c r="BP152" s="659">
        <v>0</v>
      </c>
      <c r="BQ152" s="659">
        <v>0</v>
      </c>
      <c r="BR152" s="659">
        <v>0</v>
      </c>
      <c r="BS152" s="659">
        <v>0</v>
      </c>
      <c r="BT152" s="659">
        <v>0</v>
      </c>
      <c r="BU152" s="659">
        <v>0</v>
      </c>
      <c r="BV152" s="659">
        <v>0</v>
      </c>
      <c r="BW152" s="659">
        <v>0</v>
      </c>
      <c r="BX152" s="659">
        <v>0</v>
      </c>
      <c r="BY152" s="659">
        <v>0</v>
      </c>
      <c r="BZ152" s="659">
        <v>0</v>
      </c>
      <c r="CA152" s="659">
        <v>0</v>
      </c>
      <c r="CB152" s="659">
        <v>0</v>
      </c>
      <c r="CC152" s="659">
        <v>0</v>
      </c>
      <c r="CD152" s="659">
        <v>0</v>
      </c>
      <c r="CE152" s="659">
        <v>0</v>
      </c>
      <c r="CF152" s="659">
        <v>0</v>
      </c>
      <c r="CG152" s="659">
        <v>0</v>
      </c>
      <c r="CH152" s="659">
        <v>0</v>
      </c>
      <c r="CI152" s="659">
        <v>0</v>
      </c>
      <c r="CJ152" s="659">
        <v>0</v>
      </c>
      <c r="CK152" s="659">
        <v>0</v>
      </c>
      <c r="CL152" s="659">
        <v>0</v>
      </c>
      <c r="CM152" s="659">
        <v>0</v>
      </c>
      <c r="CN152" s="659">
        <v>0</v>
      </c>
      <c r="CO152" s="659">
        <v>0</v>
      </c>
      <c r="CP152" s="659">
        <v>0</v>
      </c>
      <c r="CQ152" s="659">
        <v>0</v>
      </c>
      <c r="CR152" s="659">
        <v>0</v>
      </c>
      <c r="CS152" s="659">
        <v>0</v>
      </c>
      <c r="CT152" s="659">
        <v>0</v>
      </c>
      <c r="CU152" s="659">
        <v>0</v>
      </c>
      <c r="CV152" s="659">
        <v>0</v>
      </c>
      <c r="CW152" s="659">
        <v>0</v>
      </c>
      <c r="CX152" s="659">
        <v>0</v>
      </c>
      <c r="CY152" s="659">
        <v>0</v>
      </c>
      <c r="CZ152" s="659">
        <v>0</v>
      </c>
      <c r="DA152" s="659">
        <v>0</v>
      </c>
      <c r="DB152" s="659">
        <v>0</v>
      </c>
      <c r="DC152" s="659">
        <v>0</v>
      </c>
      <c r="DD152" s="659">
        <v>0</v>
      </c>
      <c r="DE152" s="659">
        <v>0</v>
      </c>
      <c r="DF152" s="659">
        <v>0</v>
      </c>
      <c r="DG152" s="659">
        <v>0</v>
      </c>
      <c r="DH152" s="659">
        <v>0</v>
      </c>
      <c r="DI152" s="659">
        <v>0</v>
      </c>
      <c r="DJ152" s="659">
        <v>0</v>
      </c>
      <c r="DK152" s="659">
        <v>0</v>
      </c>
      <c r="DL152" s="659">
        <v>0</v>
      </c>
      <c r="DM152" s="659">
        <v>0</v>
      </c>
      <c r="DN152" s="659">
        <v>0</v>
      </c>
      <c r="DO152" s="659">
        <v>0</v>
      </c>
      <c r="DP152" s="659">
        <v>0</v>
      </c>
      <c r="DQ152" s="659">
        <v>0</v>
      </c>
      <c r="DR152" s="659">
        <v>0</v>
      </c>
      <c r="DS152" s="659">
        <v>0</v>
      </c>
      <c r="DT152" s="659">
        <v>0</v>
      </c>
      <c r="DU152" s="659">
        <v>0</v>
      </c>
      <c r="DV152" s="659">
        <v>0</v>
      </c>
      <c r="DW152" s="659">
        <v>0</v>
      </c>
      <c r="DX152" s="659">
        <v>0</v>
      </c>
      <c r="DY152" s="659">
        <v>0</v>
      </c>
      <c r="DZ152" s="659">
        <v>0</v>
      </c>
      <c r="EA152" s="659">
        <v>0</v>
      </c>
      <c r="EB152" s="659">
        <v>0</v>
      </c>
      <c r="EC152" s="659">
        <v>0</v>
      </c>
      <c r="ED152" s="659">
        <v>0</v>
      </c>
      <c r="EE152" s="659">
        <v>0</v>
      </c>
      <c r="EF152" s="659">
        <v>0</v>
      </c>
      <c r="EG152" s="659">
        <v>0</v>
      </c>
      <c r="EH152" s="659">
        <v>0</v>
      </c>
      <c r="EI152" s="659">
        <v>0</v>
      </c>
      <c r="EJ152" s="659">
        <v>0</v>
      </c>
      <c r="EK152" s="659">
        <v>0</v>
      </c>
      <c r="EL152" s="659">
        <v>0</v>
      </c>
      <c r="EM152" s="659">
        <v>0</v>
      </c>
      <c r="EN152" s="659">
        <v>0</v>
      </c>
      <c r="EO152" s="659">
        <v>0</v>
      </c>
      <c r="EP152" s="659">
        <v>0</v>
      </c>
      <c r="EQ152" s="659">
        <v>0</v>
      </c>
    </row>
    <row r="153" spans="1:147" ht="20.7" customHeight="1" x14ac:dyDescent="0.3">
      <c r="A153" s="657" t="s">
        <v>1809</v>
      </c>
      <c r="B153" s="658" t="s">
        <v>269</v>
      </c>
      <c r="C153" s="659">
        <v>0</v>
      </c>
      <c r="D153" s="659">
        <v>0</v>
      </c>
      <c r="E153" s="659">
        <v>0</v>
      </c>
      <c r="F153" s="659">
        <v>0</v>
      </c>
      <c r="G153" s="659">
        <v>0</v>
      </c>
      <c r="H153" s="659">
        <v>0</v>
      </c>
      <c r="I153" s="659">
        <v>0</v>
      </c>
      <c r="J153" s="801">
        <v>0</v>
      </c>
      <c r="K153" s="659">
        <v>0</v>
      </c>
      <c r="L153" s="659">
        <v>0</v>
      </c>
      <c r="M153" s="659">
        <v>0</v>
      </c>
      <c r="N153" s="659">
        <v>0</v>
      </c>
      <c r="O153" s="659">
        <v>0</v>
      </c>
      <c r="P153" s="659">
        <v>0</v>
      </c>
      <c r="Q153" s="801">
        <v>0</v>
      </c>
      <c r="R153" s="659">
        <v>0</v>
      </c>
      <c r="S153" s="659">
        <v>0</v>
      </c>
      <c r="T153" s="659">
        <v>0</v>
      </c>
      <c r="U153" s="659">
        <v>0</v>
      </c>
      <c r="V153" s="659">
        <v>0</v>
      </c>
      <c r="W153" s="801">
        <v>0</v>
      </c>
      <c r="X153" s="659">
        <v>0</v>
      </c>
      <c r="Y153" s="659">
        <v>0</v>
      </c>
      <c r="Z153" s="659">
        <v>0</v>
      </c>
      <c r="AA153" s="659">
        <v>0</v>
      </c>
      <c r="AB153" s="659">
        <v>0</v>
      </c>
      <c r="AC153" s="659">
        <v>0</v>
      </c>
      <c r="AD153" s="801">
        <v>0</v>
      </c>
      <c r="AE153" s="659">
        <v>0</v>
      </c>
      <c r="AF153" s="659">
        <v>0</v>
      </c>
      <c r="AG153" s="659">
        <v>0</v>
      </c>
      <c r="AH153" s="659">
        <v>0</v>
      </c>
      <c r="AI153" s="659">
        <v>0</v>
      </c>
      <c r="AJ153" s="659">
        <v>0</v>
      </c>
      <c r="AK153" s="801">
        <v>0</v>
      </c>
      <c r="AL153" s="659">
        <v>0</v>
      </c>
      <c r="AM153" s="659">
        <v>0</v>
      </c>
      <c r="AN153" s="659">
        <v>0</v>
      </c>
      <c r="AO153" s="659">
        <v>0</v>
      </c>
      <c r="AP153" s="659">
        <v>0</v>
      </c>
      <c r="AQ153" s="801">
        <v>0</v>
      </c>
      <c r="AR153" s="659">
        <v>0</v>
      </c>
      <c r="AS153" s="659">
        <v>0</v>
      </c>
      <c r="AT153" s="659">
        <v>0</v>
      </c>
      <c r="AU153" s="659">
        <v>0</v>
      </c>
      <c r="AV153" s="659">
        <v>0</v>
      </c>
      <c r="AW153" s="659">
        <v>0</v>
      </c>
      <c r="AX153" s="659">
        <v>0</v>
      </c>
      <c r="AY153" s="659">
        <v>0</v>
      </c>
      <c r="AZ153" s="659">
        <v>0</v>
      </c>
      <c r="BA153" s="659">
        <v>0</v>
      </c>
      <c r="BB153" s="659">
        <v>0</v>
      </c>
      <c r="BC153" s="659">
        <v>0</v>
      </c>
      <c r="BD153" s="659">
        <v>0</v>
      </c>
      <c r="BE153" s="801">
        <v>0</v>
      </c>
      <c r="BF153" s="659">
        <v>0</v>
      </c>
      <c r="BG153" s="659">
        <v>0</v>
      </c>
      <c r="BH153" s="659">
        <v>0</v>
      </c>
      <c r="BI153" s="659">
        <v>0</v>
      </c>
      <c r="BJ153" s="659">
        <v>0</v>
      </c>
      <c r="BK153" s="659">
        <v>0</v>
      </c>
      <c r="BL153" s="659">
        <v>0</v>
      </c>
      <c r="BM153" s="659">
        <v>0</v>
      </c>
      <c r="BN153" s="659">
        <v>0</v>
      </c>
      <c r="BO153" s="659">
        <v>0</v>
      </c>
      <c r="BP153" s="659">
        <v>0</v>
      </c>
      <c r="BQ153" s="659">
        <v>0</v>
      </c>
      <c r="BR153" s="659">
        <v>0</v>
      </c>
      <c r="BS153" s="659">
        <v>0</v>
      </c>
      <c r="BT153" s="659">
        <v>0</v>
      </c>
      <c r="BU153" s="659">
        <v>0</v>
      </c>
      <c r="BV153" s="659">
        <v>0</v>
      </c>
      <c r="BW153" s="659">
        <v>0</v>
      </c>
      <c r="BX153" s="659">
        <v>0</v>
      </c>
      <c r="BY153" s="659">
        <v>0</v>
      </c>
      <c r="BZ153" s="659">
        <v>0</v>
      </c>
      <c r="CA153" s="659">
        <v>0</v>
      </c>
      <c r="CB153" s="659">
        <v>0</v>
      </c>
      <c r="CC153" s="659">
        <v>0</v>
      </c>
      <c r="CD153" s="659">
        <v>0</v>
      </c>
      <c r="CE153" s="659">
        <v>0</v>
      </c>
      <c r="CF153" s="659">
        <v>0</v>
      </c>
      <c r="CG153" s="659">
        <v>0</v>
      </c>
      <c r="CH153" s="659">
        <v>0</v>
      </c>
      <c r="CI153" s="659">
        <v>0</v>
      </c>
      <c r="CJ153" s="659">
        <v>0</v>
      </c>
      <c r="CK153" s="659">
        <v>0</v>
      </c>
      <c r="CL153" s="659">
        <v>0</v>
      </c>
      <c r="CM153" s="659">
        <v>0</v>
      </c>
      <c r="CN153" s="659">
        <v>0</v>
      </c>
      <c r="CO153" s="659">
        <v>0</v>
      </c>
      <c r="CP153" s="659">
        <v>0</v>
      </c>
      <c r="CQ153" s="659">
        <v>0</v>
      </c>
      <c r="CR153" s="659">
        <v>0</v>
      </c>
      <c r="CS153" s="659">
        <v>0</v>
      </c>
      <c r="CT153" s="659">
        <v>0</v>
      </c>
      <c r="CU153" s="659">
        <v>0</v>
      </c>
      <c r="CV153" s="659">
        <v>0</v>
      </c>
      <c r="CW153" s="659">
        <v>0</v>
      </c>
      <c r="CX153" s="659">
        <v>0</v>
      </c>
      <c r="CY153" s="659">
        <v>0</v>
      </c>
      <c r="CZ153" s="659">
        <v>0</v>
      </c>
      <c r="DA153" s="659">
        <v>0</v>
      </c>
      <c r="DB153" s="659">
        <v>0</v>
      </c>
      <c r="DC153" s="659">
        <v>0</v>
      </c>
      <c r="DD153" s="659">
        <v>0</v>
      </c>
      <c r="DE153" s="659">
        <v>0</v>
      </c>
      <c r="DF153" s="659">
        <v>0</v>
      </c>
      <c r="DG153" s="659">
        <v>0</v>
      </c>
      <c r="DH153" s="659">
        <v>0</v>
      </c>
      <c r="DI153" s="659">
        <v>0</v>
      </c>
      <c r="DJ153" s="659">
        <v>0</v>
      </c>
      <c r="DK153" s="659">
        <v>0</v>
      </c>
      <c r="DL153" s="659">
        <v>0</v>
      </c>
      <c r="DM153" s="659">
        <v>0</v>
      </c>
      <c r="DN153" s="659">
        <v>0</v>
      </c>
      <c r="DO153" s="659">
        <v>0</v>
      </c>
      <c r="DP153" s="659">
        <v>0</v>
      </c>
      <c r="DQ153" s="659">
        <v>0</v>
      </c>
      <c r="DR153" s="659">
        <v>0</v>
      </c>
      <c r="DS153" s="659">
        <v>0</v>
      </c>
      <c r="DT153" s="659">
        <v>0</v>
      </c>
      <c r="DU153" s="659">
        <v>0</v>
      </c>
      <c r="DV153" s="659">
        <v>0</v>
      </c>
      <c r="DW153" s="659">
        <v>0</v>
      </c>
      <c r="DX153" s="659">
        <v>0</v>
      </c>
      <c r="DY153" s="659">
        <v>0</v>
      </c>
      <c r="DZ153" s="659">
        <v>0</v>
      </c>
      <c r="EA153" s="659">
        <v>0</v>
      </c>
      <c r="EB153" s="659">
        <v>0</v>
      </c>
      <c r="EC153" s="659">
        <v>0</v>
      </c>
      <c r="ED153" s="659">
        <v>0</v>
      </c>
      <c r="EE153" s="659">
        <v>0</v>
      </c>
      <c r="EF153" s="659">
        <v>0</v>
      </c>
      <c r="EG153" s="659">
        <v>0</v>
      </c>
      <c r="EH153" s="659">
        <v>0</v>
      </c>
      <c r="EI153" s="659">
        <v>0</v>
      </c>
      <c r="EJ153" s="659">
        <v>0</v>
      </c>
      <c r="EK153" s="659">
        <v>0</v>
      </c>
      <c r="EL153" s="659">
        <v>0</v>
      </c>
      <c r="EM153" s="659">
        <v>0</v>
      </c>
      <c r="EN153" s="659">
        <v>0</v>
      </c>
      <c r="EO153" s="659">
        <v>0</v>
      </c>
      <c r="EP153" s="659">
        <v>0</v>
      </c>
      <c r="EQ153" s="659">
        <v>0</v>
      </c>
    </row>
    <row r="154" spans="1:147" ht="20.7" customHeight="1" x14ac:dyDescent="0.3">
      <c r="A154" s="657" t="s">
        <v>1810</v>
      </c>
      <c r="B154" s="658" t="s">
        <v>269</v>
      </c>
      <c r="C154" s="659">
        <v>74082</v>
      </c>
      <c r="D154" s="659">
        <v>0</v>
      </c>
      <c r="E154" s="659">
        <v>0</v>
      </c>
      <c r="F154" s="659">
        <v>48331748</v>
      </c>
      <c r="G154" s="659">
        <v>0</v>
      </c>
      <c r="H154" s="659">
        <v>0</v>
      </c>
      <c r="I154" s="659">
        <v>47290211</v>
      </c>
      <c r="J154" s="801">
        <v>1440</v>
      </c>
      <c r="K154" s="659">
        <v>0</v>
      </c>
      <c r="L154" s="659">
        <v>0</v>
      </c>
      <c r="M154" s="659">
        <v>1169550</v>
      </c>
      <c r="N154" s="659">
        <v>0</v>
      </c>
      <c r="O154" s="659">
        <v>0</v>
      </c>
      <c r="P154" s="659">
        <v>1169550</v>
      </c>
      <c r="Q154" s="801">
        <v>0</v>
      </c>
      <c r="R154" s="659">
        <v>0</v>
      </c>
      <c r="S154" s="659">
        <v>0</v>
      </c>
      <c r="T154" s="659">
        <v>0</v>
      </c>
      <c r="U154" s="659">
        <v>0</v>
      </c>
      <c r="V154" s="659">
        <v>0</v>
      </c>
      <c r="W154" s="801">
        <v>0</v>
      </c>
      <c r="X154" s="659">
        <v>0</v>
      </c>
      <c r="Y154" s="659">
        <v>0</v>
      </c>
      <c r="Z154" s="659">
        <v>0</v>
      </c>
      <c r="AA154" s="659">
        <v>0</v>
      </c>
      <c r="AB154" s="659">
        <v>0</v>
      </c>
      <c r="AC154" s="659">
        <v>0</v>
      </c>
      <c r="AD154" s="801">
        <v>7406</v>
      </c>
      <c r="AE154" s="659">
        <v>0</v>
      </c>
      <c r="AF154" s="659">
        <v>0</v>
      </c>
      <c r="AG154" s="659">
        <v>4589275</v>
      </c>
      <c r="AH154" s="659">
        <v>0</v>
      </c>
      <c r="AI154" s="659">
        <v>0</v>
      </c>
      <c r="AJ154" s="659">
        <v>4589275</v>
      </c>
      <c r="AK154" s="801">
        <v>6</v>
      </c>
      <c r="AL154" s="659">
        <v>0</v>
      </c>
      <c r="AM154" s="659">
        <v>1500</v>
      </c>
      <c r="AN154" s="659">
        <v>0</v>
      </c>
      <c r="AO154" s="659">
        <v>0</v>
      </c>
      <c r="AP154" s="659">
        <v>1500</v>
      </c>
      <c r="AQ154" s="801">
        <v>1668</v>
      </c>
      <c r="AR154" s="659">
        <v>0</v>
      </c>
      <c r="AS154" s="659">
        <v>0</v>
      </c>
      <c r="AT154" s="659">
        <v>954930</v>
      </c>
      <c r="AU154" s="659">
        <v>0</v>
      </c>
      <c r="AV154" s="659">
        <v>0</v>
      </c>
      <c r="AW154" s="659">
        <v>907180</v>
      </c>
      <c r="AX154" s="659">
        <v>4</v>
      </c>
      <c r="AY154" s="659">
        <v>0</v>
      </c>
      <c r="AZ154" s="659">
        <v>0</v>
      </c>
      <c r="BA154" s="659">
        <v>1114</v>
      </c>
      <c r="BB154" s="659">
        <v>0</v>
      </c>
      <c r="BC154" s="659">
        <v>0</v>
      </c>
      <c r="BD154" s="659">
        <v>1110</v>
      </c>
      <c r="BE154" s="801">
        <v>26461</v>
      </c>
      <c r="BF154" s="659">
        <v>0</v>
      </c>
      <c r="BG154" s="659">
        <v>0</v>
      </c>
      <c r="BH154" s="659">
        <v>16555757</v>
      </c>
      <c r="BI154" s="659">
        <v>0</v>
      </c>
      <c r="BJ154" s="659">
        <v>0</v>
      </c>
      <c r="BK154" s="659">
        <v>16555757</v>
      </c>
      <c r="BL154" s="659">
        <v>2052</v>
      </c>
      <c r="BM154" s="659">
        <v>0</v>
      </c>
      <c r="BN154" s="659">
        <v>0</v>
      </c>
      <c r="BO154" s="659">
        <v>1011160</v>
      </c>
      <c r="BP154" s="659">
        <v>0</v>
      </c>
      <c r="BQ154" s="659">
        <v>0</v>
      </c>
      <c r="BR154" s="659">
        <v>959610</v>
      </c>
      <c r="BS154" s="659">
        <v>197</v>
      </c>
      <c r="BT154" s="659">
        <v>0</v>
      </c>
      <c r="BU154" s="659">
        <v>0</v>
      </c>
      <c r="BV154" s="659">
        <v>65040</v>
      </c>
      <c r="BW154" s="659">
        <v>0</v>
      </c>
      <c r="BX154" s="659">
        <v>0</v>
      </c>
      <c r="BY154" s="659">
        <v>65040</v>
      </c>
      <c r="BZ154" s="659">
        <v>25</v>
      </c>
      <c r="CA154" s="659">
        <v>0</v>
      </c>
      <c r="CB154" s="659">
        <v>0</v>
      </c>
      <c r="CC154" s="659">
        <v>10109</v>
      </c>
      <c r="CD154" s="659">
        <v>0</v>
      </c>
      <c r="CE154" s="659">
        <v>0</v>
      </c>
      <c r="CF154" s="659">
        <v>9827</v>
      </c>
      <c r="CG154" s="659">
        <v>2010</v>
      </c>
      <c r="CH154" s="659">
        <v>0</v>
      </c>
      <c r="CI154" s="659">
        <v>0</v>
      </c>
      <c r="CJ154" s="659">
        <v>1382500</v>
      </c>
      <c r="CK154" s="659">
        <v>0</v>
      </c>
      <c r="CL154" s="659">
        <v>0</v>
      </c>
      <c r="CM154" s="659">
        <v>1327000</v>
      </c>
      <c r="CN154" s="659">
        <v>1117</v>
      </c>
      <c r="CO154" s="659">
        <v>0</v>
      </c>
      <c r="CP154" s="659">
        <v>0</v>
      </c>
      <c r="CQ154" s="659">
        <v>540870</v>
      </c>
      <c r="CR154" s="659">
        <v>0</v>
      </c>
      <c r="CS154" s="659">
        <v>0</v>
      </c>
      <c r="CT154" s="659">
        <v>540770</v>
      </c>
      <c r="CU154" s="659">
        <v>940</v>
      </c>
      <c r="CV154" s="659">
        <v>0</v>
      </c>
      <c r="CW154" s="659">
        <v>0</v>
      </c>
      <c r="CX154" s="659">
        <v>654000</v>
      </c>
      <c r="CY154" s="659">
        <v>0</v>
      </c>
      <c r="CZ154" s="659">
        <v>0</v>
      </c>
      <c r="DA154" s="659">
        <v>654000</v>
      </c>
      <c r="DB154" s="659">
        <v>3915</v>
      </c>
      <c r="DC154" s="659">
        <v>0</v>
      </c>
      <c r="DD154" s="659">
        <v>0</v>
      </c>
      <c r="DE154" s="659">
        <v>2467380</v>
      </c>
      <c r="DF154" s="659">
        <v>0</v>
      </c>
      <c r="DG154" s="659">
        <v>0</v>
      </c>
      <c r="DH154" s="659">
        <v>2378094</v>
      </c>
      <c r="DI154" s="659">
        <v>17220</v>
      </c>
      <c r="DJ154" s="659">
        <v>0</v>
      </c>
      <c r="DK154" s="659">
        <v>0</v>
      </c>
      <c r="DL154" s="659">
        <v>15587500</v>
      </c>
      <c r="DM154" s="659">
        <v>0</v>
      </c>
      <c r="DN154" s="659">
        <v>0</v>
      </c>
      <c r="DO154" s="659">
        <v>14822950</v>
      </c>
      <c r="DP154" s="659">
        <v>2083</v>
      </c>
      <c r="DQ154" s="659">
        <v>0</v>
      </c>
      <c r="DR154" s="659">
        <v>0</v>
      </c>
      <c r="DS154" s="659">
        <v>1160563</v>
      </c>
      <c r="DT154" s="659">
        <v>0</v>
      </c>
      <c r="DU154" s="659">
        <v>0</v>
      </c>
      <c r="DV154" s="659">
        <v>1152725</v>
      </c>
      <c r="DW154" s="659">
        <v>2682</v>
      </c>
      <c r="DX154" s="659">
        <v>0</v>
      </c>
      <c r="DY154" s="659">
        <v>0</v>
      </c>
      <c r="DZ154" s="659">
        <v>1120720</v>
      </c>
      <c r="EA154" s="659">
        <v>0</v>
      </c>
      <c r="EB154" s="659">
        <v>0</v>
      </c>
      <c r="EC154" s="659">
        <v>1096543</v>
      </c>
      <c r="ED154" s="659">
        <v>4450</v>
      </c>
      <c r="EE154" s="659">
        <v>0</v>
      </c>
      <c r="EF154" s="659">
        <v>0</v>
      </c>
      <c r="EG154" s="659">
        <v>710000</v>
      </c>
      <c r="EH154" s="659">
        <v>0</v>
      </c>
      <c r="EI154" s="659">
        <v>0</v>
      </c>
      <c r="EJ154" s="659">
        <v>709500</v>
      </c>
      <c r="EK154" s="659">
        <v>406</v>
      </c>
      <c r="EL154" s="659">
        <v>0</v>
      </c>
      <c r="EM154" s="659">
        <v>0</v>
      </c>
      <c r="EN154" s="659">
        <v>349780</v>
      </c>
      <c r="EO154" s="659">
        <v>0</v>
      </c>
      <c r="EP154" s="659">
        <v>0</v>
      </c>
      <c r="EQ154" s="659">
        <v>349780</v>
      </c>
    </row>
    <row r="155" spans="1:147" ht="13.95" customHeight="1" x14ac:dyDescent="0.3">
      <c r="A155" s="660" t="s">
        <v>1811</v>
      </c>
      <c r="B155" s="661" t="s">
        <v>269</v>
      </c>
      <c r="C155" s="662">
        <v>0</v>
      </c>
      <c r="D155" s="662">
        <f t="shared" ref="D155:BO155" si="68">D156+D157+D159+D160+D161+D162+D163+D164+D165+D167+D168+D169+D166+D170+D171+D172+D173+D174+D175+D176+D177</f>
        <v>3559302</v>
      </c>
      <c r="E155" s="662">
        <f t="shared" si="68"/>
        <v>0</v>
      </c>
      <c r="F155" s="662">
        <f t="shared" si="68"/>
        <v>16596613</v>
      </c>
      <c r="G155" s="662">
        <f t="shared" si="68"/>
        <v>0</v>
      </c>
      <c r="H155" s="662">
        <f t="shared" si="68"/>
        <v>0</v>
      </c>
      <c r="I155" s="662">
        <f t="shared" si="68"/>
        <v>15688245</v>
      </c>
      <c r="J155" s="802">
        <f t="shared" si="68"/>
        <v>0</v>
      </c>
      <c r="K155" s="662">
        <f t="shared" si="68"/>
        <v>66558</v>
      </c>
      <c r="L155" s="662">
        <f t="shared" si="68"/>
        <v>0</v>
      </c>
      <c r="M155" s="662">
        <f t="shared" si="68"/>
        <v>225853</v>
      </c>
      <c r="N155" s="662">
        <f t="shared" si="68"/>
        <v>0</v>
      </c>
      <c r="O155" s="662">
        <f t="shared" si="68"/>
        <v>0</v>
      </c>
      <c r="P155" s="662">
        <f t="shared" si="68"/>
        <v>225453</v>
      </c>
      <c r="Q155" s="802">
        <f t="shared" si="68"/>
        <v>0</v>
      </c>
      <c r="R155" s="662">
        <f t="shared" si="68"/>
        <v>0</v>
      </c>
      <c r="S155" s="662">
        <f t="shared" si="68"/>
        <v>0</v>
      </c>
      <c r="T155" s="662">
        <f t="shared" si="68"/>
        <v>0</v>
      </c>
      <c r="U155" s="662">
        <f t="shared" si="68"/>
        <v>0</v>
      </c>
      <c r="V155" s="662">
        <f t="shared" si="68"/>
        <v>0</v>
      </c>
      <c r="W155" s="802">
        <f t="shared" si="68"/>
        <v>0</v>
      </c>
      <c r="X155" s="662">
        <f t="shared" si="68"/>
        <v>7410</v>
      </c>
      <c r="Y155" s="662">
        <f t="shared" si="68"/>
        <v>0</v>
      </c>
      <c r="Z155" s="662">
        <f t="shared" si="68"/>
        <v>31505</v>
      </c>
      <c r="AA155" s="662">
        <f t="shared" si="68"/>
        <v>0</v>
      </c>
      <c r="AB155" s="662">
        <f t="shared" si="68"/>
        <v>0</v>
      </c>
      <c r="AC155" s="662">
        <f t="shared" si="68"/>
        <v>31347</v>
      </c>
      <c r="AD155" s="802">
        <f t="shared" si="68"/>
        <v>0</v>
      </c>
      <c r="AE155" s="662">
        <f t="shared" si="68"/>
        <v>181782</v>
      </c>
      <c r="AF155" s="662">
        <f t="shared" si="68"/>
        <v>0</v>
      </c>
      <c r="AG155" s="662">
        <f t="shared" si="68"/>
        <v>777631</v>
      </c>
      <c r="AH155" s="662">
        <f t="shared" si="68"/>
        <v>0</v>
      </c>
      <c r="AI155" s="662">
        <f t="shared" si="68"/>
        <v>0</v>
      </c>
      <c r="AJ155" s="662">
        <f t="shared" si="68"/>
        <v>777631</v>
      </c>
      <c r="AK155" s="802">
        <f t="shared" si="68"/>
        <v>0</v>
      </c>
      <c r="AL155" s="662">
        <f t="shared" si="68"/>
        <v>0</v>
      </c>
      <c r="AM155" s="662">
        <f t="shared" si="68"/>
        <v>0</v>
      </c>
      <c r="AN155" s="662">
        <f t="shared" si="68"/>
        <v>0</v>
      </c>
      <c r="AO155" s="662">
        <f t="shared" si="68"/>
        <v>0</v>
      </c>
      <c r="AP155" s="662">
        <f t="shared" si="68"/>
        <v>0</v>
      </c>
      <c r="AQ155" s="802">
        <f t="shared" si="68"/>
        <v>0</v>
      </c>
      <c r="AR155" s="662">
        <f t="shared" si="68"/>
        <v>348936</v>
      </c>
      <c r="AS155" s="662">
        <f t="shared" si="68"/>
        <v>0</v>
      </c>
      <c r="AT155" s="662">
        <f t="shared" si="68"/>
        <v>1435184</v>
      </c>
      <c r="AU155" s="662">
        <f t="shared" si="68"/>
        <v>0</v>
      </c>
      <c r="AV155" s="662">
        <f t="shared" si="68"/>
        <v>0</v>
      </c>
      <c r="AW155" s="662">
        <f t="shared" si="68"/>
        <v>1395567</v>
      </c>
      <c r="AX155" s="662">
        <f t="shared" si="68"/>
        <v>0</v>
      </c>
      <c r="AY155" s="662">
        <f t="shared" si="68"/>
        <v>6731</v>
      </c>
      <c r="AZ155" s="662">
        <f t="shared" si="68"/>
        <v>0</v>
      </c>
      <c r="BA155" s="662">
        <f t="shared" si="68"/>
        <v>35207</v>
      </c>
      <c r="BB155" s="662">
        <f t="shared" si="68"/>
        <v>0</v>
      </c>
      <c r="BC155" s="662">
        <f t="shared" si="68"/>
        <v>0</v>
      </c>
      <c r="BD155" s="662">
        <f t="shared" si="68"/>
        <v>35088</v>
      </c>
      <c r="BE155" s="802">
        <f t="shared" si="68"/>
        <v>0</v>
      </c>
      <c r="BF155" s="662">
        <f t="shared" si="68"/>
        <v>112644</v>
      </c>
      <c r="BG155" s="662">
        <f t="shared" si="68"/>
        <v>0</v>
      </c>
      <c r="BH155" s="662">
        <f t="shared" si="68"/>
        <v>443801</v>
      </c>
      <c r="BI155" s="662">
        <f t="shared" si="68"/>
        <v>0</v>
      </c>
      <c r="BJ155" s="662">
        <f t="shared" si="68"/>
        <v>0</v>
      </c>
      <c r="BK155" s="662">
        <f t="shared" si="68"/>
        <v>443801</v>
      </c>
      <c r="BL155" s="662">
        <f t="shared" si="68"/>
        <v>0</v>
      </c>
      <c r="BM155" s="662">
        <f t="shared" si="68"/>
        <v>23908</v>
      </c>
      <c r="BN155" s="662">
        <f t="shared" si="68"/>
        <v>0</v>
      </c>
      <c r="BO155" s="662">
        <f t="shared" si="68"/>
        <v>81543</v>
      </c>
      <c r="BP155" s="662">
        <f t="shared" ref="BP155:EA155" si="69">BP156+BP157+BP159+BP160+BP161+BP162+BP163+BP164+BP165+BP167+BP168+BP169+BP166+BP170+BP171+BP172+BP173+BP174+BP175+BP176+BP177</f>
        <v>0</v>
      </c>
      <c r="BQ155" s="662">
        <f t="shared" si="69"/>
        <v>0</v>
      </c>
      <c r="BR155" s="662">
        <f t="shared" si="69"/>
        <v>78472</v>
      </c>
      <c r="BS155" s="662">
        <f t="shared" si="69"/>
        <v>0</v>
      </c>
      <c r="BT155" s="662">
        <f t="shared" si="69"/>
        <v>1728</v>
      </c>
      <c r="BU155" s="662">
        <f t="shared" si="69"/>
        <v>0</v>
      </c>
      <c r="BV155" s="662">
        <f t="shared" si="69"/>
        <v>21790</v>
      </c>
      <c r="BW155" s="662">
        <f t="shared" si="69"/>
        <v>0</v>
      </c>
      <c r="BX155" s="662">
        <f t="shared" si="69"/>
        <v>0</v>
      </c>
      <c r="BY155" s="662">
        <f t="shared" si="69"/>
        <v>19490</v>
      </c>
      <c r="BZ155" s="662">
        <f t="shared" si="69"/>
        <v>0</v>
      </c>
      <c r="CA155" s="662">
        <f t="shared" si="69"/>
        <v>3623</v>
      </c>
      <c r="CB155" s="662">
        <f t="shared" si="69"/>
        <v>0</v>
      </c>
      <c r="CC155" s="662">
        <f t="shared" si="69"/>
        <v>18732</v>
      </c>
      <c r="CD155" s="662">
        <f t="shared" si="69"/>
        <v>0</v>
      </c>
      <c r="CE155" s="662">
        <f t="shared" si="69"/>
        <v>0</v>
      </c>
      <c r="CF155" s="662">
        <f t="shared" si="69"/>
        <v>18341</v>
      </c>
      <c r="CG155" s="662">
        <f t="shared" si="69"/>
        <v>0</v>
      </c>
      <c r="CH155" s="662">
        <f t="shared" si="69"/>
        <v>876797</v>
      </c>
      <c r="CI155" s="662">
        <f t="shared" si="69"/>
        <v>0</v>
      </c>
      <c r="CJ155" s="662">
        <f t="shared" si="69"/>
        <v>5084920</v>
      </c>
      <c r="CK155" s="662">
        <f t="shared" si="69"/>
        <v>0</v>
      </c>
      <c r="CL155" s="662">
        <f t="shared" si="69"/>
        <v>0</v>
      </c>
      <c r="CM155" s="662">
        <f t="shared" si="69"/>
        <v>4793345</v>
      </c>
      <c r="CN155" s="662">
        <f t="shared" si="69"/>
        <v>0</v>
      </c>
      <c r="CO155" s="662">
        <f t="shared" si="69"/>
        <v>16007</v>
      </c>
      <c r="CP155" s="662">
        <f t="shared" si="69"/>
        <v>0</v>
      </c>
      <c r="CQ155" s="662">
        <f t="shared" si="69"/>
        <v>32548</v>
      </c>
      <c r="CR155" s="662">
        <f t="shared" si="69"/>
        <v>0</v>
      </c>
      <c r="CS155" s="662">
        <f t="shared" si="69"/>
        <v>0</v>
      </c>
      <c r="CT155" s="662">
        <f t="shared" si="69"/>
        <v>32548</v>
      </c>
      <c r="CU155" s="662">
        <f t="shared" si="69"/>
        <v>0</v>
      </c>
      <c r="CV155" s="662">
        <f t="shared" si="69"/>
        <v>500</v>
      </c>
      <c r="CW155" s="662">
        <f t="shared" si="69"/>
        <v>0</v>
      </c>
      <c r="CX155" s="662">
        <f t="shared" si="69"/>
        <v>1880</v>
      </c>
      <c r="CY155" s="662">
        <f t="shared" si="69"/>
        <v>0</v>
      </c>
      <c r="CZ155" s="662">
        <f t="shared" si="69"/>
        <v>0</v>
      </c>
      <c r="DA155" s="662">
        <f t="shared" si="69"/>
        <v>1880</v>
      </c>
      <c r="DB155" s="662">
        <f t="shared" si="69"/>
        <v>0</v>
      </c>
      <c r="DC155" s="662">
        <f t="shared" si="69"/>
        <v>1008540</v>
      </c>
      <c r="DD155" s="662">
        <f t="shared" si="69"/>
        <v>0</v>
      </c>
      <c r="DE155" s="662">
        <f t="shared" si="69"/>
        <v>3625157</v>
      </c>
      <c r="DF155" s="662">
        <f t="shared" si="69"/>
        <v>0</v>
      </c>
      <c r="DG155" s="662">
        <f t="shared" si="69"/>
        <v>0</v>
      </c>
      <c r="DH155" s="662">
        <f t="shared" si="69"/>
        <v>3525014</v>
      </c>
      <c r="DI155" s="662">
        <f t="shared" si="69"/>
        <v>0</v>
      </c>
      <c r="DJ155" s="662">
        <f t="shared" si="69"/>
        <v>43013</v>
      </c>
      <c r="DK155" s="662">
        <f t="shared" si="69"/>
        <v>0</v>
      </c>
      <c r="DL155" s="662">
        <f t="shared" si="69"/>
        <v>320309</v>
      </c>
      <c r="DM155" s="662">
        <f t="shared" si="69"/>
        <v>0</v>
      </c>
      <c r="DN155" s="662">
        <f t="shared" si="69"/>
        <v>0</v>
      </c>
      <c r="DO155" s="662">
        <f t="shared" si="69"/>
        <v>312645</v>
      </c>
      <c r="DP155" s="662">
        <f t="shared" si="69"/>
        <v>0</v>
      </c>
      <c r="DQ155" s="662">
        <f t="shared" si="69"/>
        <v>32104</v>
      </c>
      <c r="DR155" s="662">
        <f t="shared" si="69"/>
        <v>0</v>
      </c>
      <c r="DS155" s="662">
        <f t="shared" si="69"/>
        <v>89270</v>
      </c>
      <c r="DT155" s="662">
        <f t="shared" si="69"/>
        <v>0</v>
      </c>
      <c r="DU155" s="662">
        <f t="shared" si="69"/>
        <v>0</v>
      </c>
      <c r="DV155" s="662">
        <f t="shared" si="69"/>
        <v>88359</v>
      </c>
      <c r="DW155" s="662">
        <f t="shared" si="69"/>
        <v>0</v>
      </c>
      <c r="DX155" s="662">
        <f t="shared" si="69"/>
        <v>51951</v>
      </c>
      <c r="DY155" s="662">
        <f t="shared" si="69"/>
        <v>0</v>
      </c>
      <c r="DZ155" s="662">
        <f t="shared" si="69"/>
        <v>253360</v>
      </c>
      <c r="EA155" s="662">
        <f t="shared" si="69"/>
        <v>0</v>
      </c>
      <c r="EB155" s="662">
        <f t="shared" ref="EB155:EQ155" si="70">EB156+EB157+EB159+EB160+EB161+EB162+EB163+EB164+EB165+EB167+EB168+EB169+EB166+EB170+EB171+EB172+EB173+EB174+EB175+EB176+EB177</f>
        <v>0</v>
      </c>
      <c r="EC155" s="662">
        <f t="shared" si="70"/>
        <v>247249</v>
      </c>
      <c r="ED155" s="662">
        <f t="shared" si="70"/>
        <v>0</v>
      </c>
      <c r="EE155" s="662">
        <f t="shared" si="70"/>
        <v>714014</v>
      </c>
      <c r="EF155" s="662">
        <f t="shared" si="70"/>
        <v>0</v>
      </c>
      <c r="EG155" s="662">
        <f t="shared" si="70"/>
        <v>3732100</v>
      </c>
      <c r="EH155" s="662">
        <f t="shared" si="70"/>
        <v>0</v>
      </c>
      <c r="EI155" s="662">
        <f t="shared" si="70"/>
        <v>0</v>
      </c>
      <c r="EJ155" s="662">
        <f t="shared" si="70"/>
        <v>3276798</v>
      </c>
      <c r="EK155" s="662">
        <f t="shared" si="70"/>
        <v>0</v>
      </c>
      <c r="EL155" s="662">
        <f t="shared" si="70"/>
        <v>63056</v>
      </c>
      <c r="EM155" s="662">
        <f t="shared" si="70"/>
        <v>0</v>
      </c>
      <c r="EN155" s="662">
        <f t="shared" si="70"/>
        <v>385823</v>
      </c>
      <c r="EO155" s="662">
        <f t="shared" si="70"/>
        <v>0</v>
      </c>
      <c r="EP155" s="662">
        <f t="shared" si="70"/>
        <v>0</v>
      </c>
      <c r="EQ155" s="662">
        <f t="shared" si="70"/>
        <v>385217</v>
      </c>
    </row>
    <row r="156" spans="1:147" ht="13.95" customHeight="1" x14ac:dyDescent="0.3">
      <c r="A156" s="660" t="s">
        <v>1812</v>
      </c>
      <c r="B156" s="661" t="s">
        <v>269</v>
      </c>
      <c r="C156" s="662">
        <v>0</v>
      </c>
      <c r="D156" s="662">
        <v>4564</v>
      </c>
      <c r="E156" s="662">
        <v>0</v>
      </c>
      <c r="F156" s="662">
        <v>15756</v>
      </c>
      <c r="G156" s="662">
        <v>0</v>
      </c>
      <c r="H156" s="662">
        <v>0</v>
      </c>
      <c r="I156" s="662">
        <v>15390</v>
      </c>
      <c r="J156" s="802">
        <v>0</v>
      </c>
      <c r="K156" s="662">
        <v>455</v>
      </c>
      <c r="L156" s="662">
        <v>0</v>
      </c>
      <c r="M156" s="662">
        <v>1908</v>
      </c>
      <c r="N156" s="662">
        <v>0</v>
      </c>
      <c r="O156" s="662">
        <v>0</v>
      </c>
      <c r="P156" s="662">
        <v>1900</v>
      </c>
      <c r="Q156" s="802">
        <v>0</v>
      </c>
      <c r="R156" s="662">
        <v>0</v>
      </c>
      <c r="S156" s="662">
        <v>0</v>
      </c>
      <c r="T156" s="662">
        <v>0</v>
      </c>
      <c r="U156" s="662">
        <v>0</v>
      </c>
      <c r="V156" s="662">
        <v>0</v>
      </c>
      <c r="W156" s="802">
        <v>0</v>
      </c>
      <c r="X156" s="662">
        <v>0</v>
      </c>
      <c r="Y156" s="662">
        <v>0</v>
      </c>
      <c r="Z156" s="662">
        <v>0</v>
      </c>
      <c r="AA156" s="662">
        <v>0</v>
      </c>
      <c r="AB156" s="662">
        <v>0</v>
      </c>
      <c r="AC156" s="662">
        <v>0</v>
      </c>
      <c r="AD156" s="802">
        <v>0</v>
      </c>
      <c r="AE156" s="662">
        <v>12</v>
      </c>
      <c r="AF156" s="662">
        <v>0</v>
      </c>
      <c r="AG156" s="662">
        <v>24</v>
      </c>
      <c r="AH156" s="662">
        <v>0</v>
      </c>
      <c r="AI156" s="662">
        <v>0</v>
      </c>
      <c r="AJ156" s="662">
        <v>24</v>
      </c>
      <c r="AK156" s="802">
        <v>0</v>
      </c>
      <c r="AL156" s="662">
        <v>0</v>
      </c>
      <c r="AM156" s="662">
        <v>0</v>
      </c>
      <c r="AN156" s="662">
        <v>0</v>
      </c>
      <c r="AO156" s="662">
        <v>0</v>
      </c>
      <c r="AP156" s="662">
        <v>0</v>
      </c>
      <c r="AQ156" s="802">
        <v>0</v>
      </c>
      <c r="AR156" s="662">
        <v>1153</v>
      </c>
      <c r="AS156" s="662">
        <v>0</v>
      </c>
      <c r="AT156" s="662">
        <v>6918</v>
      </c>
      <c r="AU156" s="662">
        <v>0</v>
      </c>
      <c r="AV156" s="662">
        <v>0</v>
      </c>
      <c r="AW156" s="662">
        <v>6814</v>
      </c>
      <c r="AX156" s="662">
        <v>0</v>
      </c>
      <c r="AY156" s="662">
        <v>0</v>
      </c>
      <c r="AZ156" s="662">
        <v>0</v>
      </c>
      <c r="BA156" s="662">
        <v>0</v>
      </c>
      <c r="BB156" s="662">
        <v>0</v>
      </c>
      <c r="BC156" s="662">
        <v>0</v>
      </c>
      <c r="BD156" s="662">
        <v>0</v>
      </c>
      <c r="BE156" s="802">
        <v>0</v>
      </c>
      <c r="BF156" s="662">
        <v>95</v>
      </c>
      <c r="BG156" s="662">
        <v>0</v>
      </c>
      <c r="BH156" s="662">
        <v>570</v>
      </c>
      <c r="BI156" s="662">
        <v>0</v>
      </c>
      <c r="BJ156" s="662">
        <v>0</v>
      </c>
      <c r="BK156" s="662">
        <v>570</v>
      </c>
      <c r="BL156" s="662">
        <v>0</v>
      </c>
      <c r="BM156" s="662">
        <v>500</v>
      </c>
      <c r="BN156" s="662">
        <v>0</v>
      </c>
      <c r="BO156" s="662">
        <v>935</v>
      </c>
      <c r="BP156" s="662">
        <v>0</v>
      </c>
      <c r="BQ156" s="662">
        <v>0</v>
      </c>
      <c r="BR156" s="662">
        <v>925</v>
      </c>
      <c r="BS156" s="662">
        <v>0</v>
      </c>
      <c r="BT156" s="662">
        <v>0</v>
      </c>
      <c r="BU156" s="662">
        <v>0</v>
      </c>
      <c r="BV156" s="662">
        <v>0</v>
      </c>
      <c r="BW156" s="662">
        <v>0</v>
      </c>
      <c r="BX156" s="662">
        <v>0</v>
      </c>
      <c r="BY156" s="662">
        <v>0</v>
      </c>
      <c r="BZ156" s="662">
        <v>0</v>
      </c>
      <c r="CA156" s="662">
        <v>21</v>
      </c>
      <c r="CB156" s="662">
        <v>0</v>
      </c>
      <c r="CC156" s="662">
        <v>66</v>
      </c>
      <c r="CD156" s="662">
        <v>0</v>
      </c>
      <c r="CE156" s="662">
        <v>0</v>
      </c>
      <c r="CF156" s="662">
        <v>65</v>
      </c>
      <c r="CG156" s="662">
        <v>0</v>
      </c>
      <c r="CH156" s="662">
        <v>0</v>
      </c>
      <c r="CI156" s="662">
        <v>0</v>
      </c>
      <c r="CJ156" s="662">
        <v>0</v>
      </c>
      <c r="CK156" s="662">
        <v>0</v>
      </c>
      <c r="CL156" s="662">
        <v>0</v>
      </c>
      <c r="CM156" s="662">
        <v>0</v>
      </c>
      <c r="CN156" s="662">
        <v>0</v>
      </c>
      <c r="CO156" s="662">
        <v>0</v>
      </c>
      <c r="CP156" s="662">
        <v>0</v>
      </c>
      <c r="CQ156" s="662">
        <v>0</v>
      </c>
      <c r="CR156" s="662">
        <v>0</v>
      </c>
      <c r="CS156" s="662">
        <v>0</v>
      </c>
      <c r="CT156" s="662">
        <v>0</v>
      </c>
      <c r="CU156" s="662">
        <v>0</v>
      </c>
      <c r="CV156" s="662">
        <v>0</v>
      </c>
      <c r="CW156" s="662">
        <v>0</v>
      </c>
      <c r="CX156" s="662">
        <v>0</v>
      </c>
      <c r="CY156" s="662">
        <v>0</v>
      </c>
      <c r="CZ156" s="662">
        <v>0</v>
      </c>
      <c r="DA156" s="662">
        <v>0</v>
      </c>
      <c r="DB156" s="662">
        <v>0</v>
      </c>
      <c r="DC156" s="662">
        <v>1900</v>
      </c>
      <c r="DD156" s="662">
        <v>0</v>
      </c>
      <c r="DE156" s="662">
        <v>3940</v>
      </c>
      <c r="DF156" s="662">
        <v>0</v>
      </c>
      <c r="DG156" s="662">
        <v>0</v>
      </c>
      <c r="DH156" s="662">
        <v>3793</v>
      </c>
      <c r="DI156" s="662">
        <v>0</v>
      </c>
      <c r="DJ156" s="662">
        <v>0</v>
      </c>
      <c r="DK156" s="662">
        <v>0</v>
      </c>
      <c r="DL156" s="662">
        <v>0</v>
      </c>
      <c r="DM156" s="662">
        <v>0</v>
      </c>
      <c r="DN156" s="662">
        <v>0</v>
      </c>
      <c r="DO156" s="662">
        <v>0</v>
      </c>
      <c r="DP156" s="662">
        <v>0</v>
      </c>
      <c r="DQ156" s="662">
        <v>0</v>
      </c>
      <c r="DR156" s="662">
        <v>0</v>
      </c>
      <c r="DS156" s="662">
        <v>0</v>
      </c>
      <c r="DT156" s="662">
        <v>0</v>
      </c>
      <c r="DU156" s="662">
        <v>0</v>
      </c>
      <c r="DV156" s="662">
        <v>0</v>
      </c>
      <c r="DW156" s="662">
        <v>0</v>
      </c>
      <c r="DX156" s="662">
        <v>85</v>
      </c>
      <c r="DY156" s="662">
        <v>0</v>
      </c>
      <c r="DZ156" s="662">
        <v>365</v>
      </c>
      <c r="EA156" s="662">
        <v>0</v>
      </c>
      <c r="EB156" s="662">
        <v>0</v>
      </c>
      <c r="EC156" s="662">
        <v>364</v>
      </c>
      <c r="ED156" s="662">
        <v>0</v>
      </c>
      <c r="EE156" s="662">
        <v>343</v>
      </c>
      <c r="EF156" s="662">
        <v>0</v>
      </c>
      <c r="EG156" s="662">
        <v>1030</v>
      </c>
      <c r="EH156" s="662">
        <v>0</v>
      </c>
      <c r="EI156" s="662">
        <v>0</v>
      </c>
      <c r="EJ156" s="662">
        <v>935</v>
      </c>
      <c r="EK156" s="662">
        <v>0</v>
      </c>
      <c r="EL156" s="662">
        <v>0</v>
      </c>
      <c r="EM156" s="662">
        <v>0</v>
      </c>
      <c r="EN156" s="662">
        <v>0</v>
      </c>
      <c r="EO156" s="662">
        <v>0</v>
      </c>
      <c r="EP156" s="662">
        <v>0</v>
      </c>
      <c r="EQ156" s="662">
        <v>0</v>
      </c>
    </row>
    <row r="157" spans="1:147" ht="13.95" customHeight="1" x14ac:dyDescent="0.3">
      <c r="A157" s="660" t="s">
        <v>1813</v>
      </c>
      <c r="B157" s="661" t="s">
        <v>269</v>
      </c>
      <c r="C157" s="662">
        <v>0</v>
      </c>
      <c r="D157" s="662">
        <v>24703</v>
      </c>
      <c r="E157" s="662">
        <v>0</v>
      </c>
      <c r="F157" s="662">
        <v>137488</v>
      </c>
      <c r="G157" s="662">
        <v>0</v>
      </c>
      <c r="H157" s="662">
        <v>0</v>
      </c>
      <c r="I157" s="662">
        <v>129298</v>
      </c>
      <c r="J157" s="802">
        <v>0</v>
      </c>
      <c r="K157" s="662">
        <v>395</v>
      </c>
      <c r="L157" s="662">
        <v>0</v>
      </c>
      <c r="M157" s="662">
        <v>910</v>
      </c>
      <c r="N157" s="662">
        <v>0</v>
      </c>
      <c r="O157" s="662">
        <v>0</v>
      </c>
      <c r="P157" s="662">
        <v>910</v>
      </c>
      <c r="Q157" s="802">
        <v>0</v>
      </c>
      <c r="R157" s="662">
        <v>0</v>
      </c>
      <c r="S157" s="662">
        <v>0</v>
      </c>
      <c r="T157" s="662">
        <v>0</v>
      </c>
      <c r="U157" s="662">
        <v>0</v>
      </c>
      <c r="V157" s="662">
        <v>0</v>
      </c>
      <c r="W157" s="802">
        <v>0</v>
      </c>
      <c r="X157" s="662">
        <v>145</v>
      </c>
      <c r="Y157" s="662">
        <v>0</v>
      </c>
      <c r="Z157" s="662">
        <v>345</v>
      </c>
      <c r="AA157" s="662">
        <v>0</v>
      </c>
      <c r="AB157" s="662">
        <v>0</v>
      </c>
      <c r="AC157" s="662">
        <v>340</v>
      </c>
      <c r="AD157" s="802">
        <v>0</v>
      </c>
      <c r="AE157" s="662">
        <v>45</v>
      </c>
      <c r="AF157" s="662">
        <v>0</v>
      </c>
      <c r="AG157" s="662">
        <v>114</v>
      </c>
      <c r="AH157" s="662">
        <v>0</v>
      </c>
      <c r="AI157" s="662">
        <v>0</v>
      </c>
      <c r="AJ157" s="662">
        <v>114</v>
      </c>
      <c r="AK157" s="802">
        <v>0</v>
      </c>
      <c r="AL157" s="662">
        <v>0</v>
      </c>
      <c r="AM157" s="662">
        <v>0</v>
      </c>
      <c r="AN157" s="662">
        <v>0</v>
      </c>
      <c r="AO157" s="662">
        <v>0</v>
      </c>
      <c r="AP157" s="662">
        <v>0</v>
      </c>
      <c r="AQ157" s="802">
        <v>0</v>
      </c>
      <c r="AR157" s="662">
        <v>2324</v>
      </c>
      <c r="AS157" s="662">
        <v>0</v>
      </c>
      <c r="AT157" s="662">
        <v>6793</v>
      </c>
      <c r="AU157" s="662">
        <v>0</v>
      </c>
      <c r="AV157" s="662">
        <v>0</v>
      </c>
      <c r="AW157" s="662">
        <v>6621</v>
      </c>
      <c r="AX157" s="662">
        <v>0</v>
      </c>
      <c r="AY157" s="662">
        <v>0</v>
      </c>
      <c r="AZ157" s="662">
        <v>0</v>
      </c>
      <c r="BA157" s="662">
        <v>0</v>
      </c>
      <c r="BB157" s="662">
        <v>0</v>
      </c>
      <c r="BC157" s="662">
        <v>0</v>
      </c>
      <c r="BD157" s="662">
        <v>0</v>
      </c>
      <c r="BE157" s="802">
        <v>0</v>
      </c>
      <c r="BF157" s="662">
        <v>0</v>
      </c>
      <c r="BG157" s="662">
        <v>0</v>
      </c>
      <c r="BH157" s="662">
        <v>0</v>
      </c>
      <c r="BI157" s="662">
        <v>0</v>
      </c>
      <c r="BJ157" s="662">
        <v>0</v>
      </c>
      <c r="BK157" s="662">
        <v>0</v>
      </c>
      <c r="BL157" s="662">
        <v>0</v>
      </c>
      <c r="BM157" s="662">
        <v>474</v>
      </c>
      <c r="BN157" s="662">
        <v>0</v>
      </c>
      <c r="BO157" s="662">
        <v>814</v>
      </c>
      <c r="BP157" s="662">
        <v>0</v>
      </c>
      <c r="BQ157" s="662">
        <v>0</v>
      </c>
      <c r="BR157" s="662">
        <v>804</v>
      </c>
      <c r="BS157" s="662">
        <v>0</v>
      </c>
      <c r="BT157" s="662">
        <v>0</v>
      </c>
      <c r="BU157" s="662">
        <v>0</v>
      </c>
      <c r="BV157" s="662">
        <v>0</v>
      </c>
      <c r="BW157" s="662">
        <v>0</v>
      </c>
      <c r="BX157" s="662">
        <v>0</v>
      </c>
      <c r="BY157" s="662">
        <v>0</v>
      </c>
      <c r="BZ157" s="662">
        <v>0</v>
      </c>
      <c r="CA157" s="662">
        <v>6</v>
      </c>
      <c r="CB157" s="662">
        <v>0</v>
      </c>
      <c r="CC157" s="662">
        <v>20</v>
      </c>
      <c r="CD157" s="662">
        <v>0</v>
      </c>
      <c r="CE157" s="662">
        <v>0</v>
      </c>
      <c r="CF157" s="662">
        <v>17</v>
      </c>
      <c r="CG157" s="662">
        <v>0</v>
      </c>
      <c r="CH157" s="662">
        <v>21200</v>
      </c>
      <c r="CI157" s="662">
        <v>0</v>
      </c>
      <c r="CJ157" s="662">
        <v>127700</v>
      </c>
      <c r="CK157" s="662">
        <v>0</v>
      </c>
      <c r="CL157" s="662">
        <v>0</v>
      </c>
      <c r="CM157" s="662">
        <v>119700</v>
      </c>
      <c r="CN157" s="662">
        <v>0</v>
      </c>
      <c r="CO157" s="662">
        <v>0</v>
      </c>
      <c r="CP157" s="662">
        <v>0</v>
      </c>
      <c r="CQ157" s="662">
        <v>0</v>
      </c>
      <c r="CR157" s="662">
        <v>0</v>
      </c>
      <c r="CS157" s="662">
        <v>0</v>
      </c>
      <c r="CT157" s="662">
        <v>0</v>
      </c>
      <c r="CU157" s="662">
        <v>0</v>
      </c>
      <c r="CV157" s="662">
        <v>0</v>
      </c>
      <c r="CW157" s="662">
        <v>0</v>
      </c>
      <c r="CX157" s="662">
        <v>0</v>
      </c>
      <c r="CY157" s="662">
        <v>0</v>
      </c>
      <c r="CZ157" s="662">
        <v>0</v>
      </c>
      <c r="DA157" s="662">
        <v>0</v>
      </c>
      <c r="DB157" s="662">
        <v>0</v>
      </c>
      <c r="DC157" s="662">
        <v>0</v>
      </c>
      <c r="DD157" s="662">
        <v>0</v>
      </c>
      <c r="DE157" s="662">
        <v>0</v>
      </c>
      <c r="DF157" s="662">
        <v>0</v>
      </c>
      <c r="DG157" s="662">
        <v>0</v>
      </c>
      <c r="DH157" s="662">
        <v>0</v>
      </c>
      <c r="DI157" s="662">
        <v>0</v>
      </c>
      <c r="DJ157" s="662">
        <v>0</v>
      </c>
      <c r="DK157" s="662">
        <v>0</v>
      </c>
      <c r="DL157" s="662">
        <v>0</v>
      </c>
      <c r="DM157" s="662">
        <v>0</v>
      </c>
      <c r="DN157" s="662">
        <v>0</v>
      </c>
      <c r="DO157" s="662">
        <v>0</v>
      </c>
      <c r="DP157" s="662">
        <v>0</v>
      </c>
      <c r="DQ157" s="662">
        <v>0</v>
      </c>
      <c r="DR157" s="662">
        <v>0</v>
      </c>
      <c r="DS157" s="662">
        <v>0</v>
      </c>
      <c r="DT157" s="662">
        <v>0</v>
      </c>
      <c r="DU157" s="662">
        <v>0</v>
      </c>
      <c r="DV157" s="662">
        <v>0</v>
      </c>
      <c r="DW157" s="662">
        <v>0</v>
      </c>
      <c r="DX157" s="662">
        <v>114</v>
      </c>
      <c r="DY157" s="662">
        <v>0</v>
      </c>
      <c r="DZ157" s="662">
        <v>792</v>
      </c>
      <c r="EA157" s="662">
        <v>0</v>
      </c>
      <c r="EB157" s="662">
        <v>0</v>
      </c>
      <c r="EC157" s="662">
        <v>792</v>
      </c>
      <c r="ED157" s="662">
        <v>0</v>
      </c>
      <c r="EE157" s="662">
        <v>0</v>
      </c>
      <c r="EF157" s="662">
        <v>0</v>
      </c>
      <c r="EG157" s="662">
        <v>0</v>
      </c>
      <c r="EH157" s="662">
        <v>0</v>
      </c>
      <c r="EI157" s="662">
        <v>0</v>
      </c>
      <c r="EJ157" s="662">
        <v>0</v>
      </c>
      <c r="EK157" s="662">
        <v>0</v>
      </c>
      <c r="EL157" s="662">
        <v>0</v>
      </c>
      <c r="EM157" s="662">
        <v>0</v>
      </c>
      <c r="EN157" s="662">
        <v>0</v>
      </c>
      <c r="EO157" s="662">
        <v>0</v>
      </c>
      <c r="EP157" s="662">
        <v>0</v>
      </c>
      <c r="EQ157" s="662">
        <v>0</v>
      </c>
    </row>
    <row r="158" spans="1:147" ht="13.95" customHeight="1" x14ac:dyDescent="0.3">
      <c r="A158" s="660" t="s">
        <v>1814</v>
      </c>
      <c r="B158" s="661" t="s">
        <v>269</v>
      </c>
      <c r="C158" s="662">
        <v>0</v>
      </c>
      <c r="D158" s="662">
        <v>0</v>
      </c>
      <c r="E158" s="662">
        <v>0</v>
      </c>
      <c r="F158" s="662">
        <v>0</v>
      </c>
      <c r="G158" s="662">
        <v>0</v>
      </c>
      <c r="H158" s="662">
        <v>0</v>
      </c>
      <c r="I158" s="662">
        <v>0</v>
      </c>
      <c r="J158" s="802">
        <v>0</v>
      </c>
      <c r="K158" s="662">
        <v>0</v>
      </c>
      <c r="L158" s="662">
        <v>0</v>
      </c>
      <c r="M158" s="662">
        <v>0</v>
      </c>
      <c r="N158" s="662">
        <v>0</v>
      </c>
      <c r="O158" s="662">
        <v>0</v>
      </c>
      <c r="P158" s="662">
        <v>0</v>
      </c>
      <c r="Q158" s="802">
        <v>0</v>
      </c>
      <c r="R158" s="662">
        <v>0</v>
      </c>
      <c r="S158" s="662">
        <v>0</v>
      </c>
      <c r="T158" s="662">
        <v>0</v>
      </c>
      <c r="U158" s="662">
        <v>0</v>
      </c>
      <c r="V158" s="662">
        <v>0</v>
      </c>
      <c r="W158" s="802">
        <v>0</v>
      </c>
      <c r="X158" s="662">
        <v>0</v>
      </c>
      <c r="Y158" s="662">
        <v>0</v>
      </c>
      <c r="Z158" s="662">
        <v>0</v>
      </c>
      <c r="AA158" s="662">
        <v>0</v>
      </c>
      <c r="AB158" s="662">
        <v>0</v>
      </c>
      <c r="AC158" s="662">
        <v>0</v>
      </c>
      <c r="AD158" s="802">
        <v>0</v>
      </c>
      <c r="AE158" s="662">
        <v>0</v>
      </c>
      <c r="AF158" s="662">
        <v>0</v>
      </c>
      <c r="AG158" s="662">
        <v>0</v>
      </c>
      <c r="AH158" s="662">
        <v>0</v>
      </c>
      <c r="AI158" s="662">
        <v>0</v>
      </c>
      <c r="AJ158" s="662">
        <v>0</v>
      </c>
      <c r="AK158" s="802">
        <v>0</v>
      </c>
      <c r="AL158" s="662">
        <v>0</v>
      </c>
      <c r="AM158" s="662">
        <v>0</v>
      </c>
      <c r="AN158" s="662">
        <v>0</v>
      </c>
      <c r="AO158" s="662">
        <v>0</v>
      </c>
      <c r="AP158" s="662">
        <v>0</v>
      </c>
      <c r="AQ158" s="802">
        <v>0</v>
      </c>
      <c r="AR158" s="662">
        <v>0</v>
      </c>
      <c r="AS158" s="662">
        <v>0</v>
      </c>
      <c r="AT158" s="662">
        <v>0</v>
      </c>
      <c r="AU158" s="662">
        <v>0</v>
      </c>
      <c r="AV158" s="662">
        <v>0</v>
      </c>
      <c r="AW158" s="662">
        <v>0</v>
      </c>
      <c r="AX158" s="662">
        <v>0</v>
      </c>
      <c r="AY158" s="662">
        <v>0</v>
      </c>
      <c r="AZ158" s="662">
        <v>0</v>
      </c>
      <c r="BA158" s="662">
        <v>0</v>
      </c>
      <c r="BB158" s="662">
        <v>0</v>
      </c>
      <c r="BC158" s="662">
        <v>0</v>
      </c>
      <c r="BD158" s="662">
        <v>0</v>
      </c>
      <c r="BE158" s="802">
        <v>0</v>
      </c>
      <c r="BF158" s="662">
        <v>0</v>
      </c>
      <c r="BG158" s="662">
        <v>0</v>
      </c>
      <c r="BH158" s="662">
        <v>0</v>
      </c>
      <c r="BI158" s="662">
        <v>0</v>
      </c>
      <c r="BJ158" s="662">
        <v>0</v>
      </c>
      <c r="BK158" s="662">
        <v>0</v>
      </c>
      <c r="BL158" s="662">
        <v>0</v>
      </c>
      <c r="BM158" s="662">
        <v>0</v>
      </c>
      <c r="BN158" s="662">
        <v>0</v>
      </c>
      <c r="BO158" s="662">
        <v>0</v>
      </c>
      <c r="BP158" s="662">
        <v>0</v>
      </c>
      <c r="BQ158" s="662">
        <v>0</v>
      </c>
      <c r="BR158" s="662">
        <v>0</v>
      </c>
      <c r="BS158" s="662">
        <v>0</v>
      </c>
      <c r="BT158" s="662">
        <v>0</v>
      </c>
      <c r="BU158" s="662">
        <v>0</v>
      </c>
      <c r="BV158" s="662">
        <v>0</v>
      </c>
      <c r="BW158" s="662">
        <v>0</v>
      </c>
      <c r="BX158" s="662">
        <v>0</v>
      </c>
      <c r="BY158" s="662">
        <v>0</v>
      </c>
      <c r="BZ158" s="662">
        <v>0</v>
      </c>
      <c r="CA158" s="662">
        <v>0</v>
      </c>
      <c r="CB158" s="662">
        <v>0</v>
      </c>
      <c r="CC158" s="662">
        <v>0</v>
      </c>
      <c r="CD158" s="662">
        <v>0</v>
      </c>
      <c r="CE158" s="662">
        <v>0</v>
      </c>
      <c r="CF158" s="662">
        <v>0</v>
      </c>
      <c r="CG158" s="662">
        <v>0</v>
      </c>
      <c r="CH158" s="662">
        <v>0</v>
      </c>
      <c r="CI158" s="662">
        <v>0</v>
      </c>
      <c r="CJ158" s="662">
        <v>0</v>
      </c>
      <c r="CK158" s="662">
        <v>0</v>
      </c>
      <c r="CL158" s="662">
        <v>0</v>
      </c>
      <c r="CM158" s="662">
        <v>0</v>
      </c>
      <c r="CN158" s="662">
        <v>0</v>
      </c>
      <c r="CO158" s="662">
        <v>0</v>
      </c>
      <c r="CP158" s="662">
        <v>0</v>
      </c>
      <c r="CQ158" s="662">
        <v>0</v>
      </c>
      <c r="CR158" s="662">
        <v>0</v>
      </c>
      <c r="CS158" s="662">
        <v>0</v>
      </c>
      <c r="CT158" s="662">
        <v>0</v>
      </c>
      <c r="CU158" s="662">
        <v>0</v>
      </c>
      <c r="CV158" s="662">
        <v>0</v>
      </c>
      <c r="CW158" s="662">
        <v>0</v>
      </c>
      <c r="CX158" s="662">
        <v>0</v>
      </c>
      <c r="CY158" s="662">
        <v>0</v>
      </c>
      <c r="CZ158" s="662">
        <v>0</v>
      </c>
      <c r="DA158" s="662">
        <v>0</v>
      </c>
      <c r="DB158" s="662">
        <v>0</v>
      </c>
      <c r="DC158" s="662">
        <v>0</v>
      </c>
      <c r="DD158" s="662">
        <v>0</v>
      </c>
      <c r="DE158" s="662">
        <v>0</v>
      </c>
      <c r="DF158" s="662">
        <v>0</v>
      </c>
      <c r="DG158" s="662">
        <v>0</v>
      </c>
      <c r="DH158" s="662">
        <v>0</v>
      </c>
      <c r="DI158" s="662">
        <v>0</v>
      </c>
      <c r="DJ158" s="662">
        <v>0</v>
      </c>
      <c r="DK158" s="662">
        <v>0</v>
      </c>
      <c r="DL158" s="662">
        <v>0</v>
      </c>
      <c r="DM158" s="662">
        <v>0</v>
      </c>
      <c r="DN158" s="662">
        <v>0</v>
      </c>
      <c r="DO158" s="662">
        <v>0</v>
      </c>
      <c r="DP158" s="662">
        <v>0</v>
      </c>
      <c r="DQ158" s="662">
        <v>0</v>
      </c>
      <c r="DR158" s="662">
        <v>0</v>
      </c>
      <c r="DS158" s="662">
        <v>0</v>
      </c>
      <c r="DT158" s="662">
        <v>0</v>
      </c>
      <c r="DU158" s="662">
        <v>0</v>
      </c>
      <c r="DV158" s="662">
        <v>0</v>
      </c>
      <c r="DW158" s="662">
        <v>0</v>
      </c>
      <c r="DX158" s="662">
        <v>0</v>
      </c>
      <c r="DY158" s="662">
        <v>0</v>
      </c>
      <c r="DZ158" s="662">
        <v>0</v>
      </c>
      <c r="EA158" s="662">
        <v>0</v>
      </c>
      <c r="EB158" s="662">
        <v>0</v>
      </c>
      <c r="EC158" s="662">
        <v>0</v>
      </c>
      <c r="ED158" s="662">
        <v>0</v>
      </c>
      <c r="EE158" s="662">
        <v>0</v>
      </c>
      <c r="EF158" s="662">
        <v>0</v>
      </c>
      <c r="EG158" s="662">
        <v>0</v>
      </c>
      <c r="EH158" s="662">
        <v>0</v>
      </c>
      <c r="EI158" s="662">
        <v>0</v>
      </c>
      <c r="EJ158" s="662">
        <v>0</v>
      </c>
      <c r="EK158" s="662">
        <v>0</v>
      </c>
      <c r="EL158" s="662">
        <v>0</v>
      </c>
      <c r="EM158" s="662">
        <v>0</v>
      </c>
      <c r="EN158" s="662">
        <v>0</v>
      </c>
      <c r="EO158" s="662">
        <v>0</v>
      </c>
      <c r="EP158" s="662">
        <v>0</v>
      </c>
      <c r="EQ158" s="662">
        <v>0</v>
      </c>
    </row>
    <row r="159" spans="1:147" ht="13.95" customHeight="1" x14ac:dyDescent="0.3">
      <c r="A159" s="660" t="s">
        <v>1815</v>
      </c>
      <c r="B159" s="661" t="s">
        <v>269</v>
      </c>
      <c r="C159" s="662">
        <v>0</v>
      </c>
      <c r="D159" s="662">
        <v>120784</v>
      </c>
      <c r="E159" s="662">
        <v>0</v>
      </c>
      <c r="F159" s="662">
        <v>132665</v>
      </c>
      <c r="G159" s="662">
        <v>0</v>
      </c>
      <c r="H159" s="662">
        <v>0</v>
      </c>
      <c r="I159" s="662">
        <v>127828</v>
      </c>
      <c r="J159" s="802">
        <v>0</v>
      </c>
      <c r="K159" s="662">
        <v>173</v>
      </c>
      <c r="L159" s="662">
        <v>0</v>
      </c>
      <c r="M159" s="662">
        <v>384</v>
      </c>
      <c r="N159" s="662">
        <v>0</v>
      </c>
      <c r="O159" s="662">
        <v>0</v>
      </c>
      <c r="P159" s="662">
        <v>384</v>
      </c>
      <c r="Q159" s="802">
        <v>0</v>
      </c>
      <c r="R159" s="662">
        <v>0</v>
      </c>
      <c r="S159" s="662">
        <v>0</v>
      </c>
      <c r="T159" s="662">
        <v>0</v>
      </c>
      <c r="U159" s="662">
        <v>0</v>
      </c>
      <c r="V159" s="662">
        <v>0</v>
      </c>
      <c r="W159" s="802">
        <v>0</v>
      </c>
      <c r="X159" s="662">
        <v>0</v>
      </c>
      <c r="Y159" s="662">
        <v>0</v>
      </c>
      <c r="Z159" s="662">
        <v>0</v>
      </c>
      <c r="AA159" s="662">
        <v>0</v>
      </c>
      <c r="AB159" s="662">
        <v>0</v>
      </c>
      <c r="AC159" s="662">
        <v>0</v>
      </c>
      <c r="AD159" s="802">
        <v>0</v>
      </c>
      <c r="AE159" s="662">
        <v>300</v>
      </c>
      <c r="AF159" s="662">
        <v>0</v>
      </c>
      <c r="AG159" s="662">
        <v>900</v>
      </c>
      <c r="AH159" s="662">
        <v>0</v>
      </c>
      <c r="AI159" s="662">
        <v>0</v>
      </c>
      <c r="AJ159" s="662">
        <v>900</v>
      </c>
      <c r="AK159" s="802">
        <v>0</v>
      </c>
      <c r="AL159" s="662">
        <v>0</v>
      </c>
      <c r="AM159" s="662">
        <v>0</v>
      </c>
      <c r="AN159" s="662">
        <v>0</v>
      </c>
      <c r="AO159" s="662">
        <v>0</v>
      </c>
      <c r="AP159" s="662">
        <v>0</v>
      </c>
      <c r="AQ159" s="802">
        <v>0</v>
      </c>
      <c r="AR159" s="662">
        <v>7660</v>
      </c>
      <c r="AS159" s="662">
        <v>0</v>
      </c>
      <c r="AT159" s="662">
        <v>7526</v>
      </c>
      <c r="AU159" s="662">
        <v>0</v>
      </c>
      <c r="AV159" s="662">
        <v>0</v>
      </c>
      <c r="AW159" s="662">
        <v>7313</v>
      </c>
      <c r="AX159" s="662">
        <v>0</v>
      </c>
      <c r="AY159" s="662">
        <v>0</v>
      </c>
      <c r="AZ159" s="662">
        <v>0</v>
      </c>
      <c r="BA159" s="662">
        <v>0</v>
      </c>
      <c r="BB159" s="662">
        <v>0</v>
      </c>
      <c r="BC159" s="662">
        <v>0</v>
      </c>
      <c r="BD159" s="662">
        <v>0</v>
      </c>
      <c r="BE159" s="802">
        <v>0</v>
      </c>
      <c r="BF159" s="662">
        <v>50</v>
      </c>
      <c r="BG159" s="662">
        <v>0</v>
      </c>
      <c r="BH159" s="662">
        <v>25</v>
      </c>
      <c r="BI159" s="662">
        <v>0</v>
      </c>
      <c r="BJ159" s="662">
        <v>0</v>
      </c>
      <c r="BK159" s="662">
        <v>25</v>
      </c>
      <c r="BL159" s="662">
        <v>0</v>
      </c>
      <c r="BM159" s="662">
        <v>70</v>
      </c>
      <c r="BN159" s="662">
        <v>0</v>
      </c>
      <c r="BO159" s="662">
        <v>108</v>
      </c>
      <c r="BP159" s="662">
        <v>0</v>
      </c>
      <c r="BQ159" s="662">
        <v>0</v>
      </c>
      <c r="BR159" s="662">
        <v>100</v>
      </c>
      <c r="BS159" s="662">
        <v>0</v>
      </c>
      <c r="BT159" s="662">
        <v>0</v>
      </c>
      <c r="BU159" s="662">
        <v>0</v>
      </c>
      <c r="BV159" s="662">
        <v>0</v>
      </c>
      <c r="BW159" s="662">
        <v>0</v>
      </c>
      <c r="BX159" s="662">
        <v>0</v>
      </c>
      <c r="BY159" s="662">
        <v>0</v>
      </c>
      <c r="BZ159" s="662">
        <v>0</v>
      </c>
      <c r="CA159" s="662">
        <v>7</v>
      </c>
      <c r="CB159" s="662">
        <v>0</v>
      </c>
      <c r="CC159" s="662">
        <v>31</v>
      </c>
      <c r="CD159" s="662">
        <v>0</v>
      </c>
      <c r="CE159" s="662">
        <v>0</v>
      </c>
      <c r="CF159" s="662">
        <v>30</v>
      </c>
      <c r="CG159" s="662">
        <v>0</v>
      </c>
      <c r="CH159" s="662">
        <v>4700</v>
      </c>
      <c r="CI159" s="662">
        <v>0</v>
      </c>
      <c r="CJ159" s="662">
        <v>11000</v>
      </c>
      <c r="CK159" s="662">
        <v>0</v>
      </c>
      <c r="CL159" s="662">
        <v>0</v>
      </c>
      <c r="CM159" s="662">
        <v>9980</v>
      </c>
      <c r="CN159" s="662">
        <v>0</v>
      </c>
      <c r="CO159" s="662">
        <v>0</v>
      </c>
      <c r="CP159" s="662">
        <v>0</v>
      </c>
      <c r="CQ159" s="662">
        <v>0</v>
      </c>
      <c r="CR159" s="662">
        <v>0</v>
      </c>
      <c r="CS159" s="662">
        <v>0</v>
      </c>
      <c r="CT159" s="662">
        <v>0</v>
      </c>
      <c r="CU159" s="662">
        <v>0</v>
      </c>
      <c r="CV159" s="662">
        <v>0</v>
      </c>
      <c r="CW159" s="662">
        <v>0</v>
      </c>
      <c r="CX159" s="662">
        <v>0</v>
      </c>
      <c r="CY159" s="662">
        <v>0</v>
      </c>
      <c r="CZ159" s="662">
        <v>0</v>
      </c>
      <c r="DA159" s="662">
        <v>0</v>
      </c>
      <c r="DB159" s="662">
        <v>0</v>
      </c>
      <c r="DC159" s="662">
        <v>104950</v>
      </c>
      <c r="DD159" s="662">
        <v>0</v>
      </c>
      <c r="DE159" s="662">
        <v>104482</v>
      </c>
      <c r="DF159" s="662">
        <v>0</v>
      </c>
      <c r="DG159" s="662">
        <v>0</v>
      </c>
      <c r="DH159" s="662">
        <v>101053</v>
      </c>
      <c r="DI159" s="662">
        <v>0</v>
      </c>
      <c r="DJ159" s="662">
        <v>0</v>
      </c>
      <c r="DK159" s="662">
        <v>0</v>
      </c>
      <c r="DL159" s="662">
        <v>0</v>
      </c>
      <c r="DM159" s="662">
        <v>0</v>
      </c>
      <c r="DN159" s="662">
        <v>0</v>
      </c>
      <c r="DO159" s="662">
        <v>0</v>
      </c>
      <c r="DP159" s="662">
        <v>0</v>
      </c>
      <c r="DQ159" s="662">
        <v>0</v>
      </c>
      <c r="DR159" s="662">
        <v>0</v>
      </c>
      <c r="DS159" s="662">
        <v>0</v>
      </c>
      <c r="DT159" s="662">
        <v>0</v>
      </c>
      <c r="DU159" s="662">
        <v>0</v>
      </c>
      <c r="DV159" s="662">
        <v>0</v>
      </c>
      <c r="DW159" s="662">
        <v>0</v>
      </c>
      <c r="DX159" s="662">
        <v>202</v>
      </c>
      <c r="DY159" s="662">
        <v>0</v>
      </c>
      <c r="DZ159" s="662">
        <v>555</v>
      </c>
      <c r="EA159" s="662">
        <v>0</v>
      </c>
      <c r="EB159" s="662">
        <v>0</v>
      </c>
      <c r="EC159" s="662">
        <v>554</v>
      </c>
      <c r="ED159" s="662">
        <v>0</v>
      </c>
      <c r="EE159" s="662">
        <v>1100</v>
      </c>
      <c r="EF159" s="662">
        <v>0</v>
      </c>
      <c r="EG159" s="662">
        <v>6600</v>
      </c>
      <c r="EH159" s="662">
        <v>0</v>
      </c>
      <c r="EI159" s="662">
        <v>0</v>
      </c>
      <c r="EJ159" s="662">
        <v>6450</v>
      </c>
      <c r="EK159" s="662">
        <v>0</v>
      </c>
      <c r="EL159" s="662">
        <v>1572</v>
      </c>
      <c r="EM159" s="662">
        <v>0</v>
      </c>
      <c r="EN159" s="662">
        <v>1054</v>
      </c>
      <c r="EO159" s="662">
        <v>0</v>
      </c>
      <c r="EP159" s="662">
        <v>0</v>
      </c>
      <c r="EQ159" s="662">
        <v>1039</v>
      </c>
    </row>
    <row r="160" spans="1:147" ht="13.95" customHeight="1" x14ac:dyDescent="0.3">
      <c r="A160" s="660" t="s">
        <v>1816</v>
      </c>
      <c r="B160" s="661" t="s">
        <v>269</v>
      </c>
      <c r="C160" s="662">
        <v>0</v>
      </c>
      <c r="D160" s="662">
        <v>25823</v>
      </c>
      <c r="E160" s="662">
        <v>0</v>
      </c>
      <c r="F160" s="662">
        <v>77950</v>
      </c>
      <c r="G160" s="662">
        <v>0</v>
      </c>
      <c r="H160" s="662">
        <v>0</v>
      </c>
      <c r="I160" s="662">
        <v>76091</v>
      </c>
      <c r="J160" s="802">
        <v>0</v>
      </c>
      <c r="K160" s="662">
        <v>690</v>
      </c>
      <c r="L160" s="662">
        <v>0</v>
      </c>
      <c r="M160" s="662">
        <v>1720</v>
      </c>
      <c r="N160" s="662">
        <v>0</v>
      </c>
      <c r="O160" s="662">
        <v>0</v>
      </c>
      <c r="P160" s="662">
        <v>1720</v>
      </c>
      <c r="Q160" s="802">
        <v>0</v>
      </c>
      <c r="R160" s="662">
        <v>0</v>
      </c>
      <c r="S160" s="662">
        <v>0</v>
      </c>
      <c r="T160" s="662">
        <v>0</v>
      </c>
      <c r="U160" s="662">
        <v>0</v>
      </c>
      <c r="V160" s="662">
        <v>0</v>
      </c>
      <c r="W160" s="802">
        <v>0</v>
      </c>
      <c r="X160" s="662">
        <v>200</v>
      </c>
      <c r="Y160" s="662">
        <v>0</v>
      </c>
      <c r="Z160" s="662">
        <v>600</v>
      </c>
      <c r="AA160" s="662">
        <v>0</v>
      </c>
      <c r="AB160" s="662">
        <v>0</v>
      </c>
      <c r="AC160" s="662">
        <v>600</v>
      </c>
      <c r="AD160" s="802">
        <v>0</v>
      </c>
      <c r="AE160" s="662">
        <v>7910</v>
      </c>
      <c r="AF160" s="662">
        <v>0</v>
      </c>
      <c r="AG160" s="662">
        <v>23030</v>
      </c>
      <c r="AH160" s="662">
        <v>0</v>
      </c>
      <c r="AI160" s="662">
        <v>0</v>
      </c>
      <c r="AJ160" s="662">
        <v>23030</v>
      </c>
      <c r="AK160" s="802">
        <v>0</v>
      </c>
      <c r="AL160" s="662">
        <v>0</v>
      </c>
      <c r="AM160" s="662">
        <v>0</v>
      </c>
      <c r="AN160" s="662">
        <v>0</v>
      </c>
      <c r="AO160" s="662">
        <v>0</v>
      </c>
      <c r="AP160" s="662">
        <v>0</v>
      </c>
      <c r="AQ160" s="802">
        <v>0</v>
      </c>
      <c r="AR160" s="662">
        <v>5373</v>
      </c>
      <c r="AS160" s="662">
        <v>0</v>
      </c>
      <c r="AT160" s="662">
        <v>15780</v>
      </c>
      <c r="AU160" s="662">
        <v>0</v>
      </c>
      <c r="AV160" s="662">
        <v>0</v>
      </c>
      <c r="AW160" s="662">
        <v>15343</v>
      </c>
      <c r="AX160" s="662">
        <v>0</v>
      </c>
      <c r="AY160" s="662">
        <v>0</v>
      </c>
      <c r="AZ160" s="662">
        <v>0</v>
      </c>
      <c r="BA160" s="662">
        <v>0</v>
      </c>
      <c r="BB160" s="662">
        <v>0</v>
      </c>
      <c r="BC160" s="662">
        <v>0</v>
      </c>
      <c r="BD160" s="662">
        <v>0</v>
      </c>
      <c r="BE160" s="802">
        <v>0</v>
      </c>
      <c r="BF160" s="662">
        <v>490</v>
      </c>
      <c r="BG160" s="662">
        <v>0</v>
      </c>
      <c r="BH160" s="662">
        <v>1875</v>
      </c>
      <c r="BI160" s="662">
        <v>0</v>
      </c>
      <c r="BJ160" s="662">
        <v>0</v>
      </c>
      <c r="BK160" s="662">
        <v>1875</v>
      </c>
      <c r="BL160" s="662">
        <v>0</v>
      </c>
      <c r="BM160" s="662">
        <v>492</v>
      </c>
      <c r="BN160" s="662">
        <v>0</v>
      </c>
      <c r="BO160" s="662">
        <v>1013</v>
      </c>
      <c r="BP160" s="662">
        <v>0</v>
      </c>
      <c r="BQ160" s="662">
        <v>0</v>
      </c>
      <c r="BR160" s="662">
        <v>1003</v>
      </c>
      <c r="BS160" s="662">
        <v>0</v>
      </c>
      <c r="BT160" s="662">
        <v>14</v>
      </c>
      <c r="BU160" s="662">
        <v>0</v>
      </c>
      <c r="BV160" s="662">
        <v>70</v>
      </c>
      <c r="BW160" s="662">
        <v>0</v>
      </c>
      <c r="BX160" s="662">
        <v>0</v>
      </c>
      <c r="BY160" s="662">
        <v>70</v>
      </c>
      <c r="BZ160" s="662">
        <v>0</v>
      </c>
      <c r="CA160" s="662">
        <v>13</v>
      </c>
      <c r="CB160" s="662">
        <v>0</v>
      </c>
      <c r="CC160" s="662">
        <v>38</v>
      </c>
      <c r="CD160" s="662">
        <v>0</v>
      </c>
      <c r="CE160" s="662">
        <v>0</v>
      </c>
      <c r="CF160" s="662">
        <v>35</v>
      </c>
      <c r="CG160" s="662">
        <v>0</v>
      </c>
      <c r="CH160" s="662">
        <v>3900</v>
      </c>
      <c r="CI160" s="662">
        <v>0</v>
      </c>
      <c r="CJ160" s="662">
        <v>11100</v>
      </c>
      <c r="CK160" s="662">
        <v>0</v>
      </c>
      <c r="CL160" s="662">
        <v>0</v>
      </c>
      <c r="CM160" s="662">
        <v>10410</v>
      </c>
      <c r="CN160" s="662">
        <v>0</v>
      </c>
      <c r="CO160" s="662">
        <v>0</v>
      </c>
      <c r="CP160" s="662">
        <v>0</v>
      </c>
      <c r="CQ160" s="662">
        <v>0</v>
      </c>
      <c r="CR160" s="662">
        <v>0</v>
      </c>
      <c r="CS160" s="662">
        <v>0</v>
      </c>
      <c r="CT160" s="662">
        <v>0</v>
      </c>
      <c r="CU160" s="662">
        <v>0</v>
      </c>
      <c r="CV160" s="662">
        <v>0</v>
      </c>
      <c r="CW160" s="662">
        <v>0</v>
      </c>
      <c r="CX160" s="662">
        <v>0</v>
      </c>
      <c r="CY160" s="662">
        <v>0</v>
      </c>
      <c r="CZ160" s="662">
        <v>0</v>
      </c>
      <c r="DA160" s="662">
        <v>0</v>
      </c>
      <c r="DB160" s="662">
        <v>0</v>
      </c>
      <c r="DC160" s="662">
        <v>5450</v>
      </c>
      <c r="DD160" s="662">
        <v>0</v>
      </c>
      <c r="DE160" s="662">
        <v>17550</v>
      </c>
      <c r="DF160" s="662">
        <v>0</v>
      </c>
      <c r="DG160" s="662">
        <v>0</v>
      </c>
      <c r="DH160" s="662">
        <v>16900</v>
      </c>
      <c r="DI160" s="662">
        <v>0</v>
      </c>
      <c r="DJ160" s="662">
        <v>0</v>
      </c>
      <c r="DK160" s="662">
        <v>0</v>
      </c>
      <c r="DL160" s="662">
        <v>0</v>
      </c>
      <c r="DM160" s="662">
        <v>0</v>
      </c>
      <c r="DN160" s="662">
        <v>0</v>
      </c>
      <c r="DO160" s="662">
        <v>0</v>
      </c>
      <c r="DP160" s="662">
        <v>0</v>
      </c>
      <c r="DQ160" s="662">
        <v>0</v>
      </c>
      <c r="DR160" s="662">
        <v>0</v>
      </c>
      <c r="DS160" s="662">
        <v>0</v>
      </c>
      <c r="DT160" s="662">
        <v>0</v>
      </c>
      <c r="DU160" s="662">
        <v>0</v>
      </c>
      <c r="DV160" s="662">
        <v>0</v>
      </c>
      <c r="DW160" s="662">
        <v>0</v>
      </c>
      <c r="DX160" s="662">
        <v>85</v>
      </c>
      <c r="DY160" s="662">
        <v>0</v>
      </c>
      <c r="DZ160" s="662">
        <v>500</v>
      </c>
      <c r="EA160" s="662">
        <v>0</v>
      </c>
      <c r="EB160" s="662">
        <v>0</v>
      </c>
      <c r="EC160" s="662">
        <v>500</v>
      </c>
      <c r="ED160" s="662">
        <v>0</v>
      </c>
      <c r="EE160" s="662">
        <v>200</v>
      </c>
      <c r="EF160" s="662">
        <v>0</v>
      </c>
      <c r="EG160" s="662">
        <v>654</v>
      </c>
      <c r="EH160" s="662">
        <v>0</v>
      </c>
      <c r="EI160" s="662">
        <v>0</v>
      </c>
      <c r="EJ160" s="662">
        <v>605</v>
      </c>
      <c r="EK160" s="662">
        <v>0</v>
      </c>
      <c r="EL160" s="662">
        <v>1006</v>
      </c>
      <c r="EM160" s="662">
        <v>0</v>
      </c>
      <c r="EN160" s="662">
        <v>4020</v>
      </c>
      <c r="EO160" s="662">
        <v>0</v>
      </c>
      <c r="EP160" s="662">
        <v>0</v>
      </c>
      <c r="EQ160" s="662">
        <v>4000</v>
      </c>
    </row>
    <row r="161" spans="1:147" ht="13.95" customHeight="1" x14ac:dyDescent="0.3">
      <c r="A161" s="660" t="s">
        <v>1817</v>
      </c>
      <c r="B161" s="661" t="s">
        <v>269</v>
      </c>
      <c r="C161" s="662">
        <v>0</v>
      </c>
      <c r="D161" s="662">
        <v>19820</v>
      </c>
      <c r="E161" s="662">
        <v>0</v>
      </c>
      <c r="F161" s="662">
        <v>80918</v>
      </c>
      <c r="G161" s="662">
        <v>0</v>
      </c>
      <c r="H161" s="662">
        <v>0</v>
      </c>
      <c r="I161" s="662">
        <v>78503</v>
      </c>
      <c r="J161" s="802">
        <v>0</v>
      </c>
      <c r="K161" s="662">
        <v>1744</v>
      </c>
      <c r="L161" s="662">
        <v>0</v>
      </c>
      <c r="M161" s="662">
        <v>4846</v>
      </c>
      <c r="N161" s="662">
        <v>0</v>
      </c>
      <c r="O161" s="662">
        <v>0</v>
      </c>
      <c r="P161" s="662">
        <v>4836</v>
      </c>
      <c r="Q161" s="802">
        <v>0</v>
      </c>
      <c r="R161" s="662">
        <v>0</v>
      </c>
      <c r="S161" s="662">
        <v>0</v>
      </c>
      <c r="T161" s="662">
        <v>0</v>
      </c>
      <c r="U161" s="662">
        <v>0</v>
      </c>
      <c r="V161" s="662">
        <v>0</v>
      </c>
      <c r="W161" s="802">
        <v>0</v>
      </c>
      <c r="X161" s="662">
        <v>80</v>
      </c>
      <c r="Y161" s="662">
        <v>0</v>
      </c>
      <c r="Z161" s="662">
        <v>80</v>
      </c>
      <c r="AA161" s="662">
        <v>0</v>
      </c>
      <c r="AB161" s="662">
        <v>0</v>
      </c>
      <c r="AC161" s="662">
        <v>70</v>
      </c>
      <c r="AD161" s="802">
        <v>0</v>
      </c>
      <c r="AE161" s="662">
        <v>574</v>
      </c>
      <c r="AF161" s="662">
        <v>0</v>
      </c>
      <c r="AG161" s="662">
        <v>1984</v>
      </c>
      <c r="AH161" s="662">
        <v>0</v>
      </c>
      <c r="AI161" s="662">
        <v>0</v>
      </c>
      <c r="AJ161" s="662">
        <v>1984</v>
      </c>
      <c r="AK161" s="802">
        <v>0</v>
      </c>
      <c r="AL161" s="662">
        <v>0</v>
      </c>
      <c r="AM161" s="662">
        <v>0</v>
      </c>
      <c r="AN161" s="662">
        <v>0</v>
      </c>
      <c r="AO161" s="662">
        <v>0</v>
      </c>
      <c r="AP161" s="662">
        <v>0</v>
      </c>
      <c r="AQ161" s="802">
        <v>0</v>
      </c>
      <c r="AR161" s="662">
        <v>2141</v>
      </c>
      <c r="AS161" s="662">
        <v>0</v>
      </c>
      <c r="AT161" s="662">
        <v>11126</v>
      </c>
      <c r="AU161" s="662">
        <v>0</v>
      </c>
      <c r="AV161" s="662">
        <v>0</v>
      </c>
      <c r="AW161" s="662">
        <v>10909</v>
      </c>
      <c r="AX161" s="662">
        <v>0</v>
      </c>
      <c r="AY161" s="662">
        <v>0</v>
      </c>
      <c r="AZ161" s="662">
        <v>0</v>
      </c>
      <c r="BA161" s="662">
        <v>0</v>
      </c>
      <c r="BB161" s="662">
        <v>0</v>
      </c>
      <c r="BC161" s="662">
        <v>0</v>
      </c>
      <c r="BD161" s="662">
        <v>0</v>
      </c>
      <c r="BE161" s="802">
        <v>0</v>
      </c>
      <c r="BF161" s="662">
        <v>410</v>
      </c>
      <c r="BG161" s="662">
        <v>0</v>
      </c>
      <c r="BH161" s="662">
        <v>3280</v>
      </c>
      <c r="BI161" s="662">
        <v>0</v>
      </c>
      <c r="BJ161" s="662">
        <v>0</v>
      </c>
      <c r="BK161" s="662">
        <v>3280</v>
      </c>
      <c r="BL161" s="662">
        <v>0</v>
      </c>
      <c r="BM161" s="662">
        <v>535</v>
      </c>
      <c r="BN161" s="662">
        <v>0</v>
      </c>
      <c r="BO161" s="662">
        <v>647</v>
      </c>
      <c r="BP161" s="662">
        <v>0</v>
      </c>
      <c r="BQ161" s="662">
        <v>0</v>
      </c>
      <c r="BR161" s="662">
        <v>637</v>
      </c>
      <c r="BS161" s="662">
        <v>0</v>
      </c>
      <c r="BT161" s="662">
        <v>0</v>
      </c>
      <c r="BU161" s="662">
        <v>0</v>
      </c>
      <c r="BV161" s="662">
        <v>0</v>
      </c>
      <c r="BW161" s="662">
        <v>0</v>
      </c>
      <c r="BX161" s="662">
        <v>0</v>
      </c>
      <c r="BY161" s="662">
        <v>0</v>
      </c>
      <c r="BZ161" s="662">
        <v>0</v>
      </c>
      <c r="CA161" s="662">
        <v>10</v>
      </c>
      <c r="CB161" s="662">
        <v>0</v>
      </c>
      <c r="CC161" s="662">
        <v>45</v>
      </c>
      <c r="CD161" s="662">
        <v>0</v>
      </c>
      <c r="CE161" s="662">
        <v>0</v>
      </c>
      <c r="CF161" s="662">
        <v>43</v>
      </c>
      <c r="CG161" s="662">
        <v>0</v>
      </c>
      <c r="CH161" s="662">
        <v>8780</v>
      </c>
      <c r="CI161" s="662">
        <v>0</v>
      </c>
      <c r="CJ161" s="662">
        <v>34840</v>
      </c>
      <c r="CK161" s="662">
        <v>0</v>
      </c>
      <c r="CL161" s="662">
        <v>0</v>
      </c>
      <c r="CM161" s="662">
        <v>32840</v>
      </c>
      <c r="CN161" s="662">
        <v>0</v>
      </c>
      <c r="CO161" s="662">
        <v>80</v>
      </c>
      <c r="CP161" s="662">
        <v>0</v>
      </c>
      <c r="CQ161" s="662">
        <v>125</v>
      </c>
      <c r="CR161" s="662">
        <v>0</v>
      </c>
      <c r="CS161" s="662">
        <v>0</v>
      </c>
      <c r="CT161" s="662">
        <v>125</v>
      </c>
      <c r="CU161" s="662">
        <v>0</v>
      </c>
      <c r="CV161" s="662">
        <v>0</v>
      </c>
      <c r="CW161" s="662">
        <v>0</v>
      </c>
      <c r="CX161" s="662">
        <v>0</v>
      </c>
      <c r="CY161" s="662">
        <v>0</v>
      </c>
      <c r="CZ161" s="662">
        <v>0</v>
      </c>
      <c r="DA161" s="662">
        <v>0</v>
      </c>
      <c r="DB161" s="662">
        <v>0</v>
      </c>
      <c r="DC161" s="662">
        <v>2750</v>
      </c>
      <c r="DD161" s="662">
        <v>0</v>
      </c>
      <c r="DE161" s="662">
        <v>6500</v>
      </c>
      <c r="DF161" s="662">
        <v>0</v>
      </c>
      <c r="DG161" s="662">
        <v>0</v>
      </c>
      <c r="DH161" s="662">
        <v>6420</v>
      </c>
      <c r="DI161" s="662">
        <v>0</v>
      </c>
      <c r="DJ161" s="662">
        <v>0</v>
      </c>
      <c r="DK161" s="662">
        <v>0</v>
      </c>
      <c r="DL161" s="662">
        <v>0</v>
      </c>
      <c r="DM161" s="662">
        <v>0</v>
      </c>
      <c r="DN161" s="662">
        <v>0</v>
      </c>
      <c r="DO161" s="662">
        <v>0</v>
      </c>
      <c r="DP161" s="662">
        <v>0</v>
      </c>
      <c r="DQ161" s="662">
        <v>0</v>
      </c>
      <c r="DR161" s="662">
        <v>0</v>
      </c>
      <c r="DS161" s="662">
        <v>0</v>
      </c>
      <c r="DT161" s="662">
        <v>0</v>
      </c>
      <c r="DU161" s="662">
        <v>0</v>
      </c>
      <c r="DV161" s="662">
        <v>0</v>
      </c>
      <c r="DW161" s="662">
        <v>0</v>
      </c>
      <c r="DX161" s="662">
        <v>24</v>
      </c>
      <c r="DY161" s="662">
        <v>0</v>
      </c>
      <c r="DZ161" s="662">
        <v>180</v>
      </c>
      <c r="EA161" s="662">
        <v>0</v>
      </c>
      <c r="EB161" s="662">
        <v>0</v>
      </c>
      <c r="EC161" s="662">
        <v>179</v>
      </c>
      <c r="ED161" s="662">
        <v>0</v>
      </c>
      <c r="EE161" s="662">
        <v>50</v>
      </c>
      <c r="EF161" s="662">
        <v>0</v>
      </c>
      <c r="EG161" s="662">
        <v>900</v>
      </c>
      <c r="EH161" s="662">
        <v>0</v>
      </c>
      <c r="EI161" s="662">
        <v>0</v>
      </c>
      <c r="EJ161" s="662">
        <v>855</v>
      </c>
      <c r="EK161" s="662">
        <v>0</v>
      </c>
      <c r="EL161" s="662">
        <v>2642</v>
      </c>
      <c r="EM161" s="662">
        <v>0</v>
      </c>
      <c r="EN161" s="662">
        <v>16365</v>
      </c>
      <c r="EO161" s="662">
        <v>0</v>
      </c>
      <c r="EP161" s="662">
        <v>0</v>
      </c>
      <c r="EQ161" s="662">
        <v>16325</v>
      </c>
    </row>
    <row r="162" spans="1:147" ht="13.95" customHeight="1" x14ac:dyDescent="0.3">
      <c r="A162" s="660" t="s">
        <v>1818</v>
      </c>
      <c r="B162" s="661" t="s">
        <v>269</v>
      </c>
      <c r="C162" s="662">
        <v>0</v>
      </c>
      <c r="D162" s="662">
        <v>153894</v>
      </c>
      <c r="E162" s="662">
        <v>0</v>
      </c>
      <c r="F162" s="662">
        <v>839796</v>
      </c>
      <c r="G162" s="662">
        <v>0</v>
      </c>
      <c r="H162" s="662">
        <v>0</v>
      </c>
      <c r="I162" s="662">
        <v>813666</v>
      </c>
      <c r="J162" s="802">
        <v>0</v>
      </c>
      <c r="K162" s="662">
        <v>2124</v>
      </c>
      <c r="L162" s="662">
        <v>0</v>
      </c>
      <c r="M162" s="662">
        <v>7116</v>
      </c>
      <c r="N162" s="662">
        <v>0</v>
      </c>
      <c r="O162" s="662">
        <v>0</v>
      </c>
      <c r="P162" s="662">
        <v>7101</v>
      </c>
      <c r="Q162" s="802">
        <v>0</v>
      </c>
      <c r="R162" s="662">
        <v>0</v>
      </c>
      <c r="S162" s="662">
        <v>0</v>
      </c>
      <c r="T162" s="662">
        <v>0</v>
      </c>
      <c r="U162" s="662">
        <v>0</v>
      </c>
      <c r="V162" s="662">
        <v>0</v>
      </c>
      <c r="W162" s="802">
        <v>0</v>
      </c>
      <c r="X162" s="662">
        <v>215</v>
      </c>
      <c r="Y162" s="662">
        <v>0</v>
      </c>
      <c r="Z162" s="662">
        <v>370</v>
      </c>
      <c r="AA162" s="662">
        <v>0</v>
      </c>
      <c r="AB162" s="662">
        <v>0</v>
      </c>
      <c r="AC162" s="662">
        <v>360</v>
      </c>
      <c r="AD162" s="802">
        <v>0</v>
      </c>
      <c r="AE162" s="662">
        <v>1495</v>
      </c>
      <c r="AF162" s="662">
        <v>0</v>
      </c>
      <c r="AG162" s="662">
        <v>5568</v>
      </c>
      <c r="AH162" s="662">
        <v>0</v>
      </c>
      <c r="AI162" s="662">
        <v>0</v>
      </c>
      <c r="AJ162" s="662">
        <v>5568</v>
      </c>
      <c r="AK162" s="802">
        <v>0</v>
      </c>
      <c r="AL162" s="662">
        <v>0</v>
      </c>
      <c r="AM162" s="662">
        <v>0</v>
      </c>
      <c r="AN162" s="662">
        <v>0</v>
      </c>
      <c r="AO162" s="662">
        <v>0</v>
      </c>
      <c r="AP162" s="662">
        <v>0</v>
      </c>
      <c r="AQ162" s="802">
        <v>0</v>
      </c>
      <c r="AR162" s="662">
        <v>13686</v>
      </c>
      <c r="AS162" s="662">
        <v>0</v>
      </c>
      <c r="AT162" s="662">
        <v>124163</v>
      </c>
      <c r="AU162" s="662">
        <v>0</v>
      </c>
      <c r="AV162" s="662">
        <v>0</v>
      </c>
      <c r="AW162" s="662">
        <v>120440</v>
      </c>
      <c r="AX162" s="662">
        <v>0</v>
      </c>
      <c r="AY162" s="662">
        <v>356</v>
      </c>
      <c r="AZ162" s="662">
        <v>0</v>
      </c>
      <c r="BA162" s="662">
        <v>1887</v>
      </c>
      <c r="BB162" s="662">
        <v>0</v>
      </c>
      <c r="BC162" s="662">
        <v>0</v>
      </c>
      <c r="BD162" s="662">
        <v>1866</v>
      </c>
      <c r="BE162" s="802">
        <v>0</v>
      </c>
      <c r="BF162" s="662">
        <v>3005</v>
      </c>
      <c r="BG162" s="662">
        <v>0</v>
      </c>
      <c r="BH162" s="662">
        <v>27310</v>
      </c>
      <c r="BI162" s="662">
        <v>0</v>
      </c>
      <c r="BJ162" s="662">
        <v>0</v>
      </c>
      <c r="BK162" s="662">
        <v>27310</v>
      </c>
      <c r="BL162" s="662">
        <v>0</v>
      </c>
      <c r="BM162" s="662">
        <v>688</v>
      </c>
      <c r="BN162" s="662">
        <v>0</v>
      </c>
      <c r="BO162" s="662">
        <v>1505</v>
      </c>
      <c r="BP162" s="662">
        <v>0</v>
      </c>
      <c r="BQ162" s="662">
        <v>0</v>
      </c>
      <c r="BR162" s="662">
        <v>1432</v>
      </c>
      <c r="BS162" s="662">
        <v>0</v>
      </c>
      <c r="BT162" s="662">
        <v>14</v>
      </c>
      <c r="BU162" s="662">
        <v>0</v>
      </c>
      <c r="BV162" s="662">
        <v>250</v>
      </c>
      <c r="BW162" s="662">
        <v>0</v>
      </c>
      <c r="BX162" s="662">
        <v>0</v>
      </c>
      <c r="BY162" s="662">
        <v>250</v>
      </c>
      <c r="BZ162" s="662">
        <v>0</v>
      </c>
      <c r="CA162" s="662">
        <v>126</v>
      </c>
      <c r="CB162" s="662">
        <v>0</v>
      </c>
      <c r="CC162" s="662">
        <v>307</v>
      </c>
      <c r="CD162" s="662">
        <v>0</v>
      </c>
      <c r="CE162" s="662">
        <v>0</v>
      </c>
      <c r="CF162" s="662">
        <v>301</v>
      </c>
      <c r="CG162" s="662">
        <v>0</v>
      </c>
      <c r="CH162" s="662">
        <v>16600</v>
      </c>
      <c r="CI162" s="662">
        <v>0</v>
      </c>
      <c r="CJ162" s="662">
        <v>85500</v>
      </c>
      <c r="CK162" s="662">
        <v>0</v>
      </c>
      <c r="CL162" s="662">
        <v>0</v>
      </c>
      <c r="CM162" s="662">
        <v>80800</v>
      </c>
      <c r="CN162" s="662">
        <v>0</v>
      </c>
      <c r="CO162" s="662">
        <v>950</v>
      </c>
      <c r="CP162" s="662">
        <v>0</v>
      </c>
      <c r="CQ162" s="662">
        <v>2198</v>
      </c>
      <c r="CR162" s="662">
        <v>0</v>
      </c>
      <c r="CS162" s="662">
        <v>0</v>
      </c>
      <c r="CT162" s="662">
        <v>2198</v>
      </c>
      <c r="CU162" s="662">
        <v>0</v>
      </c>
      <c r="CV162" s="662">
        <v>0</v>
      </c>
      <c r="CW162" s="662">
        <v>0</v>
      </c>
      <c r="CX162" s="662">
        <v>0</v>
      </c>
      <c r="CY162" s="662">
        <v>0</v>
      </c>
      <c r="CZ162" s="662">
        <v>0</v>
      </c>
      <c r="DA162" s="662">
        <v>0</v>
      </c>
      <c r="DB162" s="662">
        <v>0</v>
      </c>
      <c r="DC162" s="662">
        <v>37920</v>
      </c>
      <c r="DD162" s="662">
        <v>0</v>
      </c>
      <c r="DE162" s="662">
        <v>196086</v>
      </c>
      <c r="DF162" s="662">
        <v>0</v>
      </c>
      <c r="DG162" s="662">
        <v>0</v>
      </c>
      <c r="DH162" s="662">
        <v>192957</v>
      </c>
      <c r="DI162" s="662">
        <v>0</v>
      </c>
      <c r="DJ162" s="662">
        <v>3056</v>
      </c>
      <c r="DK162" s="662">
        <v>0</v>
      </c>
      <c r="DL162" s="662">
        <v>19490</v>
      </c>
      <c r="DM162" s="662">
        <v>0</v>
      </c>
      <c r="DN162" s="662">
        <v>0</v>
      </c>
      <c r="DO162" s="662">
        <v>19150</v>
      </c>
      <c r="DP162" s="662">
        <v>0</v>
      </c>
      <c r="DQ162" s="662">
        <v>0</v>
      </c>
      <c r="DR162" s="662">
        <v>0</v>
      </c>
      <c r="DS162" s="662">
        <v>0</v>
      </c>
      <c r="DT162" s="662">
        <v>0</v>
      </c>
      <c r="DU162" s="662">
        <v>0</v>
      </c>
      <c r="DV162" s="662">
        <v>0</v>
      </c>
      <c r="DW162" s="662">
        <v>0</v>
      </c>
      <c r="DX162" s="662">
        <v>5413</v>
      </c>
      <c r="DY162" s="662">
        <v>0</v>
      </c>
      <c r="DZ162" s="662">
        <v>20534</v>
      </c>
      <c r="EA162" s="662">
        <v>0</v>
      </c>
      <c r="EB162" s="662">
        <v>0</v>
      </c>
      <c r="EC162" s="662">
        <v>19774</v>
      </c>
      <c r="ED162" s="662">
        <v>0</v>
      </c>
      <c r="EE162" s="662">
        <v>66450</v>
      </c>
      <c r="EF162" s="662">
        <v>0</v>
      </c>
      <c r="EG162" s="662">
        <v>339245</v>
      </c>
      <c r="EH162" s="662">
        <v>0</v>
      </c>
      <c r="EI162" s="662">
        <v>0</v>
      </c>
      <c r="EJ162" s="662">
        <v>325932</v>
      </c>
      <c r="EK162" s="662">
        <v>0</v>
      </c>
      <c r="EL162" s="662">
        <v>1796</v>
      </c>
      <c r="EM162" s="662">
        <v>0</v>
      </c>
      <c r="EN162" s="662">
        <v>8267</v>
      </c>
      <c r="EO162" s="662">
        <v>0</v>
      </c>
      <c r="EP162" s="662">
        <v>0</v>
      </c>
      <c r="EQ162" s="662">
        <v>8227</v>
      </c>
    </row>
    <row r="163" spans="1:147" ht="13.95" customHeight="1" x14ac:dyDescent="0.3">
      <c r="A163" s="660" t="s">
        <v>1819</v>
      </c>
      <c r="B163" s="661" t="s">
        <v>269</v>
      </c>
      <c r="C163" s="662">
        <v>0</v>
      </c>
      <c r="D163" s="662">
        <v>191816</v>
      </c>
      <c r="E163" s="662">
        <v>0</v>
      </c>
      <c r="F163" s="662">
        <v>780973</v>
      </c>
      <c r="G163" s="662">
        <v>0</v>
      </c>
      <c r="H163" s="662">
        <v>0</v>
      </c>
      <c r="I163" s="662">
        <v>753146</v>
      </c>
      <c r="J163" s="802">
        <v>0</v>
      </c>
      <c r="K163" s="662">
        <v>22656</v>
      </c>
      <c r="L163" s="662">
        <v>0</v>
      </c>
      <c r="M163" s="662">
        <v>67066</v>
      </c>
      <c r="N163" s="662">
        <v>0</v>
      </c>
      <c r="O163" s="662">
        <v>0</v>
      </c>
      <c r="P163" s="662">
        <v>66965</v>
      </c>
      <c r="Q163" s="802">
        <v>0</v>
      </c>
      <c r="R163" s="662">
        <v>0</v>
      </c>
      <c r="S163" s="662">
        <v>0</v>
      </c>
      <c r="T163" s="662">
        <v>0</v>
      </c>
      <c r="U163" s="662">
        <v>0</v>
      </c>
      <c r="V163" s="662">
        <v>0</v>
      </c>
      <c r="W163" s="802">
        <v>0</v>
      </c>
      <c r="X163" s="662">
        <v>200</v>
      </c>
      <c r="Y163" s="662">
        <v>0</v>
      </c>
      <c r="Z163" s="662">
        <v>450</v>
      </c>
      <c r="AA163" s="662">
        <v>0</v>
      </c>
      <c r="AB163" s="662">
        <v>0</v>
      </c>
      <c r="AC163" s="662">
        <v>440</v>
      </c>
      <c r="AD163" s="802">
        <v>0</v>
      </c>
      <c r="AE163" s="662">
        <v>1945</v>
      </c>
      <c r="AF163" s="662">
        <v>0</v>
      </c>
      <c r="AG163" s="662">
        <v>6317</v>
      </c>
      <c r="AH163" s="662">
        <v>0</v>
      </c>
      <c r="AI163" s="662">
        <v>0</v>
      </c>
      <c r="AJ163" s="662">
        <v>6317</v>
      </c>
      <c r="AK163" s="802">
        <v>0</v>
      </c>
      <c r="AL163" s="662">
        <v>0</v>
      </c>
      <c r="AM163" s="662">
        <v>0</v>
      </c>
      <c r="AN163" s="662">
        <v>0</v>
      </c>
      <c r="AO163" s="662">
        <v>0</v>
      </c>
      <c r="AP163" s="662">
        <v>0</v>
      </c>
      <c r="AQ163" s="802">
        <v>0</v>
      </c>
      <c r="AR163" s="662">
        <v>19746</v>
      </c>
      <c r="AS163" s="662">
        <v>0</v>
      </c>
      <c r="AT163" s="662">
        <v>143045</v>
      </c>
      <c r="AU163" s="662">
        <v>0</v>
      </c>
      <c r="AV163" s="662">
        <v>0</v>
      </c>
      <c r="AW163" s="662">
        <v>140180</v>
      </c>
      <c r="AX163" s="662">
        <v>0</v>
      </c>
      <c r="AY163" s="662">
        <v>122</v>
      </c>
      <c r="AZ163" s="662">
        <v>0</v>
      </c>
      <c r="BA163" s="662">
        <v>318</v>
      </c>
      <c r="BB163" s="662">
        <v>0</v>
      </c>
      <c r="BC163" s="662">
        <v>0</v>
      </c>
      <c r="BD163" s="662">
        <v>308</v>
      </c>
      <c r="BE163" s="802">
        <v>0</v>
      </c>
      <c r="BF163" s="662">
        <v>1039</v>
      </c>
      <c r="BG163" s="662">
        <v>0</v>
      </c>
      <c r="BH163" s="662">
        <v>4793</v>
      </c>
      <c r="BI163" s="662">
        <v>0</v>
      </c>
      <c r="BJ163" s="662">
        <v>0</v>
      </c>
      <c r="BK163" s="662">
        <v>4793</v>
      </c>
      <c r="BL163" s="662">
        <v>0</v>
      </c>
      <c r="BM163" s="662">
        <v>760</v>
      </c>
      <c r="BN163" s="662">
        <v>0</v>
      </c>
      <c r="BO163" s="662">
        <v>1622</v>
      </c>
      <c r="BP163" s="662">
        <v>0</v>
      </c>
      <c r="BQ163" s="662">
        <v>0</v>
      </c>
      <c r="BR163" s="662">
        <v>1545</v>
      </c>
      <c r="BS163" s="662">
        <v>0</v>
      </c>
      <c r="BT163" s="662">
        <v>630</v>
      </c>
      <c r="BU163" s="662">
        <v>0</v>
      </c>
      <c r="BV163" s="662">
        <v>7800</v>
      </c>
      <c r="BW163" s="662">
        <v>0</v>
      </c>
      <c r="BX163" s="662">
        <v>0</v>
      </c>
      <c r="BY163" s="662">
        <v>7000</v>
      </c>
      <c r="BZ163" s="662">
        <v>0</v>
      </c>
      <c r="CA163" s="662">
        <v>472</v>
      </c>
      <c r="CB163" s="662">
        <v>0</v>
      </c>
      <c r="CC163" s="662">
        <v>2770</v>
      </c>
      <c r="CD163" s="662">
        <v>0</v>
      </c>
      <c r="CE163" s="662">
        <v>0</v>
      </c>
      <c r="CF163" s="662">
        <v>2658</v>
      </c>
      <c r="CG163" s="662">
        <v>0</v>
      </c>
      <c r="CH163" s="662">
        <v>19000</v>
      </c>
      <c r="CI163" s="662">
        <v>0</v>
      </c>
      <c r="CJ163" s="662">
        <v>82300</v>
      </c>
      <c r="CK163" s="662">
        <v>0</v>
      </c>
      <c r="CL163" s="662">
        <v>0</v>
      </c>
      <c r="CM163" s="662">
        <v>76400</v>
      </c>
      <c r="CN163" s="662">
        <v>0</v>
      </c>
      <c r="CO163" s="662">
        <v>525</v>
      </c>
      <c r="CP163" s="662">
        <v>0</v>
      </c>
      <c r="CQ163" s="662">
        <v>1088</v>
      </c>
      <c r="CR163" s="662">
        <v>0</v>
      </c>
      <c r="CS163" s="662">
        <v>0</v>
      </c>
      <c r="CT163" s="662">
        <v>1088</v>
      </c>
      <c r="CU163" s="662">
        <v>0</v>
      </c>
      <c r="CV163" s="662">
        <v>0</v>
      </c>
      <c r="CW163" s="662">
        <v>0</v>
      </c>
      <c r="CX163" s="662">
        <v>0</v>
      </c>
      <c r="CY163" s="662">
        <v>0</v>
      </c>
      <c r="CZ163" s="662">
        <v>0</v>
      </c>
      <c r="DA163" s="662">
        <v>0</v>
      </c>
      <c r="DB163" s="662">
        <v>0</v>
      </c>
      <c r="DC163" s="662">
        <v>40900</v>
      </c>
      <c r="DD163" s="662">
        <v>0</v>
      </c>
      <c r="DE163" s="662">
        <v>198210</v>
      </c>
      <c r="DF163" s="662">
        <v>0</v>
      </c>
      <c r="DG163" s="662">
        <v>0</v>
      </c>
      <c r="DH163" s="662">
        <v>193275</v>
      </c>
      <c r="DI163" s="662">
        <v>0</v>
      </c>
      <c r="DJ163" s="662">
        <v>2010</v>
      </c>
      <c r="DK163" s="662">
        <v>0</v>
      </c>
      <c r="DL163" s="662">
        <v>13210</v>
      </c>
      <c r="DM163" s="662">
        <v>0</v>
      </c>
      <c r="DN163" s="662">
        <v>0</v>
      </c>
      <c r="DO163" s="662">
        <v>13010</v>
      </c>
      <c r="DP163" s="662">
        <v>0</v>
      </c>
      <c r="DQ163" s="662">
        <v>88</v>
      </c>
      <c r="DR163" s="662">
        <v>0</v>
      </c>
      <c r="DS163" s="662">
        <v>418</v>
      </c>
      <c r="DT163" s="662">
        <v>0</v>
      </c>
      <c r="DU163" s="662">
        <v>0</v>
      </c>
      <c r="DV163" s="662">
        <v>416</v>
      </c>
      <c r="DW163" s="662">
        <v>0</v>
      </c>
      <c r="DX163" s="662">
        <v>4262</v>
      </c>
      <c r="DY163" s="662">
        <v>0</v>
      </c>
      <c r="DZ163" s="662">
        <v>13591</v>
      </c>
      <c r="EA163" s="662">
        <v>0</v>
      </c>
      <c r="EB163" s="662">
        <v>0</v>
      </c>
      <c r="EC163" s="662">
        <v>13436</v>
      </c>
      <c r="ED163" s="662">
        <v>0</v>
      </c>
      <c r="EE163" s="662">
        <v>75776</v>
      </c>
      <c r="EF163" s="662">
        <v>0</v>
      </c>
      <c r="EG163" s="662">
        <v>227895</v>
      </c>
      <c r="EH163" s="662">
        <v>0</v>
      </c>
      <c r="EI163" s="662">
        <v>0</v>
      </c>
      <c r="EJ163" s="662">
        <v>215295</v>
      </c>
      <c r="EK163" s="662">
        <v>0</v>
      </c>
      <c r="EL163" s="662">
        <v>1685</v>
      </c>
      <c r="EM163" s="662">
        <v>0</v>
      </c>
      <c r="EN163" s="662">
        <v>10080</v>
      </c>
      <c r="EO163" s="662">
        <v>0</v>
      </c>
      <c r="EP163" s="662">
        <v>0</v>
      </c>
      <c r="EQ163" s="662">
        <v>10020</v>
      </c>
    </row>
    <row r="164" spans="1:147" ht="20.7" customHeight="1" x14ac:dyDescent="0.3">
      <c r="A164" s="660" t="s">
        <v>1820</v>
      </c>
      <c r="B164" s="661" t="s">
        <v>269</v>
      </c>
      <c r="C164" s="662">
        <v>0</v>
      </c>
      <c r="D164" s="662">
        <v>57914</v>
      </c>
      <c r="E164" s="662">
        <v>0</v>
      </c>
      <c r="F164" s="662">
        <v>392259</v>
      </c>
      <c r="G164" s="662">
        <v>0</v>
      </c>
      <c r="H164" s="662">
        <v>0</v>
      </c>
      <c r="I164" s="662">
        <v>386732</v>
      </c>
      <c r="J164" s="802">
        <v>0</v>
      </c>
      <c r="K164" s="662">
        <v>665</v>
      </c>
      <c r="L164" s="662">
        <v>0</v>
      </c>
      <c r="M164" s="662">
        <v>3341</v>
      </c>
      <c r="N164" s="662">
        <v>0</v>
      </c>
      <c r="O164" s="662">
        <v>0</v>
      </c>
      <c r="P164" s="662">
        <v>3320</v>
      </c>
      <c r="Q164" s="802">
        <v>0</v>
      </c>
      <c r="R164" s="662">
        <v>0</v>
      </c>
      <c r="S164" s="662">
        <v>0</v>
      </c>
      <c r="T164" s="662">
        <v>0</v>
      </c>
      <c r="U164" s="662">
        <v>0</v>
      </c>
      <c r="V164" s="662">
        <v>0</v>
      </c>
      <c r="W164" s="802">
        <v>0</v>
      </c>
      <c r="X164" s="662">
        <v>0</v>
      </c>
      <c r="Y164" s="662">
        <v>0</v>
      </c>
      <c r="Z164" s="662">
        <v>0</v>
      </c>
      <c r="AA164" s="662">
        <v>0</v>
      </c>
      <c r="AB164" s="662">
        <v>0</v>
      </c>
      <c r="AC164" s="662">
        <v>0</v>
      </c>
      <c r="AD164" s="802">
        <v>0</v>
      </c>
      <c r="AE164" s="662">
        <v>1877</v>
      </c>
      <c r="AF164" s="662">
        <v>0</v>
      </c>
      <c r="AG164" s="662">
        <v>10463</v>
      </c>
      <c r="AH164" s="662">
        <v>0</v>
      </c>
      <c r="AI164" s="662">
        <v>0</v>
      </c>
      <c r="AJ164" s="662">
        <v>10463</v>
      </c>
      <c r="AK164" s="802">
        <v>0</v>
      </c>
      <c r="AL164" s="662">
        <v>0</v>
      </c>
      <c r="AM164" s="662">
        <v>0</v>
      </c>
      <c r="AN164" s="662">
        <v>0</v>
      </c>
      <c r="AO164" s="662">
        <v>0</v>
      </c>
      <c r="AP164" s="662">
        <v>0</v>
      </c>
      <c r="AQ164" s="802">
        <v>0</v>
      </c>
      <c r="AR164" s="662">
        <v>12700</v>
      </c>
      <c r="AS164" s="662">
        <v>0</v>
      </c>
      <c r="AT164" s="662">
        <v>113170</v>
      </c>
      <c r="AU164" s="662">
        <v>0</v>
      </c>
      <c r="AV164" s="662">
        <v>0</v>
      </c>
      <c r="AW164" s="662">
        <v>110348</v>
      </c>
      <c r="AX164" s="662">
        <v>0</v>
      </c>
      <c r="AY164" s="662">
        <v>2164</v>
      </c>
      <c r="AZ164" s="662">
        <v>0</v>
      </c>
      <c r="BA164" s="662">
        <v>21558</v>
      </c>
      <c r="BB164" s="662">
        <v>0</v>
      </c>
      <c r="BC164" s="662">
        <v>0</v>
      </c>
      <c r="BD164" s="662">
        <v>21514</v>
      </c>
      <c r="BE164" s="802">
        <v>0</v>
      </c>
      <c r="BF164" s="662">
        <v>3960</v>
      </c>
      <c r="BG164" s="662">
        <v>0</v>
      </c>
      <c r="BH164" s="662">
        <v>38410</v>
      </c>
      <c r="BI164" s="662">
        <v>0</v>
      </c>
      <c r="BJ164" s="662">
        <v>0</v>
      </c>
      <c r="BK164" s="662">
        <v>38410</v>
      </c>
      <c r="BL164" s="662">
        <v>0</v>
      </c>
      <c r="BM164" s="662">
        <v>616</v>
      </c>
      <c r="BN164" s="662">
        <v>0</v>
      </c>
      <c r="BO164" s="662">
        <v>2198</v>
      </c>
      <c r="BP164" s="662">
        <v>0</v>
      </c>
      <c r="BQ164" s="662">
        <v>0</v>
      </c>
      <c r="BR164" s="662">
        <v>2128</v>
      </c>
      <c r="BS164" s="662">
        <v>0</v>
      </c>
      <c r="BT164" s="662">
        <v>40</v>
      </c>
      <c r="BU164" s="662">
        <v>0</v>
      </c>
      <c r="BV164" s="662">
        <v>1000</v>
      </c>
      <c r="BW164" s="662">
        <v>0</v>
      </c>
      <c r="BX164" s="662">
        <v>0</v>
      </c>
      <c r="BY164" s="662">
        <v>1000</v>
      </c>
      <c r="BZ164" s="662">
        <v>0</v>
      </c>
      <c r="CA164" s="662">
        <v>32</v>
      </c>
      <c r="CB164" s="662">
        <v>0</v>
      </c>
      <c r="CC164" s="662">
        <v>100</v>
      </c>
      <c r="CD164" s="662">
        <v>0</v>
      </c>
      <c r="CE164" s="662">
        <v>0</v>
      </c>
      <c r="CF164" s="662">
        <v>94</v>
      </c>
      <c r="CG164" s="662">
        <v>0</v>
      </c>
      <c r="CH164" s="662">
        <v>4000</v>
      </c>
      <c r="CI164" s="662">
        <v>0</v>
      </c>
      <c r="CJ164" s="662">
        <v>25200</v>
      </c>
      <c r="CK164" s="662">
        <v>0</v>
      </c>
      <c r="CL164" s="662">
        <v>0</v>
      </c>
      <c r="CM164" s="662">
        <v>24020</v>
      </c>
      <c r="CN164" s="662">
        <v>0</v>
      </c>
      <c r="CO164" s="662">
        <v>267</v>
      </c>
      <c r="CP164" s="662">
        <v>0</v>
      </c>
      <c r="CQ164" s="662">
        <v>1298</v>
      </c>
      <c r="CR164" s="662">
        <v>0</v>
      </c>
      <c r="CS164" s="662">
        <v>0</v>
      </c>
      <c r="CT164" s="662">
        <v>1298</v>
      </c>
      <c r="CU164" s="662">
        <v>0</v>
      </c>
      <c r="CV164" s="662">
        <v>0</v>
      </c>
      <c r="CW164" s="662">
        <v>0</v>
      </c>
      <c r="CX164" s="662">
        <v>0</v>
      </c>
      <c r="CY164" s="662">
        <v>0</v>
      </c>
      <c r="CZ164" s="662">
        <v>0</v>
      </c>
      <c r="DA164" s="662">
        <v>0</v>
      </c>
      <c r="DB164" s="662">
        <v>0</v>
      </c>
      <c r="DC164" s="662">
        <v>5000</v>
      </c>
      <c r="DD164" s="662">
        <v>0</v>
      </c>
      <c r="DE164" s="662">
        <v>27800</v>
      </c>
      <c r="DF164" s="662">
        <v>0</v>
      </c>
      <c r="DG164" s="662">
        <v>0</v>
      </c>
      <c r="DH164" s="662">
        <v>27500</v>
      </c>
      <c r="DI164" s="662">
        <v>0</v>
      </c>
      <c r="DJ164" s="662">
        <v>4315</v>
      </c>
      <c r="DK164" s="662">
        <v>0</v>
      </c>
      <c r="DL164" s="662">
        <v>23618</v>
      </c>
      <c r="DM164" s="662">
        <v>0</v>
      </c>
      <c r="DN164" s="662">
        <v>0</v>
      </c>
      <c r="DO164" s="662">
        <v>23170</v>
      </c>
      <c r="DP164" s="662">
        <v>0</v>
      </c>
      <c r="DQ164" s="662">
        <v>581</v>
      </c>
      <c r="DR164" s="662">
        <v>0</v>
      </c>
      <c r="DS164" s="662">
        <v>2296</v>
      </c>
      <c r="DT164" s="662">
        <v>0</v>
      </c>
      <c r="DU164" s="662">
        <v>0</v>
      </c>
      <c r="DV164" s="662">
        <v>2284</v>
      </c>
      <c r="DW164" s="662">
        <v>0</v>
      </c>
      <c r="DX164" s="662">
        <v>1500</v>
      </c>
      <c r="DY164" s="662">
        <v>0</v>
      </c>
      <c r="DZ164" s="662">
        <v>6880</v>
      </c>
      <c r="EA164" s="662">
        <v>0</v>
      </c>
      <c r="EB164" s="662">
        <v>0</v>
      </c>
      <c r="EC164" s="662">
        <v>6661</v>
      </c>
      <c r="ED164" s="662">
        <v>0</v>
      </c>
      <c r="EE164" s="662">
        <v>19284</v>
      </c>
      <c r="EF164" s="662">
        <v>0</v>
      </c>
      <c r="EG164" s="662">
        <v>107622</v>
      </c>
      <c r="EH164" s="662">
        <v>0</v>
      </c>
      <c r="EI164" s="662">
        <v>0</v>
      </c>
      <c r="EJ164" s="662">
        <v>107312</v>
      </c>
      <c r="EK164" s="662">
        <v>0</v>
      </c>
      <c r="EL164" s="662">
        <v>913</v>
      </c>
      <c r="EM164" s="662">
        <v>0</v>
      </c>
      <c r="EN164" s="662">
        <v>7305</v>
      </c>
      <c r="EO164" s="662">
        <v>0</v>
      </c>
      <c r="EP164" s="662">
        <v>0</v>
      </c>
      <c r="EQ164" s="662">
        <v>7210</v>
      </c>
    </row>
    <row r="165" spans="1:147" ht="13.95" customHeight="1" x14ac:dyDescent="0.3">
      <c r="A165" s="660" t="s">
        <v>1821</v>
      </c>
      <c r="B165" s="661" t="s">
        <v>269</v>
      </c>
      <c r="C165" s="662">
        <v>0</v>
      </c>
      <c r="D165" s="662">
        <v>72127</v>
      </c>
      <c r="E165" s="662">
        <v>0</v>
      </c>
      <c r="F165" s="662">
        <v>160562</v>
      </c>
      <c r="G165" s="662">
        <v>0</v>
      </c>
      <c r="H165" s="662">
        <v>0</v>
      </c>
      <c r="I165" s="662">
        <v>156983</v>
      </c>
      <c r="J165" s="802">
        <v>0</v>
      </c>
      <c r="K165" s="662">
        <v>386</v>
      </c>
      <c r="L165" s="662">
        <v>0</v>
      </c>
      <c r="M165" s="662">
        <v>767</v>
      </c>
      <c r="N165" s="662">
        <v>0</v>
      </c>
      <c r="O165" s="662">
        <v>0</v>
      </c>
      <c r="P165" s="662">
        <v>765</v>
      </c>
      <c r="Q165" s="802">
        <v>0</v>
      </c>
      <c r="R165" s="662">
        <v>0</v>
      </c>
      <c r="S165" s="662">
        <v>0</v>
      </c>
      <c r="T165" s="662">
        <v>0</v>
      </c>
      <c r="U165" s="662">
        <v>0</v>
      </c>
      <c r="V165" s="662">
        <v>0</v>
      </c>
      <c r="W165" s="802">
        <v>0</v>
      </c>
      <c r="X165" s="662">
        <v>100</v>
      </c>
      <c r="Y165" s="662">
        <v>0</v>
      </c>
      <c r="Z165" s="662">
        <v>250</v>
      </c>
      <c r="AA165" s="662">
        <v>0</v>
      </c>
      <c r="AB165" s="662">
        <v>0</v>
      </c>
      <c r="AC165" s="662">
        <v>250</v>
      </c>
      <c r="AD165" s="802">
        <v>0</v>
      </c>
      <c r="AE165" s="662">
        <v>2115</v>
      </c>
      <c r="AF165" s="662">
        <v>0</v>
      </c>
      <c r="AG165" s="662">
        <v>4739</v>
      </c>
      <c r="AH165" s="662">
        <v>0</v>
      </c>
      <c r="AI165" s="662">
        <v>0</v>
      </c>
      <c r="AJ165" s="662">
        <v>4739</v>
      </c>
      <c r="AK165" s="802">
        <v>0</v>
      </c>
      <c r="AL165" s="662">
        <v>0</v>
      </c>
      <c r="AM165" s="662">
        <v>0</v>
      </c>
      <c r="AN165" s="662">
        <v>0</v>
      </c>
      <c r="AO165" s="662">
        <v>0</v>
      </c>
      <c r="AP165" s="662">
        <v>0</v>
      </c>
      <c r="AQ165" s="802">
        <v>0</v>
      </c>
      <c r="AR165" s="662">
        <v>6601</v>
      </c>
      <c r="AS165" s="662">
        <v>0</v>
      </c>
      <c r="AT165" s="662">
        <v>6281</v>
      </c>
      <c r="AU165" s="662">
        <v>0</v>
      </c>
      <c r="AV165" s="662">
        <v>0</v>
      </c>
      <c r="AW165" s="662">
        <v>6160</v>
      </c>
      <c r="AX165" s="662">
        <v>0</v>
      </c>
      <c r="AY165" s="662">
        <v>0</v>
      </c>
      <c r="AZ165" s="662">
        <v>0</v>
      </c>
      <c r="BA165" s="662">
        <v>0</v>
      </c>
      <c r="BB165" s="662">
        <v>0</v>
      </c>
      <c r="BC165" s="662">
        <v>0</v>
      </c>
      <c r="BD165" s="662">
        <v>0</v>
      </c>
      <c r="BE165" s="802">
        <v>0</v>
      </c>
      <c r="BF165" s="662">
        <v>612</v>
      </c>
      <c r="BG165" s="662">
        <v>0</v>
      </c>
      <c r="BH165" s="662">
        <v>564</v>
      </c>
      <c r="BI165" s="662">
        <v>0</v>
      </c>
      <c r="BJ165" s="662">
        <v>0</v>
      </c>
      <c r="BK165" s="662">
        <v>564</v>
      </c>
      <c r="BL165" s="662">
        <v>0</v>
      </c>
      <c r="BM165" s="662">
        <v>1113</v>
      </c>
      <c r="BN165" s="662">
        <v>0</v>
      </c>
      <c r="BO165" s="662">
        <v>5608</v>
      </c>
      <c r="BP165" s="662">
        <v>0</v>
      </c>
      <c r="BQ165" s="662">
        <v>0</v>
      </c>
      <c r="BR165" s="662">
        <v>5527</v>
      </c>
      <c r="BS165" s="662">
        <v>0</v>
      </c>
      <c r="BT165" s="662">
        <v>0</v>
      </c>
      <c r="BU165" s="662">
        <v>0</v>
      </c>
      <c r="BV165" s="662">
        <v>0</v>
      </c>
      <c r="BW165" s="662">
        <v>0</v>
      </c>
      <c r="BX165" s="662">
        <v>0</v>
      </c>
      <c r="BY165" s="662">
        <v>0</v>
      </c>
      <c r="BZ165" s="662">
        <v>0</v>
      </c>
      <c r="CA165" s="662">
        <v>46</v>
      </c>
      <c r="CB165" s="662">
        <v>0</v>
      </c>
      <c r="CC165" s="662">
        <v>158</v>
      </c>
      <c r="CD165" s="662">
        <v>0</v>
      </c>
      <c r="CE165" s="662">
        <v>0</v>
      </c>
      <c r="CF165" s="662">
        <v>152</v>
      </c>
      <c r="CG165" s="662">
        <v>0</v>
      </c>
      <c r="CH165" s="662">
        <v>8590</v>
      </c>
      <c r="CI165" s="662">
        <v>0</v>
      </c>
      <c r="CJ165" s="662">
        <v>24860</v>
      </c>
      <c r="CK165" s="662">
        <v>0</v>
      </c>
      <c r="CL165" s="662">
        <v>0</v>
      </c>
      <c r="CM165" s="662">
        <v>22470</v>
      </c>
      <c r="CN165" s="662">
        <v>0</v>
      </c>
      <c r="CO165" s="662">
        <v>2990</v>
      </c>
      <c r="CP165" s="662">
        <v>0</v>
      </c>
      <c r="CQ165" s="662">
        <v>1972</v>
      </c>
      <c r="CR165" s="662">
        <v>0</v>
      </c>
      <c r="CS165" s="662">
        <v>0</v>
      </c>
      <c r="CT165" s="662">
        <v>1972</v>
      </c>
      <c r="CU165" s="662">
        <v>0</v>
      </c>
      <c r="CV165" s="662">
        <v>0</v>
      </c>
      <c r="CW165" s="662">
        <v>0</v>
      </c>
      <c r="CX165" s="662">
        <v>0</v>
      </c>
      <c r="CY165" s="662">
        <v>0</v>
      </c>
      <c r="CZ165" s="662">
        <v>0</v>
      </c>
      <c r="DA165" s="662">
        <v>0</v>
      </c>
      <c r="DB165" s="662">
        <v>0</v>
      </c>
      <c r="DC165" s="662">
        <v>23540</v>
      </c>
      <c r="DD165" s="662">
        <v>0</v>
      </c>
      <c r="DE165" s="662">
        <v>26970</v>
      </c>
      <c r="DF165" s="662">
        <v>0</v>
      </c>
      <c r="DG165" s="662">
        <v>0</v>
      </c>
      <c r="DH165" s="662">
        <v>26609</v>
      </c>
      <c r="DI165" s="662">
        <v>0</v>
      </c>
      <c r="DJ165" s="662">
        <v>1384</v>
      </c>
      <c r="DK165" s="662">
        <v>0</v>
      </c>
      <c r="DL165" s="662">
        <v>4066</v>
      </c>
      <c r="DM165" s="662">
        <v>0</v>
      </c>
      <c r="DN165" s="662">
        <v>0</v>
      </c>
      <c r="DO165" s="662">
        <v>3970</v>
      </c>
      <c r="DP165" s="662">
        <v>0</v>
      </c>
      <c r="DQ165" s="662">
        <v>101</v>
      </c>
      <c r="DR165" s="662">
        <v>0</v>
      </c>
      <c r="DS165" s="662">
        <v>241</v>
      </c>
      <c r="DT165" s="662">
        <v>0</v>
      </c>
      <c r="DU165" s="662">
        <v>0</v>
      </c>
      <c r="DV165" s="662">
        <v>235</v>
      </c>
      <c r="DW165" s="662">
        <v>0</v>
      </c>
      <c r="DX165" s="662">
        <v>3587</v>
      </c>
      <c r="DY165" s="662">
        <v>0</v>
      </c>
      <c r="DZ165" s="662">
        <v>10609</v>
      </c>
      <c r="EA165" s="662">
        <v>0</v>
      </c>
      <c r="EB165" s="662">
        <v>0</v>
      </c>
      <c r="EC165" s="662">
        <v>10320</v>
      </c>
      <c r="ED165" s="662">
        <v>0</v>
      </c>
      <c r="EE165" s="662">
        <v>20555</v>
      </c>
      <c r="EF165" s="662">
        <v>0</v>
      </c>
      <c r="EG165" s="662">
        <v>72740</v>
      </c>
      <c r="EH165" s="662">
        <v>0</v>
      </c>
      <c r="EI165" s="662">
        <v>0</v>
      </c>
      <c r="EJ165" s="662">
        <v>72515</v>
      </c>
      <c r="EK165" s="662">
        <v>0</v>
      </c>
      <c r="EL165" s="662">
        <v>407</v>
      </c>
      <c r="EM165" s="662">
        <v>0</v>
      </c>
      <c r="EN165" s="662">
        <v>737</v>
      </c>
      <c r="EO165" s="662">
        <v>0</v>
      </c>
      <c r="EP165" s="662">
        <v>0</v>
      </c>
      <c r="EQ165" s="662">
        <v>735</v>
      </c>
    </row>
    <row r="166" spans="1:147" ht="13.95" customHeight="1" x14ac:dyDescent="0.3">
      <c r="A166" s="660" t="s">
        <v>1822</v>
      </c>
      <c r="B166" s="661" t="s">
        <v>269</v>
      </c>
      <c r="C166" s="662">
        <v>0</v>
      </c>
      <c r="D166" s="662">
        <v>470727</v>
      </c>
      <c r="E166" s="662">
        <v>0</v>
      </c>
      <c r="F166" s="662">
        <v>1599217</v>
      </c>
      <c r="G166" s="662">
        <v>0</v>
      </c>
      <c r="H166" s="662">
        <v>0</v>
      </c>
      <c r="I166" s="662">
        <v>1544655</v>
      </c>
      <c r="J166" s="802">
        <v>0</v>
      </c>
      <c r="K166" s="662">
        <v>9409</v>
      </c>
      <c r="L166" s="662">
        <v>0</v>
      </c>
      <c r="M166" s="662">
        <v>20268</v>
      </c>
      <c r="N166" s="662">
        <v>0</v>
      </c>
      <c r="O166" s="662">
        <v>0</v>
      </c>
      <c r="P166" s="662">
        <v>20215</v>
      </c>
      <c r="Q166" s="802">
        <v>0</v>
      </c>
      <c r="R166" s="662">
        <v>0</v>
      </c>
      <c r="S166" s="662">
        <v>0</v>
      </c>
      <c r="T166" s="662">
        <v>0</v>
      </c>
      <c r="U166" s="662">
        <v>0</v>
      </c>
      <c r="V166" s="662">
        <v>0</v>
      </c>
      <c r="W166" s="802">
        <v>0</v>
      </c>
      <c r="X166" s="662">
        <v>2420</v>
      </c>
      <c r="Y166" s="662">
        <v>0</v>
      </c>
      <c r="Z166" s="662">
        <v>6110</v>
      </c>
      <c r="AA166" s="662">
        <v>0</v>
      </c>
      <c r="AB166" s="662">
        <v>0</v>
      </c>
      <c r="AC166" s="662">
        <v>6100</v>
      </c>
      <c r="AD166" s="802">
        <v>0</v>
      </c>
      <c r="AE166" s="662">
        <v>29780</v>
      </c>
      <c r="AF166" s="662">
        <v>0</v>
      </c>
      <c r="AG166" s="662">
        <v>119025</v>
      </c>
      <c r="AH166" s="662">
        <v>0</v>
      </c>
      <c r="AI166" s="662">
        <v>0</v>
      </c>
      <c r="AJ166" s="662">
        <v>119025</v>
      </c>
      <c r="AK166" s="802">
        <v>0</v>
      </c>
      <c r="AL166" s="662">
        <v>0</v>
      </c>
      <c r="AM166" s="662">
        <v>0</v>
      </c>
      <c r="AN166" s="662">
        <v>0</v>
      </c>
      <c r="AO166" s="662">
        <v>0</v>
      </c>
      <c r="AP166" s="662">
        <v>0</v>
      </c>
      <c r="AQ166" s="802">
        <v>0</v>
      </c>
      <c r="AR166" s="662">
        <v>117737</v>
      </c>
      <c r="AS166" s="662">
        <v>0</v>
      </c>
      <c r="AT166" s="662">
        <v>326480</v>
      </c>
      <c r="AU166" s="662">
        <v>0</v>
      </c>
      <c r="AV166" s="662">
        <v>0</v>
      </c>
      <c r="AW166" s="662">
        <v>316000</v>
      </c>
      <c r="AX166" s="662">
        <v>0</v>
      </c>
      <c r="AY166" s="662">
        <v>0</v>
      </c>
      <c r="AZ166" s="662">
        <v>0</v>
      </c>
      <c r="BA166" s="662">
        <v>0</v>
      </c>
      <c r="BB166" s="662">
        <v>0</v>
      </c>
      <c r="BC166" s="662">
        <v>0</v>
      </c>
      <c r="BD166" s="662">
        <v>0</v>
      </c>
      <c r="BE166" s="802">
        <v>0</v>
      </c>
      <c r="BF166" s="662">
        <v>13105</v>
      </c>
      <c r="BG166" s="662">
        <v>0</v>
      </c>
      <c r="BH166" s="662">
        <v>50045</v>
      </c>
      <c r="BI166" s="662">
        <v>0</v>
      </c>
      <c r="BJ166" s="662">
        <v>0</v>
      </c>
      <c r="BK166" s="662">
        <v>50045</v>
      </c>
      <c r="BL166" s="662">
        <v>0</v>
      </c>
      <c r="BM166" s="662">
        <v>2868</v>
      </c>
      <c r="BN166" s="662">
        <v>0</v>
      </c>
      <c r="BO166" s="662">
        <v>7194</v>
      </c>
      <c r="BP166" s="662">
        <v>0</v>
      </c>
      <c r="BQ166" s="662">
        <v>0</v>
      </c>
      <c r="BR166" s="662">
        <v>7000</v>
      </c>
      <c r="BS166" s="662">
        <v>0</v>
      </c>
      <c r="BT166" s="662">
        <v>180</v>
      </c>
      <c r="BU166" s="662">
        <v>0</v>
      </c>
      <c r="BV166" s="662">
        <v>500</v>
      </c>
      <c r="BW166" s="662">
        <v>0</v>
      </c>
      <c r="BX166" s="662">
        <v>0</v>
      </c>
      <c r="BY166" s="662">
        <v>500</v>
      </c>
      <c r="BZ166" s="662">
        <v>0</v>
      </c>
      <c r="CA166" s="662">
        <v>1266</v>
      </c>
      <c r="CB166" s="662">
        <v>0</v>
      </c>
      <c r="CC166" s="662">
        <v>4973</v>
      </c>
      <c r="CD166" s="662">
        <v>0</v>
      </c>
      <c r="CE166" s="662">
        <v>0</v>
      </c>
      <c r="CF166" s="662">
        <v>4816</v>
      </c>
      <c r="CG166" s="662">
        <v>0</v>
      </c>
      <c r="CH166" s="662">
        <v>149200</v>
      </c>
      <c r="CI166" s="662">
        <v>0</v>
      </c>
      <c r="CJ166" s="662">
        <v>535700</v>
      </c>
      <c r="CK166" s="662">
        <v>0</v>
      </c>
      <c r="CL166" s="662">
        <v>0</v>
      </c>
      <c r="CM166" s="662">
        <v>507600</v>
      </c>
      <c r="CN166" s="662">
        <v>0</v>
      </c>
      <c r="CO166" s="662">
        <v>730</v>
      </c>
      <c r="CP166" s="662">
        <v>0</v>
      </c>
      <c r="CQ166" s="662">
        <v>1650</v>
      </c>
      <c r="CR166" s="662">
        <v>0</v>
      </c>
      <c r="CS166" s="662">
        <v>0</v>
      </c>
      <c r="CT166" s="662">
        <v>1650</v>
      </c>
      <c r="CU166" s="662">
        <v>0</v>
      </c>
      <c r="CV166" s="662">
        <v>0</v>
      </c>
      <c r="CW166" s="662">
        <v>0</v>
      </c>
      <c r="CX166" s="662">
        <v>0</v>
      </c>
      <c r="CY166" s="662">
        <v>0</v>
      </c>
      <c r="CZ166" s="662">
        <v>0</v>
      </c>
      <c r="DA166" s="662">
        <v>0</v>
      </c>
      <c r="DB166" s="662">
        <v>0</v>
      </c>
      <c r="DC166" s="662">
        <v>127100</v>
      </c>
      <c r="DD166" s="662">
        <v>0</v>
      </c>
      <c r="DE166" s="662">
        <v>472910</v>
      </c>
      <c r="DF166" s="662">
        <v>0</v>
      </c>
      <c r="DG166" s="662">
        <v>0</v>
      </c>
      <c r="DH166" s="662">
        <v>458305</v>
      </c>
      <c r="DI166" s="662">
        <v>0</v>
      </c>
      <c r="DJ166" s="662">
        <v>570</v>
      </c>
      <c r="DK166" s="662">
        <v>0</v>
      </c>
      <c r="DL166" s="662">
        <v>1850</v>
      </c>
      <c r="DM166" s="662">
        <v>0</v>
      </c>
      <c r="DN166" s="662">
        <v>0</v>
      </c>
      <c r="DO166" s="662">
        <v>1820</v>
      </c>
      <c r="DP166" s="662">
        <v>0</v>
      </c>
      <c r="DQ166" s="662">
        <v>213</v>
      </c>
      <c r="DR166" s="662">
        <v>0</v>
      </c>
      <c r="DS166" s="662">
        <v>761</v>
      </c>
      <c r="DT166" s="662">
        <v>0</v>
      </c>
      <c r="DU166" s="662">
        <v>0</v>
      </c>
      <c r="DV166" s="662">
        <v>743</v>
      </c>
      <c r="DW166" s="662">
        <v>0</v>
      </c>
      <c r="DX166" s="662">
        <v>6373</v>
      </c>
      <c r="DY166" s="662">
        <v>0</v>
      </c>
      <c r="DZ166" s="662">
        <v>20379</v>
      </c>
      <c r="EA166" s="662">
        <v>0</v>
      </c>
      <c r="EB166" s="662">
        <v>0</v>
      </c>
      <c r="EC166" s="662">
        <v>19859</v>
      </c>
      <c r="ED166" s="662">
        <v>0</v>
      </c>
      <c r="EE166" s="662">
        <v>4870</v>
      </c>
      <c r="EF166" s="662">
        <v>0</v>
      </c>
      <c r="EG166" s="662">
        <v>13967</v>
      </c>
      <c r="EH166" s="662">
        <v>0</v>
      </c>
      <c r="EI166" s="662">
        <v>0</v>
      </c>
      <c r="EJ166" s="662">
        <v>13607</v>
      </c>
      <c r="EK166" s="662">
        <v>0</v>
      </c>
      <c r="EL166" s="662">
        <v>4906</v>
      </c>
      <c r="EM166" s="662">
        <v>0</v>
      </c>
      <c r="EN166" s="662">
        <v>17405</v>
      </c>
      <c r="EO166" s="662">
        <v>0</v>
      </c>
      <c r="EP166" s="662">
        <v>0</v>
      </c>
      <c r="EQ166" s="662">
        <v>17370</v>
      </c>
    </row>
    <row r="167" spans="1:147" ht="20.7" customHeight="1" x14ac:dyDescent="0.3">
      <c r="A167" s="660" t="s">
        <v>1823</v>
      </c>
      <c r="B167" s="661" t="s">
        <v>269</v>
      </c>
      <c r="C167" s="662">
        <v>0</v>
      </c>
      <c r="D167" s="662">
        <v>281475</v>
      </c>
      <c r="E167" s="662">
        <v>0</v>
      </c>
      <c r="F167" s="662">
        <v>897963</v>
      </c>
      <c r="G167" s="662">
        <v>0</v>
      </c>
      <c r="H167" s="662">
        <v>0</v>
      </c>
      <c r="I167" s="662">
        <v>873972</v>
      </c>
      <c r="J167" s="802">
        <v>0</v>
      </c>
      <c r="K167" s="662">
        <v>182</v>
      </c>
      <c r="L167" s="662">
        <v>0</v>
      </c>
      <c r="M167" s="662">
        <v>465</v>
      </c>
      <c r="N167" s="662">
        <v>0</v>
      </c>
      <c r="O167" s="662">
        <v>0</v>
      </c>
      <c r="P167" s="662">
        <v>455</v>
      </c>
      <c r="Q167" s="802">
        <v>0</v>
      </c>
      <c r="R167" s="662">
        <v>0</v>
      </c>
      <c r="S167" s="662">
        <v>0</v>
      </c>
      <c r="T167" s="662">
        <v>0</v>
      </c>
      <c r="U167" s="662">
        <v>0</v>
      </c>
      <c r="V167" s="662">
        <v>0</v>
      </c>
      <c r="W167" s="802">
        <v>0</v>
      </c>
      <c r="X167" s="662">
        <v>0</v>
      </c>
      <c r="Y167" s="662">
        <v>0</v>
      </c>
      <c r="Z167" s="662">
        <v>0</v>
      </c>
      <c r="AA167" s="662">
        <v>0</v>
      </c>
      <c r="AB167" s="662">
        <v>0</v>
      </c>
      <c r="AC167" s="662">
        <v>0</v>
      </c>
      <c r="AD167" s="802">
        <v>0</v>
      </c>
      <c r="AE167" s="662">
        <v>31480</v>
      </c>
      <c r="AF167" s="662">
        <v>0</v>
      </c>
      <c r="AG167" s="662">
        <v>118163</v>
      </c>
      <c r="AH167" s="662">
        <v>0</v>
      </c>
      <c r="AI167" s="662">
        <v>0</v>
      </c>
      <c r="AJ167" s="662">
        <v>118163</v>
      </c>
      <c r="AK167" s="802">
        <v>0</v>
      </c>
      <c r="AL167" s="662">
        <v>0</v>
      </c>
      <c r="AM167" s="662">
        <v>0</v>
      </c>
      <c r="AN167" s="662">
        <v>0</v>
      </c>
      <c r="AO167" s="662">
        <v>0</v>
      </c>
      <c r="AP167" s="662">
        <v>0</v>
      </c>
      <c r="AQ167" s="802">
        <v>0</v>
      </c>
      <c r="AR167" s="662">
        <v>62650</v>
      </c>
      <c r="AS167" s="662">
        <v>0</v>
      </c>
      <c r="AT167" s="662">
        <v>169160</v>
      </c>
      <c r="AU167" s="662">
        <v>0</v>
      </c>
      <c r="AV167" s="662">
        <v>0</v>
      </c>
      <c r="AW167" s="662">
        <v>164930</v>
      </c>
      <c r="AX167" s="662">
        <v>0</v>
      </c>
      <c r="AY167" s="662">
        <v>0</v>
      </c>
      <c r="AZ167" s="662">
        <v>0</v>
      </c>
      <c r="BA167" s="662">
        <v>0</v>
      </c>
      <c r="BB167" s="662">
        <v>0</v>
      </c>
      <c r="BC167" s="662">
        <v>0</v>
      </c>
      <c r="BD167" s="662">
        <v>0</v>
      </c>
      <c r="BE167" s="802">
        <v>0</v>
      </c>
      <c r="BF167" s="662">
        <v>22945</v>
      </c>
      <c r="BG167" s="662">
        <v>0</v>
      </c>
      <c r="BH167" s="662">
        <v>65910</v>
      </c>
      <c r="BI167" s="662">
        <v>0</v>
      </c>
      <c r="BJ167" s="662">
        <v>0</v>
      </c>
      <c r="BK167" s="662">
        <v>65910</v>
      </c>
      <c r="BL167" s="662">
        <v>0</v>
      </c>
      <c r="BM167" s="662">
        <v>2448</v>
      </c>
      <c r="BN167" s="662">
        <v>0</v>
      </c>
      <c r="BO167" s="662">
        <v>9735</v>
      </c>
      <c r="BP167" s="662">
        <v>0</v>
      </c>
      <c r="BQ167" s="662">
        <v>0</v>
      </c>
      <c r="BR167" s="662">
        <v>9010</v>
      </c>
      <c r="BS167" s="662">
        <v>0</v>
      </c>
      <c r="BT167" s="662">
        <v>380</v>
      </c>
      <c r="BU167" s="662">
        <v>0</v>
      </c>
      <c r="BV167" s="662">
        <v>6000</v>
      </c>
      <c r="BW167" s="662">
        <v>0</v>
      </c>
      <c r="BX167" s="662">
        <v>0</v>
      </c>
      <c r="BY167" s="662">
        <v>5000</v>
      </c>
      <c r="BZ167" s="662">
        <v>0</v>
      </c>
      <c r="CA167" s="662">
        <v>64</v>
      </c>
      <c r="CB167" s="662">
        <v>0</v>
      </c>
      <c r="CC167" s="662">
        <v>251</v>
      </c>
      <c r="CD167" s="662">
        <v>0</v>
      </c>
      <c r="CE167" s="662">
        <v>0</v>
      </c>
      <c r="CF167" s="662">
        <v>246</v>
      </c>
      <c r="CG167" s="662">
        <v>0</v>
      </c>
      <c r="CH167" s="662">
        <v>47800</v>
      </c>
      <c r="CI167" s="662">
        <v>0</v>
      </c>
      <c r="CJ167" s="662">
        <v>162000</v>
      </c>
      <c r="CK167" s="662">
        <v>0</v>
      </c>
      <c r="CL167" s="662">
        <v>0</v>
      </c>
      <c r="CM167" s="662">
        <v>150150</v>
      </c>
      <c r="CN167" s="662">
        <v>0</v>
      </c>
      <c r="CO167" s="662">
        <v>315</v>
      </c>
      <c r="CP167" s="662">
        <v>0</v>
      </c>
      <c r="CQ167" s="662">
        <v>1000</v>
      </c>
      <c r="CR167" s="662">
        <v>0</v>
      </c>
      <c r="CS167" s="662">
        <v>0</v>
      </c>
      <c r="CT167" s="662">
        <v>1000</v>
      </c>
      <c r="CU167" s="662">
        <v>0</v>
      </c>
      <c r="CV167" s="662">
        <v>0</v>
      </c>
      <c r="CW167" s="662">
        <v>0</v>
      </c>
      <c r="CX167" s="662">
        <v>0</v>
      </c>
      <c r="CY167" s="662">
        <v>0</v>
      </c>
      <c r="CZ167" s="662">
        <v>0</v>
      </c>
      <c r="DA167" s="662">
        <v>0</v>
      </c>
      <c r="DB167" s="662">
        <v>0</v>
      </c>
      <c r="DC167" s="662">
        <v>40300</v>
      </c>
      <c r="DD167" s="662">
        <v>0</v>
      </c>
      <c r="DE167" s="662">
        <v>154360</v>
      </c>
      <c r="DF167" s="662">
        <v>0</v>
      </c>
      <c r="DG167" s="662">
        <v>0</v>
      </c>
      <c r="DH167" s="662">
        <v>149992</v>
      </c>
      <c r="DI167" s="662">
        <v>0</v>
      </c>
      <c r="DJ167" s="662">
        <v>1400</v>
      </c>
      <c r="DK167" s="662">
        <v>0</v>
      </c>
      <c r="DL167" s="662">
        <v>5200</v>
      </c>
      <c r="DM167" s="662">
        <v>0</v>
      </c>
      <c r="DN167" s="662">
        <v>0</v>
      </c>
      <c r="DO167" s="662">
        <v>5080</v>
      </c>
      <c r="DP167" s="662">
        <v>0</v>
      </c>
      <c r="DQ167" s="662">
        <v>27647</v>
      </c>
      <c r="DR167" s="662">
        <v>0</v>
      </c>
      <c r="DS167" s="662">
        <v>67243</v>
      </c>
      <c r="DT167" s="662">
        <v>0</v>
      </c>
      <c r="DU167" s="662">
        <v>0</v>
      </c>
      <c r="DV167" s="662">
        <v>66488</v>
      </c>
      <c r="DW167" s="662">
        <v>0</v>
      </c>
      <c r="DX167" s="662">
        <v>1341</v>
      </c>
      <c r="DY167" s="662">
        <v>0</v>
      </c>
      <c r="DZ167" s="662">
        <v>5939</v>
      </c>
      <c r="EA167" s="662">
        <v>0</v>
      </c>
      <c r="EB167" s="662">
        <v>0</v>
      </c>
      <c r="EC167" s="662">
        <v>5733</v>
      </c>
      <c r="ED167" s="662">
        <v>0</v>
      </c>
      <c r="EE167" s="662">
        <v>35610</v>
      </c>
      <c r="EF167" s="662">
        <v>0</v>
      </c>
      <c r="EG167" s="662">
        <v>105418</v>
      </c>
      <c r="EH167" s="662">
        <v>0</v>
      </c>
      <c r="EI167" s="662">
        <v>0</v>
      </c>
      <c r="EJ167" s="662">
        <v>104758</v>
      </c>
      <c r="EK167" s="662">
        <v>0</v>
      </c>
      <c r="EL167" s="662">
        <v>6913</v>
      </c>
      <c r="EM167" s="662">
        <v>0</v>
      </c>
      <c r="EN167" s="662">
        <v>27119</v>
      </c>
      <c r="EO167" s="662">
        <v>0</v>
      </c>
      <c r="EP167" s="662">
        <v>0</v>
      </c>
      <c r="EQ167" s="662">
        <v>27057</v>
      </c>
    </row>
    <row r="168" spans="1:147" ht="13.95" customHeight="1" x14ac:dyDescent="0.3">
      <c r="A168" s="660" t="s">
        <v>1824</v>
      </c>
      <c r="B168" s="661" t="s">
        <v>269</v>
      </c>
      <c r="C168" s="662">
        <v>0</v>
      </c>
      <c r="D168" s="662">
        <v>411397</v>
      </c>
      <c r="E168" s="662">
        <v>0</v>
      </c>
      <c r="F168" s="662">
        <v>2189502</v>
      </c>
      <c r="G168" s="662">
        <v>0</v>
      </c>
      <c r="H168" s="662">
        <v>0</v>
      </c>
      <c r="I168" s="662">
        <v>2100503</v>
      </c>
      <c r="J168" s="802">
        <v>0</v>
      </c>
      <c r="K168" s="662">
        <v>8733</v>
      </c>
      <c r="L168" s="662">
        <v>0</v>
      </c>
      <c r="M168" s="662">
        <v>35635</v>
      </c>
      <c r="N168" s="662">
        <v>0</v>
      </c>
      <c r="O168" s="662">
        <v>0</v>
      </c>
      <c r="P168" s="662">
        <v>35582</v>
      </c>
      <c r="Q168" s="802">
        <v>0</v>
      </c>
      <c r="R168" s="662">
        <v>0</v>
      </c>
      <c r="S168" s="662">
        <v>0</v>
      </c>
      <c r="T168" s="662">
        <v>0</v>
      </c>
      <c r="U168" s="662">
        <v>0</v>
      </c>
      <c r="V168" s="662">
        <v>0</v>
      </c>
      <c r="W168" s="802">
        <v>0</v>
      </c>
      <c r="X168" s="662">
        <v>1630</v>
      </c>
      <c r="Y168" s="662">
        <v>0</v>
      </c>
      <c r="Z168" s="662">
        <v>7420</v>
      </c>
      <c r="AA168" s="662">
        <v>0</v>
      </c>
      <c r="AB168" s="662">
        <v>0</v>
      </c>
      <c r="AC168" s="662">
        <v>7320</v>
      </c>
      <c r="AD168" s="802">
        <v>0</v>
      </c>
      <c r="AE168" s="662">
        <v>4955</v>
      </c>
      <c r="AF168" s="662">
        <v>0</v>
      </c>
      <c r="AG168" s="662">
        <v>30348</v>
      </c>
      <c r="AH168" s="662">
        <v>0</v>
      </c>
      <c r="AI168" s="662">
        <v>0</v>
      </c>
      <c r="AJ168" s="662">
        <v>30348</v>
      </c>
      <c r="AK168" s="802">
        <v>0</v>
      </c>
      <c r="AL168" s="662">
        <v>0</v>
      </c>
      <c r="AM168" s="662">
        <v>0</v>
      </c>
      <c r="AN168" s="662">
        <v>0</v>
      </c>
      <c r="AO168" s="662">
        <v>0</v>
      </c>
      <c r="AP168" s="662">
        <v>0</v>
      </c>
      <c r="AQ168" s="802">
        <v>0</v>
      </c>
      <c r="AR168" s="662">
        <v>37020</v>
      </c>
      <c r="AS168" s="662">
        <v>0</v>
      </c>
      <c r="AT168" s="662">
        <v>106560</v>
      </c>
      <c r="AU168" s="662">
        <v>0</v>
      </c>
      <c r="AV168" s="662">
        <v>0</v>
      </c>
      <c r="AW168" s="662">
        <v>104435</v>
      </c>
      <c r="AX168" s="662">
        <v>0</v>
      </c>
      <c r="AY168" s="662">
        <v>3009</v>
      </c>
      <c r="AZ168" s="662">
        <v>0</v>
      </c>
      <c r="BA168" s="662">
        <v>7892</v>
      </c>
      <c r="BB168" s="662">
        <v>0</v>
      </c>
      <c r="BC168" s="662">
        <v>0</v>
      </c>
      <c r="BD168" s="662">
        <v>7867</v>
      </c>
      <c r="BE168" s="802">
        <v>0</v>
      </c>
      <c r="BF168" s="662">
        <v>10125</v>
      </c>
      <c r="BG168" s="662">
        <v>0</v>
      </c>
      <c r="BH168" s="662">
        <v>36265</v>
      </c>
      <c r="BI168" s="662">
        <v>0</v>
      </c>
      <c r="BJ168" s="662">
        <v>0</v>
      </c>
      <c r="BK168" s="662">
        <v>36265</v>
      </c>
      <c r="BL168" s="662">
        <v>0</v>
      </c>
      <c r="BM168" s="662">
        <v>4142</v>
      </c>
      <c r="BN168" s="662">
        <v>0</v>
      </c>
      <c r="BO168" s="662">
        <v>12430</v>
      </c>
      <c r="BP168" s="662">
        <v>0</v>
      </c>
      <c r="BQ168" s="662">
        <v>0</v>
      </c>
      <c r="BR168" s="662">
        <v>11788</v>
      </c>
      <c r="BS168" s="662">
        <v>0</v>
      </c>
      <c r="BT168" s="662">
        <v>50</v>
      </c>
      <c r="BU168" s="662">
        <v>0</v>
      </c>
      <c r="BV168" s="662">
        <v>2000</v>
      </c>
      <c r="BW168" s="662">
        <v>0</v>
      </c>
      <c r="BX168" s="662">
        <v>0</v>
      </c>
      <c r="BY168" s="662">
        <v>2000</v>
      </c>
      <c r="BZ168" s="662">
        <v>0</v>
      </c>
      <c r="CA168" s="662">
        <v>134</v>
      </c>
      <c r="CB168" s="662">
        <v>0</v>
      </c>
      <c r="CC168" s="662">
        <v>486</v>
      </c>
      <c r="CD168" s="662">
        <v>0</v>
      </c>
      <c r="CE168" s="662">
        <v>0</v>
      </c>
      <c r="CF168" s="662">
        <v>480</v>
      </c>
      <c r="CG168" s="662">
        <v>0</v>
      </c>
      <c r="CH168" s="662">
        <v>177710</v>
      </c>
      <c r="CI168" s="662">
        <v>0</v>
      </c>
      <c r="CJ168" s="662">
        <v>1288600</v>
      </c>
      <c r="CK168" s="662">
        <v>0</v>
      </c>
      <c r="CL168" s="662">
        <v>0</v>
      </c>
      <c r="CM168" s="662">
        <v>1228900</v>
      </c>
      <c r="CN168" s="662">
        <v>0</v>
      </c>
      <c r="CO168" s="662">
        <v>2920</v>
      </c>
      <c r="CP168" s="662">
        <v>0</v>
      </c>
      <c r="CQ168" s="662">
        <v>6667</v>
      </c>
      <c r="CR168" s="662">
        <v>0</v>
      </c>
      <c r="CS168" s="662">
        <v>0</v>
      </c>
      <c r="CT168" s="662">
        <v>6667</v>
      </c>
      <c r="CU168" s="662">
        <v>0</v>
      </c>
      <c r="CV168" s="662">
        <v>0</v>
      </c>
      <c r="CW168" s="662">
        <v>0</v>
      </c>
      <c r="CX168" s="662">
        <v>0</v>
      </c>
      <c r="CY168" s="662">
        <v>0</v>
      </c>
      <c r="CZ168" s="662">
        <v>0</v>
      </c>
      <c r="DA168" s="662">
        <v>0</v>
      </c>
      <c r="DB168" s="662">
        <v>0</v>
      </c>
      <c r="DC168" s="662">
        <v>36980</v>
      </c>
      <c r="DD168" s="662">
        <v>0</v>
      </c>
      <c r="DE168" s="662">
        <v>117490</v>
      </c>
      <c r="DF168" s="662">
        <v>0</v>
      </c>
      <c r="DG168" s="662">
        <v>0</v>
      </c>
      <c r="DH168" s="662">
        <v>112861</v>
      </c>
      <c r="DI168" s="662">
        <v>0</v>
      </c>
      <c r="DJ168" s="662">
        <v>2468</v>
      </c>
      <c r="DK168" s="662">
        <v>0</v>
      </c>
      <c r="DL168" s="662">
        <v>9650</v>
      </c>
      <c r="DM168" s="662">
        <v>0</v>
      </c>
      <c r="DN168" s="662">
        <v>0</v>
      </c>
      <c r="DO168" s="662">
        <v>9385</v>
      </c>
      <c r="DP168" s="662">
        <v>0</v>
      </c>
      <c r="DQ168" s="662">
        <v>0</v>
      </c>
      <c r="DR168" s="662">
        <v>0</v>
      </c>
      <c r="DS168" s="662">
        <v>0</v>
      </c>
      <c r="DT168" s="662">
        <v>0</v>
      </c>
      <c r="DU168" s="662">
        <v>0</v>
      </c>
      <c r="DV168" s="662">
        <v>0</v>
      </c>
      <c r="DW168" s="662">
        <v>0</v>
      </c>
      <c r="DX168" s="662">
        <v>10030</v>
      </c>
      <c r="DY168" s="662">
        <v>0</v>
      </c>
      <c r="DZ168" s="662">
        <v>56451</v>
      </c>
      <c r="EA168" s="662">
        <v>0</v>
      </c>
      <c r="EB168" s="662">
        <v>0</v>
      </c>
      <c r="EC168" s="662">
        <v>55264</v>
      </c>
      <c r="ED168" s="662">
        <v>0</v>
      </c>
      <c r="EE168" s="662">
        <v>109447</v>
      </c>
      <c r="EF168" s="662">
        <v>0</v>
      </c>
      <c r="EG168" s="662">
        <v>459930</v>
      </c>
      <c r="EH168" s="662">
        <v>0</v>
      </c>
      <c r="EI168" s="662">
        <v>0</v>
      </c>
      <c r="EJ168" s="662">
        <v>439688</v>
      </c>
      <c r="EK168" s="662">
        <v>0</v>
      </c>
      <c r="EL168" s="662">
        <v>2044</v>
      </c>
      <c r="EM168" s="662">
        <v>0</v>
      </c>
      <c r="EN168" s="662">
        <v>11678</v>
      </c>
      <c r="EO168" s="662">
        <v>0</v>
      </c>
      <c r="EP168" s="662">
        <v>0</v>
      </c>
      <c r="EQ168" s="662">
        <v>11653</v>
      </c>
    </row>
    <row r="169" spans="1:147" ht="13.95" customHeight="1" x14ac:dyDescent="0.3">
      <c r="A169" s="660" t="s">
        <v>1825</v>
      </c>
      <c r="B169" s="661" t="s">
        <v>269</v>
      </c>
      <c r="C169" s="662">
        <v>0</v>
      </c>
      <c r="D169" s="662">
        <v>3056</v>
      </c>
      <c r="E169" s="662">
        <v>0</v>
      </c>
      <c r="F169" s="662">
        <v>9329</v>
      </c>
      <c r="G169" s="662">
        <v>0</v>
      </c>
      <c r="H169" s="662">
        <v>0</v>
      </c>
      <c r="I169" s="662">
        <v>9219</v>
      </c>
      <c r="J169" s="802">
        <v>0</v>
      </c>
      <c r="K169" s="662">
        <v>1220</v>
      </c>
      <c r="L169" s="662">
        <v>0</v>
      </c>
      <c r="M169" s="662">
        <v>4250</v>
      </c>
      <c r="N169" s="662">
        <v>0</v>
      </c>
      <c r="O169" s="662">
        <v>0</v>
      </c>
      <c r="P169" s="662">
        <v>4240</v>
      </c>
      <c r="Q169" s="802">
        <v>0</v>
      </c>
      <c r="R169" s="662">
        <v>0</v>
      </c>
      <c r="S169" s="662">
        <v>0</v>
      </c>
      <c r="T169" s="662">
        <v>0</v>
      </c>
      <c r="U169" s="662">
        <v>0</v>
      </c>
      <c r="V169" s="662">
        <v>0</v>
      </c>
      <c r="W169" s="802">
        <v>0</v>
      </c>
      <c r="X169" s="662">
        <v>0</v>
      </c>
      <c r="Y169" s="662">
        <v>0</v>
      </c>
      <c r="Z169" s="662">
        <v>0</v>
      </c>
      <c r="AA169" s="662">
        <v>0</v>
      </c>
      <c r="AB169" s="662">
        <v>0</v>
      </c>
      <c r="AC169" s="662">
        <v>0</v>
      </c>
      <c r="AD169" s="802">
        <v>0</v>
      </c>
      <c r="AE169" s="662">
        <v>33</v>
      </c>
      <c r="AF169" s="662">
        <v>0</v>
      </c>
      <c r="AG169" s="662">
        <v>98</v>
      </c>
      <c r="AH169" s="662">
        <v>0</v>
      </c>
      <c r="AI169" s="662">
        <v>0</v>
      </c>
      <c r="AJ169" s="662">
        <v>98</v>
      </c>
      <c r="AK169" s="802">
        <v>0</v>
      </c>
      <c r="AL169" s="662">
        <v>0</v>
      </c>
      <c r="AM169" s="662">
        <v>0</v>
      </c>
      <c r="AN169" s="662">
        <v>0</v>
      </c>
      <c r="AO169" s="662">
        <v>0</v>
      </c>
      <c r="AP169" s="662">
        <v>0</v>
      </c>
      <c r="AQ169" s="802">
        <v>0</v>
      </c>
      <c r="AR169" s="662">
        <v>0</v>
      </c>
      <c r="AS169" s="662">
        <v>0</v>
      </c>
      <c r="AT169" s="662">
        <v>0</v>
      </c>
      <c r="AU169" s="662">
        <v>0</v>
      </c>
      <c r="AV169" s="662">
        <v>0</v>
      </c>
      <c r="AW169" s="662">
        <v>0</v>
      </c>
      <c r="AX169" s="662">
        <v>0</v>
      </c>
      <c r="AY169" s="662">
        <v>0</v>
      </c>
      <c r="AZ169" s="662">
        <v>0</v>
      </c>
      <c r="BA169" s="662">
        <v>0</v>
      </c>
      <c r="BB169" s="662">
        <v>0</v>
      </c>
      <c r="BC169" s="662">
        <v>0</v>
      </c>
      <c r="BD169" s="662">
        <v>0</v>
      </c>
      <c r="BE169" s="802">
        <v>0</v>
      </c>
      <c r="BF169" s="662">
        <v>318</v>
      </c>
      <c r="BG169" s="662">
        <v>0</v>
      </c>
      <c r="BH169" s="662">
        <v>1258</v>
      </c>
      <c r="BI169" s="662">
        <v>0</v>
      </c>
      <c r="BJ169" s="662">
        <v>0</v>
      </c>
      <c r="BK169" s="662">
        <v>1258</v>
      </c>
      <c r="BL169" s="662">
        <v>0</v>
      </c>
      <c r="BM169" s="662">
        <v>335</v>
      </c>
      <c r="BN169" s="662">
        <v>0</v>
      </c>
      <c r="BO169" s="662">
        <v>1260</v>
      </c>
      <c r="BP169" s="662">
        <v>0</v>
      </c>
      <c r="BQ169" s="662">
        <v>0</v>
      </c>
      <c r="BR169" s="662">
        <v>1250</v>
      </c>
      <c r="BS169" s="662">
        <v>0</v>
      </c>
      <c r="BT169" s="662">
        <v>0</v>
      </c>
      <c r="BU169" s="662">
        <v>0</v>
      </c>
      <c r="BV169" s="662">
        <v>0</v>
      </c>
      <c r="BW169" s="662">
        <v>0</v>
      </c>
      <c r="BX169" s="662">
        <v>0</v>
      </c>
      <c r="BY169" s="662">
        <v>0</v>
      </c>
      <c r="BZ169" s="662">
        <v>0</v>
      </c>
      <c r="CA169" s="662">
        <v>31</v>
      </c>
      <c r="CB169" s="662">
        <v>0</v>
      </c>
      <c r="CC169" s="662">
        <v>100</v>
      </c>
      <c r="CD169" s="662">
        <v>0</v>
      </c>
      <c r="CE169" s="662">
        <v>0</v>
      </c>
      <c r="CF169" s="662">
        <v>95</v>
      </c>
      <c r="CG169" s="662">
        <v>0</v>
      </c>
      <c r="CH169" s="662">
        <v>65</v>
      </c>
      <c r="CI169" s="662">
        <v>0</v>
      </c>
      <c r="CJ169" s="662">
        <v>130</v>
      </c>
      <c r="CK169" s="662">
        <v>0</v>
      </c>
      <c r="CL169" s="662">
        <v>0</v>
      </c>
      <c r="CM169" s="662">
        <v>110</v>
      </c>
      <c r="CN169" s="662">
        <v>0</v>
      </c>
      <c r="CO169" s="662">
        <v>0</v>
      </c>
      <c r="CP169" s="662">
        <v>0</v>
      </c>
      <c r="CQ169" s="662">
        <v>0</v>
      </c>
      <c r="CR169" s="662">
        <v>0</v>
      </c>
      <c r="CS169" s="662">
        <v>0</v>
      </c>
      <c r="CT169" s="662">
        <v>0</v>
      </c>
      <c r="CU169" s="662">
        <v>0</v>
      </c>
      <c r="CV169" s="662">
        <v>0</v>
      </c>
      <c r="CW169" s="662">
        <v>0</v>
      </c>
      <c r="CX169" s="662">
        <v>0</v>
      </c>
      <c r="CY169" s="662">
        <v>0</v>
      </c>
      <c r="CZ169" s="662">
        <v>0</v>
      </c>
      <c r="DA169" s="662">
        <v>0</v>
      </c>
      <c r="DB169" s="662">
        <v>0</v>
      </c>
      <c r="DC169" s="662">
        <v>1050</v>
      </c>
      <c r="DD169" s="662">
        <v>0</v>
      </c>
      <c r="DE169" s="662">
        <v>2215</v>
      </c>
      <c r="DF169" s="662">
        <v>0</v>
      </c>
      <c r="DG169" s="662">
        <v>0</v>
      </c>
      <c r="DH169" s="662">
        <v>2150</v>
      </c>
      <c r="DI169" s="662">
        <v>0</v>
      </c>
      <c r="DJ169" s="662">
        <v>0</v>
      </c>
      <c r="DK169" s="662">
        <v>0</v>
      </c>
      <c r="DL169" s="662">
        <v>0</v>
      </c>
      <c r="DM169" s="662">
        <v>0</v>
      </c>
      <c r="DN169" s="662">
        <v>0</v>
      </c>
      <c r="DO169" s="662">
        <v>0</v>
      </c>
      <c r="DP169" s="662">
        <v>0</v>
      </c>
      <c r="DQ169" s="662">
        <v>0</v>
      </c>
      <c r="DR169" s="662">
        <v>0</v>
      </c>
      <c r="DS169" s="662">
        <v>0</v>
      </c>
      <c r="DT169" s="662">
        <v>0</v>
      </c>
      <c r="DU169" s="662">
        <v>0</v>
      </c>
      <c r="DV169" s="662">
        <v>0</v>
      </c>
      <c r="DW169" s="662">
        <v>0</v>
      </c>
      <c r="DX169" s="662">
        <v>3</v>
      </c>
      <c r="DY169" s="662">
        <v>0</v>
      </c>
      <c r="DZ169" s="662">
        <v>15</v>
      </c>
      <c r="EA169" s="662">
        <v>0</v>
      </c>
      <c r="EB169" s="662">
        <v>0</v>
      </c>
      <c r="EC169" s="662">
        <v>15</v>
      </c>
      <c r="ED169" s="662">
        <v>0</v>
      </c>
      <c r="EE169" s="662">
        <v>0</v>
      </c>
      <c r="EF169" s="662">
        <v>0</v>
      </c>
      <c r="EG169" s="662">
        <v>0</v>
      </c>
      <c r="EH169" s="662">
        <v>0</v>
      </c>
      <c r="EI169" s="662">
        <v>0</v>
      </c>
      <c r="EJ169" s="662">
        <v>0</v>
      </c>
      <c r="EK169" s="662">
        <v>0</v>
      </c>
      <c r="EL169" s="662">
        <v>1</v>
      </c>
      <c r="EM169" s="662">
        <v>0</v>
      </c>
      <c r="EN169" s="662">
        <v>3</v>
      </c>
      <c r="EO169" s="662">
        <v>0</v>
      </c>
      <c r="EP169" s="662">
        <v>0</v>
      </c>
      <c r="EQ169" s="662">
        <v>3</v>
      </c>
    </row>
    <row r="170" spans="1:147" ht="13.95" customHeight="1" x14ac:dyDescent="0.3">
      <c r="A170" s="660" t="s">
        <v>1826</v>
      </c>
      <c r="B170" s="661" t="s">
        <v>269</v>
      </c>
      <c r="C170" s="662">
        <v>0</v>
      </c>
      <c r="D170" s="662">
        <v>7880</v>
      </c>
      <c r="E170" s="662">
        <v>0</v>
      </c>
      <c r="F170" s="662">
        <v>22145</v>
      </c>
      <c r="G170" s="662">
        <v>0</v>
      </c>
      <c r="H170" s="662">
        <v>0</v>
      </c>
      <c r="I170" s="662">
        <v>21805</v>
      </c>
      <c r="J170" s="802">
        <v>0</v>
      </c>
      <c r="K170" s="662">
        <v>494</v>
      </c>
      <c r="L170" s="662">
        <v>0</v>
      </c>
      <c r="M170" s="662">
        <v>1500</v>
      </c>
      <c r="N170" s="662">
        <v>0</v>
      </c>
      <c r="O170" s="662">
        <v>0</v>
      </c>
      <c r="P170" s="662">
        <v>1490</v>
      </c>
      <c r="Q170" s="802">
        <v>0</v>
      </c>
      <c r="R170" s="662">
        <v>0</v>
      </c>
      <c r="S170" s="662">
        <v>0</v>
      </c>
      <c r="T170" s="662">
        <v>0</v>
      </c>
      <c r="U170" s="662">
        <v>0</v>
      </c>
      <c r="V170" s="662">
        <v>0</v>
      </c>
      <c r="W170" s="802">
        <v>0</v>
      </c>
      <c r="X170" s="662">
        <v>0</v>
      </c>
      <c r="Y170" s="662">
        <v>0</v>
      </c>
      <c r="Z170" s="662">
        <v>0</v>
      </c>
      <c r="AA170" s="662">
        <v>0</v>
      </c>
      <c r="AB170" s="662">
        <v>0</v>
      </c>
      <c r="AC170" s="662">
        <v>0</v>
      </c>
      <c r="AD170" s="802">
        <v>0</v>
      </c>
      <c r="AE170" s="662">
        <v>1020</v>
      </c>
      <c r="AF170" s="662">
        <v>0</v>
      </c>
      <c r="AG170" s="662">
        <v>3850</v>
      </c>
      <c r="AH170" s="662">
        <v>0</v>
      </c>
      <c r="AI170" s="662">
        <v>0</v>
      </c>
      <c r="AJ170" s="662">
        <v>3850</v>
      </c>
      <c r="AK170" s="802">
        <v>0</v>
      </c>
      <c r="AL170" s="662">
        <v>0</v>
      </c>
      <c r="AM170" s="662">
        <v>0</v>
      </c>
      <c r="AN170" s="662">
        <v>0</v>
      </c>
      <c r="AO170" s="662">
        <v>0</v>
      </c>
      <c r="AP170" s="662">
        <v>0</v>
      </c>
      <c r="AQ170" s="802">
        <v>0</v>
      </c>
      <c r="AR170" s="662">
        <v>3140</v>
      </c>
      <c r="AS170" s="662">
        <v>0</v>
      </c>
      <c r="AT170" s="662">
        <v>8161</v>
      </c>
      <c r="AU170" s="662">
        <v>0</v>
      </c>
      <c r="AV170" s="662">
        <v>0</v>
      </c>
      <c r="AW170" s="662">
        <v>8000</v>
      </c>
      <c r="AX170" s="662">
        <v>0</v>
      </c>
      <c r="AY170" s="662">
        <v>0</v>
      </c>
      <c r="AZ170" s="662">
        <v>0</v>
      </c>
      <c r="BA170" s="662">
        <v>0</v>
      </c>
      <c r="BB170" s="662">
        <v>0</v>
      </c>
      <c r="BC170" s="662">
        <v>0</v>
      </c>
      <c r="BD170" s="662">
        <v>0</v>
      </c>
      <c r="BE170" s="802">
        <v>0</v>
      </c>
      <c r="BF170" s="662">
        <v>1320</v>
      </c>
      <c r="BG170" s="662">
        <v>0</v>
      </c>
      <c r="BH170" s="662">
        <v>3950</v>
      </c>
      <c r="BI170" s="662">
        <v>0</v>
      </c>
      <c r="BJ170" s="662">
        <v>0</v>
      </c>
      <c r="BK170" s="662">
        <v>3950</v>
      </c>
      <c r="BL170" s="662">
        <v>0</v>
      </c>
      <c r="BM170" s="662">
        <v>528</v>
      </c>
      <c r="BN170" s="662">
        <v>0</v>
      </c>
      <c r="BO170" s="662">
        <v>1152</v>
      </c>
      <c r="BP170" s="662">
        <v>0</v>
      </c>
      <c r="BQ170" s="662">
        <v>0</v>
      </c>
      <c r="BR170" s="662">
        <v>1130</v>
      </c>
      <c r="BS170" s="662">
        <v>0</v>
      </c>
      <c r="BT170" s="662">
        <v>0</v>
      </c>
      <c r="BU170" s="662">
        <v>0</v>
      </c>
      <c r="BV170" s="662">
        <v>0</v>
      </c>
      <c r="BW170" s="662">
        <v>0</v>
      </c>
      <c r="BX170" s="662">
        <v>0</v>
      </c>
      <c r="BY170" s="662">
        <v>0</v>
      </c>
      <c r="BZ170" s="662">
        <v>0</v>
      </c>
      <c r="CA170" s="662">
        <v>46</v>
      </c>
      <c r="CB170" s="662">
        <v>0</v>
      </c>
      <c r="CC170" s="662">
        <v>122</v>
      </c>
      <c r="CD170" s="662">
        <v>0</v>
      </c>
      <c r="CE170" s="662">
        <v>0</v>
      </c>
      <c r="CF170" s="662">
        <v>118</v>
      </c>
      <c r="CG170" s="662">
        <v>0</v>
      </c>
      <c r="CH170" s="662">
        <v>282</v>
      </c>
      <c r="CI170" s="662">
        <v>0</v>
      </c>
      <c r="CJ170" s="662">
        <v>810</v>
      </c>
      <c r="CK170" s="662">
        <v>0</v>
      </c>
      <c r="CL170" s="662">
        <v>0</v>
      </c>
      <c r="CM170" s="662">
        <v>785</v>
      </c>
      <c r="CN170" s="662">
        <v>0</v>
      </c>
      <c r="CO170" s="662">
        <v>0</v>
      </c>
      <c r="CP170" s="662">
        <v>0</v>
      </c>
      <c r="CQ170" s="662">
        <v>0</v>
      </c>
      <c r="CR170" s="662">
        <v>0</v>
      </c>
      <c r="CS170" s="662">
        <v>0</v>
      </c>
      <c r="CT170" s="662">
        <v>0</v>
      </c>
      <c r="CU170" s="662">
        <v>0</v>
      </c>
      <c r="CV170" s="662">
        <v>0</v>
      </c>
      <c r="CW170" s="662">
        <v>0</v>
      </c>
      <c r="CX170" s="662">
        <v>0</v>
      </c>
      <c r="CY170" s="662">
        <v>0</v>
      </c>
      <c r="CZ170" s="662">
        <v>0</v>
      </c>
      <c r="DA170" s="662">
        <v>0</v>
      </c>
      <c r="DB170" s="662">
        <v>0</v>
      </c>
      <c r="DC170" s="662">
        <v>800</v>
      </c>
      <c r="DD170" s="662">
        <v>0</v>
      </c>
      <c r="DE170" s="662">
        <v>1650</v>
      </c>
      <c r="DF170" s="662">
        <v>0</v>
      </c>
      <c r="DG170" s="662">
        <v>0</v>
      </c>
      <c r="DH170" s="662">
        <v>1600</v>
      </c>
      <c r="DI170" s="662">
        <v>0</v>
      </c>
      <c r="DJ170" s="662">
        <v>0</v>
      </c>
      <c r="DK170" s="662">
        <v>0</v>
      </c>
      <c r="DL170" s="662">
        <v>0</v>
      </c>
      <c r="DM170" s="662">
        <v>0</v>
      </c>
      <c r="DN170" s="662">
        <v>0</v>
      </c>
      <c r="DO170" s="662">
        <v>0</v>
      </c>
      <c r="DP170" s="662">
        <v>0</v>
      </c>
      <c r="DQ170" s="662">
        <v>0</v>
      </c>
      <c r="DR170" s="662">
        <v>0</v>
      </c>
      <c r="DS170" s="662">
        <v>0</v>
      </c>
      <c r="DT170" s="662">
        <v>0</v>
      </c>
      <c r="DU170" s="662">
        <v>0</v>
      </c>
      <c r="DV170" s="662">
        <v>0</v>
      </c>
      <c r="DW170" s="662">
        <v>0</v>
      </c>
      <c r="DX170" s="662">
        <v>200</v>
      </c>
      <c r="DY170" s="662">
        <v>0</v>
      </c>
      <c r="DZ170" s="662">
        <v>400</v>
      </c>
      <c r="EA170" s="662">
        <v>0</v>
      </c>
      <c r="EB170" s="662">
        <v>0</v>
      </c>
      <c r="EC170" s="662">
        <v>360</v>
      </c>
      <c r="ED170" s="662">
        <v>0</v>
      </c>
      <c r="EE170" s="662">
        <v>50</v>
      </c>
      <c r="EF170" s="662">
        <v>0</v>
      </c>
      <c r="EG170" s="662">
        <v>550</v>
      </c>
      <c r="EH170" s="662">
        <v>0</v>
      </c>
      <c r="EI170" s="662">
        <v>0</v>
      </c>
      <c r="EJ170" s="662">
        <v>522</v>
      </c>
      <c r="EK170" s="662">
        <v>0</v>
      </c>
      <c r="EL170" s="662">
        <v>0</v>
      </c>
      <c r="EM170" s="662">
        <v>0</v>
      </c>
      <c r="EN170" s="662">
        <v>0</v>
      </c>
      <c r="EO170" s="662">
        <v>0</v>
      </c>
      <c r="EP170" s="662">
        <v>0</v>
      </c>
      <c r="EQ170" s="662">
        <v>0</v>
      </c>
    </row>
    <row r="171" spans="1:147" ht="13.95" customHeight="1" x14ac:dyDescent="0.3">
      <c r="A171" s="660" t="s">
        <v>1827</v>
      </c>
      <c r="B171" s="661" t="s">
        <v>269</v>
      </c>
      <c r="C171" s="662">
        <v>0</v>
      </c>
      <c r="D171" s="662">
        <v>258578</v>
      </c>
      <c r="E171" s="662">
        <v>0</v>
      </c>
      <c r="F171" s="662">
        <v>1173415</v>
      </c>
      <c r="G171" s="662">
        <v>0</v>
      </c>
      <c r="H171" s="662">
        <v>0</v>
      </c>
      <c r="I171" s="662">
        <v>1130559</v>
      </c>
      <c r="J171" s="802">
        <v>0</v>
      </c>
      <c r="K171" s="662">
        <v>50</v>
      </c>
      <c r="L171" s="662">
        <v>0</v>
      </c>
      <c r="M171" s="662">
        <v>190</v>
      </c>
      <c r="N171" s="662">
        <v>0</v>
      </c>
      <c r="O171" s="662">
        <v>0</v>
      </c>
      <c r="P171" s="662">
        <v>190</v>
      </c>
      <c r="Q171" s="802">
        <v>0</v>
      </c>
      <c r="R171" s="662">
        <v>0</v>
      </c>
      <c r="S171" s="662">
        <v>0</v>
      </c>
      <c r="T171" s="662">
        <v>0</v>
      </c>
      <c r="U171" s="662">
        <v>0</v>
      </c>
      <c r="V171" s="662">
        <v>0</v>
      </c>
      <c r="W171" s="802">
        <v>0</v>
      </c>
      <c r="X171" s="662">
        <v>0</v>
      </c>
      <c r="Y171" s="662">
        <v>0</v>
      </c>
      <c r="Z171" s="662">
        <v>0</v>
      </c>
      <c r="AA171" s="662">
        <v>0</v>
      </c>
      <c r="AB171" s="662">
        <v>0</v>
      </c>
      <c r="AC171" s="662">
        <v>0</v>
      </c>
      <c r="AD171" s="802">
        <v>0</v>
      </c>
      <c r="AE171" s="662">
        <v>13450</v>
      </c>
      <c r="AF171" s="662">
        <v>0</v>
      </c>
      <c r="AG171" s="662">
        <v>59025</v>
      </c>
      <c r="AH171" s="662">
        <v>0</v>
      </c>
      <c r="AI171" s="662">
        <v>0</v>
      </c>
      <c r="AJ171" s="662">
        <v>59025</v>
      </c>
      <c r="AK171" s="802">
        <v>0</v>
      </c>
      <c r="AL171" s="662">
        <v>0</v>
      </c>
      <c r="AM171" s="662">
        <v>0</v>
      </c>
      <c r="AN171" s="662">
        <v>0</v>
      </c>
      <c r="AO171" s="662">
        <v>0</v>
      </c>
      <c r="AP171" s="662">
        <v>0</v>
      </c>
      <c r="AQ171" s="802">
        <v>0</v>
      </c>
      <c r="AR171" s="662">
        <v>6634</v>
      </c>
      <c r="AS171" s="662">
        <v>0</v>
      </c>
      <c r="AT171" s="662">
        <v>32721</v>
      </c>
      <c r="AU171" s="662">
        <v>0</v>
      </c>
      <c r="AV171" s="662">
        <v>0</v>
      </c>
      <c r="AW171" s="662">
        <v>31411</v>
      </c>
      <c r="AX171" s="662">
        <v>0</v>
      </c>
      <c r="AY171" s="662">
        <v>0</v>
      </c>
      <c r="AZ171" s="662">
        <v>0</v>
      </c>
      <c r="BA171" s="662">
        <v>0</v>
      </c>
      <c r="BB171" s="662">
        <v>0</v>
      </c>
      <c r="BC171" s="662">
        <v>0</v>
      </c>
      <c r="BD171" s="662">
        <v>0</v>
      </c>
      <c r="BE171" s="802">
        <v>0</v>
      </c>
      <c r="BF171" s="662">
        <v>1680</v>
      </c>
      <c r="BG171" s="662">
        <v>0</v>
      </c>
      <c r="BH171" s="662">
        <v>5390</v>
      </c>
      <c r="BI171" s="662">
        <v>0</v>
      </c>
      <c r="BJ171" s="662">
        <v>0</v>
      </c>
      <c r="BK171" s="662">
        <v>5390</v>
      </c>
      <c r="BL171" s="662">
        <v>0</v>
      </c>
      <c r="BM171" s="662">
        <v>530</v>
      </c>
      <c r="BN171" s="662">
        <v>0</v>
      </c>
      <c r="BO171" s="662">
        <v>1900</v>
      </c>
      <c r="BP171" s="662">
        <v>0</v>
      </c>
      <c r="BQ171" s="662">
        <v>0</v>
      </c>
      <c r="BR171" s="662">
        <v>1830</v>
      </c>
      <c r="BS171" s="662">
        <v>0</v>
      </c>
      <c r="BT171" s="662">
        <v>0</v>
      </c>
      <c r="BU171" s="662">
        <v>0</v>
      </c>
      <c r="BV171" s="662">
        <v>0</v>
      </c>
      <c r="BW171" s="662">
        <v>0</v>
      </c>
      <c r="BX171" s="662">
        <v>0</v>
      </c>
      <c r="BY171" s="662">
        <v>0</v>
      </c>
      <c r="BZ171" s="662">
        <v>0</v>
      </c>
      <c r="CA171" s="662">
        <v>18</v>
      </c>
      <c r="CB171" s="662">
        <v>0</v>
      </c>
      <c r="CC171" s="662">
        <v>96</v>
      </c>
      <c r="CD171" s="662">
        <v>0</v>
      </c>
      <c r="CE171" s="662">
        <v>0</v>
      </c>
      <c r="CF171" s="662">
        <v>90</v>
      </c>
      <c r="CG171" s="662">
        <v>0</v>
      </c>
      <c r="CH171" s="662">
        <v>114100</v>
      </c>
      <c r="CI171" s="662">
        <v>0</v>
      </c>
      <c r="CJ171" s="662">
        <v>645400</v>
      </c>
      <c r="CK171" s="662">
        <v>0</v>
      </c>
      <c r="CL171" s="662">
        <v>0</v>
      </c>
      <c r="CM171" s="662">
        <v>610380</v>
      </c>
      <c r="CN171" s="662">
        <v>0</v>
      </c>
      <c r="CO171" s="662">
        <v>0</v>
      </c>
      <c r="CP171" s="662">
        <v>0</v>
      </c>
      <c r="CQ171" s="662">
        <v>0</v>
      </c>
      <c r="CR171" s="662">
        <v>0</v>
      </c>
      <c r="CS171" s="662">
        <v>0</v>
      </c>
      <c r="CT171" s="662">
        <v>0</v>
      </c>
      <c r="CU171" s="662">
        <v>0</v>
      </c>
      <c r="CV171" s="662">
        <v>0</v>
      </c>
      <c r="CW171" s="662">
        <v>0</v>
      </c>
      <c r="CX171" s="662">
        <v>0</v>
      </c>
      <c r="CY171" s="662">
        <v>0</v>
      </c>
      <c r="CZ171" s="662">
        <v>0</v>
      </c>
      <c r="DA171" s="662">
        <v>0</v>
      </c>
      <c r="DB171" s="662">
        <v>0</v>
      </c>
      <c r="DC171" s="662">
        <v>42100</v>
      </c>
      <c r="DD171" s="662">
        <v>0</v>
      </c>
      <c r="DE171" s="662">
        <v>217860</v>
      </c>
      <c r="DF171" s="662">
        <v>0</v>
      </c>
      <c r="DG171" s="662">
        <v>0</v>
      </c>
      <c r="DH171" s="662">
        <v>214592</v>
      </c>
      <c r="DI171" s="662">
        <v>0</v>
      </c>
      <c r="DJ171" s="662">
        <v>260</v>
      </c>
      <c r="DK171" s="662">
        <v>0</v>
      </c>
      <c r="DL171" s="662">
        <v>1800</v>
      </c>
      <c r="DM171" s="662">
        <v>0</v>
      </c>
      <c r="DN171" s="662">
        <v>0</v>
      </c>
      <c r="DO171" s="662">
        <v>1750</v>
      </c>
      <c r="DP171" s="662">
        <v>0</v>
      </c>
      <c r="DQ171" s="662">
        <v>0</v>
      </c>
      <c r="DR171" s="662">
        <v>0</v>
      </c>
      <c r="DS171" s="662">
        <v>0</v>
      </c>
      <c r="DT171" s="662">
        <v>0</v>
      </c>
      <c r="DU171" s="662">
        <v>0</v>
      </c>
      <c r="DV171" s="662">
        <v>0</v>
      </c>
      <c r="DW171" s="662">
        <v>0</v>
      </c>
      <c r="DX171" s="662">
        <v>507</v>
      </c>
      <c r="DY171" s="662">
        <v>0</v>
      </c>
      <c r="DZ171" s="662">
        <v>3035</v>
      </c>
      <c r="EA171" s="662">
        <v>0</v>
      </c>
      <c r="EB171" s="662">
        <v>0</v>
      </c>
      <c r="EC171" s="662">
        <v>2935</v>
      </c>
      <c r="ED171" s="662">
        <v>0</v>
      </c>
      <c r="EE171" s="662">
        <v>72500</v>
      </c>
      <c r="EF171" s="662">
        <v>0</v>
      </c>
      <c r="EG171" s="662">
        <v>156800</v>
      </c>
      <c r="EH171" s="662">
        <v>0</v>
      </c>
      <c r="EI171" s="662">
        <v>0</v>
      </c>
      <c r="EJ171" s="662">
        <v>153800</v>
      </c>
      <c r="EK171" s="662">
        <v>0</v>
      </c>
      <c r="EL171" s="662">
        <v>6749</v>
      </c>
      <c r="EM171" s="662">
        <v>0</v>
      </c>
      <c r="EN171" s="662">
        <v>49198</v>
      </c>
      <c r="EO171" s="662">
        <v>0</v>
      </c>
      <c r="EP171" s="662">
        <v>0</v>
      </c>
      <c r="EQ171" s="662">
        <v>49166</v>
      </c>
    </row>
    <row r="172" spans="1:147" ht="13.95" customHeight="1" x14ac:dyDescent="0.3">
      <c r="A172" s="660" t="s">
        <v>1828</v>
      </c>
      <c r="B172" s="661" t="s">
        <v>269</v>
      </c>
      <c r="C172" s="662">
        <v>0</v>
      </c>
      <c r="D172" s="662">
        <v>9864</v>
      </c>
      <c r="E172" s="662">
        <v>0</v>
      </c>
      <c r="F172" s="662">
        <v>40558</v>
      </c>
      <c r="G172" s="662">
        <v>0</v>
      </c>
      <c r="H172" s="662">
        <v>0</v>
      </c>
      <c r="I172" s="662">
        <v>39877</v>
      </c>
      <c r="J172" s="802">
        <v>0</v>
      </c>
      <c r="K172" s="662">
        <v>1160</v>
      </c>
      <c r="L172" s="662">
        <v>0</v>
      </c>
      <c r="M172" s="662">
        <v>3370</v>
      </c>
      <c r="N172" s="662">
        <v>0</v>
      </c>
      <c r="O172" s="662">
        <v>0</v>
      </c>
      <c r="P172" s="662">
        <v>3320</v>
      </c>
      <c r="Q172" s="802">
        <v>0</v>
      </c>
      <c r="R172" s="662">
        <v>0</v>
      </c>
      <c r="S172" s="662">
        <v>0</v>
      </c>
      <c r="T172" s="662">
        <v>0</v>
      </c>
      <c r="U172" s="662">
        <v>0</v>
      </c>
      <c r="V172" s="662">
        <v>0</v>
      </c>
      <c r="W172" s="802">
        <v>0</v>
      </c>
      <c r="X172" s="662">
        <v>20</v>
      </c>
      <c r="Y172" s="662">
        <v>0</v>
      </c>
      <c r="Z172" s="662">
        <v>30</v>
      </c>
      <c r="AA172" s="662">
        <v>0</v>
      </c>
      <c r="AB172" s="662">
        <v>0</v>
      </c>
      <c r="AC172" s="662">
        <v>27</v>
      </c>
      <c r="AD172" s="802">
        <v>0</v>
      </c>
      <c r="AE172" s="662">
        <v>159</v>
      </c>
      <c r="AF172" s="662">
        <v>0</v>
      </c>
      <c r="AG172" s="662">
        <v>392</v>
      </c>
      <c r="AH172" s="662">
        <v>0</v>
      </c>
      <c r="AI172" s="662">
        <v>0</v>
      </c>
      <c r="AJ172" s="662">
        <v>392</v>
      </c>
      <c r="AK172" s="802">
        <v>0</v>
      </c>
      <c r="AL172" s="662">
        <v>0</v>
      </c>
      <c r="AM172" s="662">
        <v>0</v>
      </c>
      <c r="AN172" s="662">
        <v>0</v>
      </c>
      <c r="AO172" s="662">
        <v>0</v>
      </c>
      <c r="AP172" s="662">
        <v>0</v>
      </c>
      <c r="AQ172" s="802">
        <v>0</v>
      </c>
      <c r="AR172" s="662">
        <v>2343</v>
      </c>
      <c r="AS172" s="662">
        <v>0</v>
      </c>
      <c r="AT172" s="662">
        <v>9372</v>
      </c>
      <c r="AU172" s="662">
        <v>0</v>
      </c>
      <c r="AV172" s="662">
        <v>0</v>
      </c>
      <c r="AW172" s="662">
        <v>9000</v>
      </c>
      <c r="AX172" s="662">
        <v>0</v>
      </c>
      <c r="AY172" s="662">
        <v>0</v>
      </c>
      <c r="AZ172" s="662">
        <v>0</v>
      </c>
      <c r="BA172" s="662">
        <v>0</v>
      </c>
      <c r="BB172" s="662">
        <v>0</v>
      </c>
      <c r="BC172" s="662">
        <v>0</v>
      </c>
      <c r="BD172" s="662">
        <v>0</v>
      </c>
      <c r="BE172" s="802">
        <v>0</v>
      </c>
      <c r="BF172" s="662">
        <v>0</v>
      </c>
      <c r="BG172" s="662">
        <v>0</v>
      </c>
      <c r="BH172" s="662">
        <v>0</v>
      </c>
      <c r="BI172" s="662">
        <v>0</v>
      </c>
      <c r="BJ172" s="662">
        <v>0</v>
      </c>
      <c r="BK172" s="662">
        <v>0</v>
      </c>
      <c r="BL172" s="662">
        <v>0</v>
      </c>
      <c r="BM172" s="662">
        <v>162</v>
      </c>
      <c r="BN172" s="662">
        <v>0</v>
      </c>
      <c r="BO172" s="662">
        <v>350</v>
      </c>
      <c r="BP172" s="662">
        <v>0</v>
      </c>
      <c r="BQ172" s="662">
        <v>0</v>
      </c>
      <c r="BR172" s="662">
        <v>348</v>
      </c>
      <c r="BS172" s="662">
        <v>0</v>
      </c>
      <c r="BT172" s="662">
        <v>10</v>
      </c>
      <c r="BU172" s="662">
        <v>0</v>
      </c>
      <c r="BV172" s="662">
        <v>50</v>
      </c>
      <c r="BW172" s="662">
        <v>0</v>
      </c>
      <c r="BX172" s="662">
        <v>0</v>
      </c>
      <c r="BY172" s="662">
        <v>50</v>
      </c>
      <c r="BZ172" s="662">
        <v>0</v>
      </c>
      <c r="CA172" s="662">
        <v>9</v>
      </c>
      <c r="CB172" s="662">
        <v>0</v>
      </c>
      <c r="CC172" s="662">
        <v>29</v>
      </c>
      <c r="CD172" s="662">
        <v>0</v>
      </c>
      <c r="CE172" s="662">
        <v>0</v>
      </c>
      <c r="CF172" s="662">
        <v>27</v>
      </c>
      <c r="CG172" s="662">
        <v>0</v>
      </c>
      <c r="CH172" s="662">
        <v>870</v>
      </c>
      <c r="CI172" s="662">
        <v>0</v>
      </c>
      <c r="CJ172" s="662">
        <v>2950</v>
      </c>
      <c r="CK172" s="662">
        <v>0</v>
      </c>
      <c r="CL172" s="662">
        <v>0</v>
      </c>
      <c r="CM172" s="662">
        <v>2800</v>
      </c>
      <c r="CN172" s="662">
        <v>0</v>
      </c>
      <c r="CO172" s="662">
        <v>0</v>
      </c>
      <c r="CP172" s="662">
        <v>0</v>
      </c>
      <c r="CQ172" s="662">
        <v>0</v>
      </c>
      <c r="CR172" s="662">
        <v>0</v>
      </c>
      <c r="CS172" s="662">
        <v>0</v>
      </c>
      <c r="CT172" s="662">
        <v>0</v>
      </c>
      <c r="CU172" s="662">
        <v>0</v>
      </c>
      <c r="CV172" s="662">
        <v>0</v>
      </c>
      <c r="CW172" s="662">
        <v>0</v>
      </c>
      <c r="CX172" s="662">
        <v>0</v>
      </c>
      <c r="CY172" s="662">
        <v>0</v>
      </c>
      <c r="CZ172" s="662">
        <v>0</v>
      </c>
      <c r="DA172" s="662">
        <v>0</v>
      </c>
      <c r="DB172" s="662">
        <v>0</v>
      </c>
      <c r="DC172" s="662">
        <v>0</v>
      </c>
      <c r="DD172" s="662">
        <v>0</v>
      </c>
      <c r="DE172" s="662">
        <v>0</v>
      </c>
      <c r="DF172" s="662">
        <v>0</v>
      </c>
      <c r="DG172" s="662">
        <v>0</v>
      </c>
      <c r="DH172" s="662">
        <v>0</v>
      </c>
      <c r="DI172" s="662">
        <v>0</v>
      </c>
      <c r="DJ172" s="662">
        <v>0</v>
      </c>
      <c r="DK172" s="662">
        <v>0</v>
      </c>
      <c r="DL172" s="662">
        <v>0</v>
      </c>
      <c r="DM172" s="662">
        <v>0</v>
      </c>
      <c r="DN172" s="662">
        <v>0</v>
      </c>
      <c r="DO172" s="662">
        <v>0</v>
      </c>
      <c r="DP172" s="662">
        <v>0</v>
      </c>
      <c r="DQ172" s="662">
        <v>440</v>
      </c>
      <c r="DR172" s="662">
        <v>0</v>
      </c>
      <c r="DS172" s="662">
        <v>2630</v>
      </c>
      <c r="DT172" s="662">
        <v>0</v>
      </c>
      <c r="DU172" s="662">
        <v>0</v>
      </c>
      <c r="DV172" s="662">
        <v>2625</v>
      </c>
      <c r="DW172" s="662">
        <v>0</v>
      </c>
      <c r="DX172" s="662">
        <v>664</v>
      </c>
      <c r="DY172" s="662">
        <v>0</v>
      </c>
      <c r="DZ172" s="662">
        <v>2269</v>
      </c>
      <c r="EA172" s="662">
        <v>0</v>
      </c>
      <c r="EB172" s="662">
        <v>0</v>
      </c>
      <c r="EC172" s="662">
        <v>2222</v>
      </c>
      <c r="ED172" s="662">
        <v>0</v>
      </c>
      <c r="EE172" s="662">
        <v>19</v>
      </c>
      <c r="EF172" s="662">
        <v>0</v>
      </c>
      <c r="EG172" s="662">
        <v>104</v>
      </c>
      <c r="EH172" s="662">
        <v>0</v>
      </c>
      <c r="EI172" s="662">
        <v>0</v>
      </c>
      <c r="EJ172" s="662">
        <v>104</v>
      </c>
      <c r="EK172" s="662">
        <v>0</v>
      </c>
      <c r="EL172" s="662">
        <v>4008</v>
      </c>
      <c r="EM172" s="662">
        <v>0</v>
      </c>
      <c r="EN172" s="662">
        <v>19012</v>
      </c>
      <c r="EO172" s="662">
        <v>0</v>
      </c>
      <c r="EP172" s="662">
        <v>0</v>
      </c>
      <c r="EQ172" s="662">
        <v>18962</v>
      </c>
    </row>
    <row r="173" spans="1:147" ht="13.95" customHeight="1" x14ac:dyDescent="0.3">
      <c r="A173" s="660" t="s">
        <v>1829</v>
      </c>
      <c r="B173" s="661" t="s">
        <v>269</v>
      </c>
      <c r="C173" s="662">
        <v>0</v>
      </c>
      <c r="D173" s="662">
        <v>22717</v>
      </c>
      <c r="E173" s="662">
        <v>0</v>
      </c>
      <c r="F173" s="662">
        <v>66628</v>
      </c>
      <c r="G173" s="662">
        <v>0</v>
      </c>
      <c r="H173" s="662">
        <v>0</v>
      </c>
      <c r="I173" s="662">
        <v>64609</v>
      </c>
      <c r="J173" s="802">
        <v>0</v>
      </c>
      <c r="K173" s="662">
        <v>675</v>
      </c>
      <c r="L173" s="662">
        <v>0</v>
      </c>
      <c r="M173" s="662">
        <v>1980</v>
      </c>
      <c r="N173" s="662">
        <v>0</v>
      </c>
      <c r="O173" s="662">
        <v>0</v>
      </c>
      <c r="P173" s="662">
        <v>1980</v>
      </c>
      <c r="Q173" s="802">
        <v>0</v>
      </c>
      <c r="R173" s="662">
        <v>0</v>
      </c>
      <c r="S173" s="662">
        <v>0</v>
      </c>
      <c r="T173" s="662">
        <v>0</v>
      </c>
      <c r="U173" s="662">
        <v>0</v>
      </c>
      <c r="V173" s="662">
        <v>0</v>
      </c>
      <c r="W173" s="802">
        <v>0</v>
      </c>
      <c r="X173" s="662">
        <v>200</v>
      </c>
      <c r="Y173" s="662">
        <v>0</v>
      </c>
      <c r="Z173" s="662">
        <v>600</v>
      </c>
      <c r="AA173" s="662">
        <v>0</v>
      </c>
      <c r="AB173" s="662">
        <v>0</v>
      </c>
      <c r="AC173" s="662">
        <v>600</v>
      </c>
      <c r="AD173" s="802">
        <v>0</v>
      </c>
      <c r="AE173" s="662">
        <v>3010</v>
      </c>
      <c r="AF173" s="662">
        <v>0</v>
      </c>
      <c r="AG173" s="662">
        <v>8360</v>
      </c>
      <c r="AH173" s="662">
        <v>0</v>
      </c>
      <c r="AI173" s="662">
        <v>0</v>
      </c>
      <c r="AJ173" s="662">
        <v>8360</v>
      </c>
      <c r="AK173" s="802">
        <v>0</v>
      </c>
      <c r="AL173" s="662">
        <v>0</v>
      </c>
      <c r="AM173" s="662">
        <v>0</v>
      </c>
      <c r="AN173" s="662">
        <v>0</v>
      </c>
      <c r="AO173" s="662">
        <v>0</v>
      </c>
      <c r="AP173" s="662">
        <v>0</v>
      </c>
      <c r="AQ173" s="802">
        <v>0</v>
      </c>
      <c r="AR173" s="662">
        <v>555</v>
      </c>
      <c r="AS173" s="662">
        <v>0</v>
      </c>
      <c r="AT173" s="662">
        <v>1638</v>
      </c>
      <c r="AU173" s="662">
        <v>0</v>
      </c>
      <c r="AV173" s="662">
        <v>0</v>
      </c>
      <c r="AW173" s="662">
        <v>1596</v>
      </c>
      <c r="AX173" s="662">
        <v>0</v>
      </c>
      <c r="AY173" s="662">
        <v>0</v>
      </c>
      <c r="AZ173" s="662">
        <v>0</v>
      </c>
      <c r="BA173" s="662">
        <v>0</v>
      </c>
      <c r="BB173" s="662">
        <v>0</v>
      </c>
      <c r="BC173" s="662">
        <v>0</v>
      </c>
      <c r="BD173" s="662">
        <v>0</v>
      </c>
      <c r="BE173" s="802">
        <v>0</v>
      </c>
      <c r="BF173" s="662">
        <v>2290</v>
      </c>
      <c r="BG173" s="662">
        <v>0</v>
      </c>
      <c r="BH173" s="662">
        <v>9970</v>
      </c>
      <c r="BI173" s="662">
        <v>0</v>
      </c>
      <c r="BJ173" s="662">
        <v>0</v>
      </c>
      <c r="BK173" s="662">
        <v>9970</v>
      </c>
      <c r="BL173" s="662">
        <v>0</v>
      </c>
      <c r="BM173" s="662">
        <v>579</v>
      </c>
      <c r="BN173" s="662">
        <v>0</v>
      </c>
      <c r="BO173" s="662">
        <v>1911</v>
      </c>
      <c r="BP173" s="662">
        <v>0</v>
      </c>
      <c r="BQ173" s="662">
        <v>0</v>
      </c>
      <c r="BR173" s="662">
        <v>1877</v>
      </c>
      <c r="BS173" s="662">
        <v>0</v>
      </c>
      <c r="BT173" s="662">
        <v>10</v>
      </c>
      <c r="BU173" s="662">
        <v>0</v>
      </c>
      <c r="BV173" s="662">
        <v>120</v>
      </c>
      <c r="BW173" s="662">
        <v>0</v>
      </c>
      <c r="BX173" s="662">
        <v>0</v>
      </c>
      <c r="BY173" s="662">
        <v>120</v>
      </c>
      <c r="BZ173" s="662">
        <v>0</v>
      </c>
      <c r="CA173" s="662">
        <v>32</v>
      </c>
      <c r="CB173" s="662">
        <v>0</v>
      </c>
      <c r="CC173" s="662">
        <v>105</v>
      </c>
      <c r="CD173" s="662">
        <v>0</v>
      </c>
      <c r="CE173" s="662">
        <v>0</v>
      </c>
      <c r="CF173" s="662">
        <v>101</v>
      </c>
      <c r="CG173" s="662">
        <v>0</v>
      </c>
      <c r="CH173" s="662">
        <v>6000</v>
      </c>
      <c r="CI173" s="662">
        <v>0</v>
      </c>
      <c r="CJ173" s="662">
        <v>14400</v>
      </c>
      <c r="CK173" s="662">
        <v>0</v>
      </c>
      <c r="CL173" s="662">
        <v>0</v>
      </c>
      <c r="CM173" s="662">
        <v>13400</v>
      </c>
      <c r="CN173" s="662">
        <v>0</v>
      </c>
      <c r="CO173" s="662">
        <v>0</v>
      </c>
      <c r="CP173" s="662">
        <v>0</v>
      </c>
      <c r="CQ173" s="662">
        <v>0</v>
      </c>
      <c r="CR173" s="662">
        <v>0</v>
      </c>
      <c r="CS173" s="662">
        <v>0</v>
      </c>
      <c r="CT173" s="662">
        <v>0</v>
      </c>
      <c r="CU173" s="662">
        <v>0</v>
      </c>
      <c r="CV173" s="662">
        <v>0</v>
      </c>
      <c r="CW173" s="662">
        <v>0</v>
      </c>
      <c r="CX173" s="662">
        <v>0</v>
      </c>
      <c r="CY173" s="662">
        <v>0</v>
      </c>
      <c r="CZ173" s="662">
        <v>0</v>
      </c>
      <c r="DA173" s="662">
        <v>0</v>
      </c>
      <c r="DB173" s="662">
        <v>0</v>
      </c>
      <c r="DC173" s="662">
        <v>7170</v>
      </c>
      <c r="DD173" s="662">
        <v>0</v>
      </c>
      <c r="DE173" s="662">
        <v>21514</v>
      </c>
      <c r="DF173" s="662">
        <v>0</v>
      </c>
      <c r="DG173" s="662">
        <v>0</v>
      </c>
      <c r="DH173" s="662">
        <v>20911</v>
      </c>
      <c r="DI173" s="662">
        <v>0</v>
      </c>
      <c r="DJ173" s="662">
        <v>0</v>
      </c>
      <c r="DK173" s="662">
        <v>0</v>
      </c>
      <c r="DL173" s="662">
        <v>0</v>
      </c>
      <c r="DM173" s="662">
        <v>0</v>
      </c>
      <c r="DN173" s="662">
        <v>0</v>
      </c>
      <c r="DO173" s="662">
        <v>0</v>
      </c>
      <c r="DP173" s="662">
        <v>0</v>
      </c>
      <c r="DQ173" s="662">
        <v>0</v>
      </c>
      <c r="DR173" s="662">
        <v>0</v>
      </c>
      <c r="DS173" s="662">
        <v>0</v>
      </c>
      <c r="DT173" s="662">
        <v>0</v>
      </c>
      <c r="DU173" s="662">
        <v>0</v>
      </c>
      <c r="DV173" s="662">
        <v>0</v>
      </c>
      <c r="DW173" s="662">
        <v>0</v>
      </c>
      <c r="DX173" s="662">
        <v>736</v>
      </c>
      <c r="DY173" s="662">
        <v>0</v>
      </c>
      <c r="DZ173" s="662">
        <v>2170</v>
      </c>
      <c r="EA173" s="662">
        <v>0</v>
      </c>
      <c r="EB173" s="662">
        <v>0</v>
      </c>
      <c r="EC173" s="662">
        <v>2089</v>
      </c>
      <c r="ED173" s="662">
        <v>0</v>
      </c>
      <c r="EE173" s="662">
        <v>450</v>
      </c>
      <c r="EF173" s="662">
        <v>0</v>
      </c>
      <c r="EG173" s="662">
        <v>1350</v>
      </c>
      <c r="EH173" s="662">
        <v>0</v>
      </c>
      <c r="EI173" s="662">
        <v>0</v>
      </c>
      <c r="EJ173" s="662">
        <v>1135</v>
      </c>
      <c r="EK173" s="662">
        <v>0</v>
      </c>
      <c r="EL173" s="662">
        <v>1010</v>
      </c>
      <c r="EM173" s="662">
        <v>0</v>
      </c>
      <c r="EN173" s="662">
        <v>2510</v>
      </c>
      <c r="EO173" s="662">
        <v>0</v>
      </c>
      <c r="EP173" s="662">
        <v>0</v>
      </c>
      <c r="EQ173" s="662">
        <v>2470</v>
      </c>
    </row>
    <row r="174" spans="1:147" ht="13.95" customHeight="1" x14ac:dyDescent="0.3">
      <c r="A174" s="660" t="s">
        <v>1830</v>
      </c>
      <c r="B174" s="661" t="s">
        <v>269</v>
      </c>
      <c r="C174" s="662">
        <v>0</v>
      </c>
      <c r="D174" s="662">
        <v>44069</v>
      </c>
      <c r="E174" s="662">
        <v>0</v>
      </c>
      <c r="F174" s="662">
        <v>192221</v>
      </c>
      <c r="G174" s="662">
        <v>0</v>
      </c>
      <c r="H174" s="662">
        <v>0</v>
      </c>
      <c r="I174" s="662">
        <v>179399</v>
      </c>
      <c r="J174" s="802">
        <v>0</v>
      </c>
      <c r="K174" s="662">
        <v>410</v>
      </c>
      <c r="L174" s="662">
        <v>0</v>
      </c>
      <c r="M174" s="662">
        <v>906</v>
      </c>
      <c r="N174" s="662">
        <v>0</v>
      </c>
      <c r="O174" s="662">
        <v>0</v>
      </c>
      <c r="P174" s="662">
        <v>896</v>
      </c>
      <c r="Q174" s="802">
        <v>0</v>
      </c>
      <c r="R174" s="662">
        <v>0</v>
      </c>
      <c r="S174" s="662">
        <v>0</v>
      </c>
      <c r="T174" s="662">
        <v>0</v>
      </c>
      <c r="U174" s="662">
        <v>0</v>
      </c>
      <c r="V174" s="662">
        <v>0</v>
      </c>
      <c r="W174" s="802">
        <v>0</v>
      </c>
      <c r="X174" s="662">
        <v>0</v>
      </c>
      <c r="Y174" s="662">
        <v>0</v>
      </c>
      <c r="Z174" s="662">
        <v>0</v>
      </c>
      <c r="AA174" s="662">
        <v>0</v>
      </c>
      <c r="AB174" s="662">
        <v>0</v>
      </c>
      <c r="AC174" s="662">
        <v>0</v>
      </c>
      <c r="AD174" s="802">
        <v>0</v>
      </c>
      <c r="AE174" s="662">
        <v>247</v>
      </c>
      <c r="AF174" s="662">
        <v>0</v>
      </c>
      <c r="AG174" s="662">
        <v>813</v>
      </c>
      <c r="AH174" s="662">
        <v>0</v>
      </c>
      <c r="AI174" s="662">
        <v>0</v>
      </c>
      <c r="AJ174" s="662">
        <v>813</v>
      </c>
      <c r="AK174" s="802">
        <v>0</v>
      </c>
      <c r="AL174" s="662">
        <v>0</v>
      </c>
      <c r="AM174" s="662">
        <v>0</v>
      </c>
      <c r="AN174" s="662">
        <v>0</v>
      </c>
      <c r="AO174" s="662">
        <v>0</v>
      </c>
      <c r="AP174" s="662">
        <v>0</v>
      </c>
      <c r="AQ174" s="802">
        <v>0</v>
      </c>
      <c r="AR174" s="662">
        <v>0</v>
      </c>
      <c r="AS174" s="662">
        <v>0</v>
      </c>
      <c r="AT174" s="662">
        <v>0</v>
      </c>
      <c r="AU174" s="662">
        <v>0</v>
      </c>
      <c r="AV174" s="662">
        <v>0</v>
      </c>
      <c r="AW174" s="662">
        <v>0</v>
      </c>
      <c r="AX174" s="662">
        <v>0</v>
      </c>
      <c r="AY174" s="662">
        <v>0</v>
      </c>
      <c r="AZ174" s="662">
        <v>0</v>
      </c>
      <c r="BA174" s="662">
        <v>0</v>
      </c>
      <c r="BB174" s="662">
        <v>0</v>
      </c>
      <c r="BC174" s="662">
        <v>0</v>
      </c>
      <c r="BD174" s="662">
        <v>0</v>
      </c>
      <c r="BE174" s="802">
        <v>0</v>
      </c>
      <c r="BF174" s="662">
        <v>598</v>
      </c>
      <c r="BG174" s="662">
        <v>0</v>
      </c>
      <c r="BH174" s="662">
        <v>1350</v>
      </c>
      <c r="BI174" s="662">
        <v>0</v>
      </c>
      <c r="BJ174" s="662">
        <v>0</v>
      </c>
      <c r="BK174" s="662">
        <v>1350</v>
      </c>
      <c r="BL174" s="662">
        <v>0</v>
      </c>
      <c r="BM174" s="662">
        <v>312</v>
      </c>
      <c r="BN174" s="662">
        <v>0</v>
      </c>
      <c r="BO174" s="662">
        <v>593</v>
      </c>
      <c r="BP174" s="662">
        <v>0</v>
      </c>
      <c r="BQ174" s="662">
        <v>0</v>
      </c>
      <c r="BR174" s="662">
        <v>578</v>
      </c>
      <c r="BS174" s="662">
        <v>0</v>
      </c>
      <c r="BT174" s="662">
        <v>0</v>
      </c>
      <c r="BU174" s="662">
        <v>0</v>
      </c>
      <c r="BV174" s="662">
        <v>0</v>
      </c>
      <c r="BW174" s="662">
        <v>0</v>
      </c>
      <c r="BX174" s="662">
        <v>0</v>
      </c>
      <c r="BY174" s="662">
        <v>0</v>
      </c>
      <c r="BZ174" s="662">
        <v>0</v>
      </c>
      <c r="CA174" s="662">
        <v>1</v>
      </c>
      <c r="CB174" s="662">
        <v>0</v>
      </c>
      <c r="CC174" s="662">
        <v>8</v>
      </c>
      <c r="CD174" s="662">
        <v>0</v>
      </c>
      <c r="CE174" s="662">
        <v>0</v>
      </c>
      <c r="CF174" s="662">
        <v>8</v>
      </c>
      <c r="CG174" s="662">
        <v>0</v>
      </c>
      <c r="CH174" s="662">
        <v>32000</v>
      </c>
      <c r="CI174" s="662">
        <v>0</v>
      </c>
      <c r="CJ174" s="662">
        <v>128400</v>
      </c>
      <c r="CK174" s="662">
        <v>0</v>
      </c>
      <c r="CL174" s="662">
        <v>0</v>
      </c>
      <c r="CM174" s="662">
        <v>118500</v>
      </c>
      <c r="CN174" s="662">
        <v>0</v>
      </c>
      <c r="CO174" s="662">
        <v>0</v>
      </c>
      <c r="CP174" s="662">
        <v>0</v>
      </c>
      <c r="CQ174" s="662">
        <v>0</v>
      </c>
      <c r="CR174" s="662">
        <v>0</v>
      </c>
      <c r="CS174" s="662">
        <v>0</v>
      </c>
      <c r="CT174" s="662">
        <v>0</v>
      </c>
      <c r="CU174" s="662">
        <v>0</v>
      </c>
      <c r="CV174" s="662">
        <v>0</v>
      </c>
      <c r="CW174" s="662">
        <v>0</v>
      </c>
      <c r="CX174" s="662">
        <v>0</v>
      </c>
      <c r="CY174" s="662">
        <v>0</v>
      </c>
      <c r="CZ174" s="662">
        <v>0</v>
      </c>
      <c r="DA174" s="662">
        <v>0</v>
      </c>
      <c r="DB174" s="662">
        <v>0</v>
      </c>
      <c r="DC174" s="662">
        <v>10500</v>
      </c>
      <c r="DD174" s="662">
        <v>0</v>
      </c>
      <c r="DE174" s="662">
        <v>60150</v>
      </c>
      <c r="DF174" s="662">
        <v>0</v>
      </c>
      <c r="DG174" s="662">
        <v>0</v>
      </c>
      <c r="DH174" s="662">
        <v>57253</v>
      </c>
      <c r="DI174" s="662">
        <v>0</v>
      </c>
      <c r="DJ174" s="662">
        <v>0</v>
      </c>
      <c r="DK174" s="662">
        <v>0</v>
      </c>
      <c r="DL174" s="662">
        <v>0</v>
      </c>
      <c r="DM174" s="662">
        <v>0</v>
      </c>
      <c r="DN174" s="662">
        <v>0</v>
      </c>
      <c r="DO174" s="662">
        <v>0</v>
      </c>
      <c r="DP174" s="662">
        <v>0</v>
      </c>
      <c r="DQ174" s="662">
        <v>0</v>
      </c>
      <c r="DR174" s="662">
        <v>0</v>
      </c>
      <c r="DS174" s="662">
        <v>0</v>
      </c>
      <c r="DT174" s="662">
        <v>0</v>
      </c>
      <c r="DU174" s="662">
        <v>0</v>
      </c>
      <c r="DV174" s="662">
        <v>0</v>
      </c>
      <c r="DW174" s="662">
        <v>0</v>
      </c>
      <c r="DX174" s="662">
        <v>0</v>
      </c>
      <c r="DY174" s="662">
        <v>0</v>
      </c>
      <c r="DZ174" s="662">
        <v>0</v>
      </c>
      <c r="EA174" s="662">
        <v>0</v>
      </c>
      <c r="EB174" s="662">
        <v>0</v>
      </c>
      <c r="EC174" s="662">
        <v>0</v>
      </c>
      <c r="ED174" s="662">
        <v>0</v>
      </c>
      <c r="EE174" s="662">
        <v>0</v>
      </c>
      <c r="EF174" s="662">
        <v>0</v>
      </c>
      <c r="EG174" s="662">
        <v>0</v>
      </c>
      <c r="EH174" s="662">
        <v>0</v>
      </c>
      <c r="EI174" s="662">
        <v>0</v>
      </c>
      <c r="EJ174" s="662">
        <v>0</v>
      </c>
      <c r="EK174" s="662">
        <v>0</v>
      </c>
      <c r="EL174" s="662">
        <v>1</v>
      </c>
      <c r="EM174" s="662">
        <v>0</v>
      </c>
      <c r="EN174" s="662">
        <v>1</v>
      </c>
      <c r="EO174" s="662">
        <v>0</v>
      </c>
      <c r="EP174" s="662">
        <v>0</v>
      </c>
      <c r="EQ174" s="662">
        <v>1</v>
      </c>
    </row>
    <row r="175" spans="1:147" ht="13.95" customHeight="1" x14ac:dyDescent="0.3">
      <c r="A175" s="660" t="s">
        <v>1831</v>
      </c>
      <c r="B175" s="661" t="s">
        <v>269</v>
      </c>
      <c r="C175" s="662">
        <v>0</v>
      </c>
      <c r="D175" s="662">
        <v>48649</v>
      </c>
      <c r="E175" s="662">
        <v>0</v>
      </c>
      <c r="F175" s="662">
        <v>148697</v>
      </c>
      <c r="G175" s="662">
        <v>0</v>
      </c>
      <c r="H175" s="662">
        <v>0</v>
      </c>
      <c r="I175" s="662">
        <v>147165</v>
      </c>
      <c r="J175" s="802">
        <v>0</v>
      </c>
      <c r="K175" s="662">
        <v>3285</v>
      </c>
      <c r="L175" s="662">
        <v>0</v>
      </c>
      <c r="M175" s="662">
        <v>4660</v>
      </c>
      <c r="N175" s="662">
        <v>0</v>
      </c>
      <c r="O175" s="662">
        <v>0</v>
      </c>
      <c r="P175" s="662">
        <v>4655</v>
      </c>
      <c r="Q175" s="802">
        <v>0</v>
      </c>
      <c r="R175" s="662">
        <v>0</v>
      </c>
      <c r="S175" s="662">
        <v>0</v>
      </c>
      <c r="T175" s="662">
        <v>0</v>
      </c>
      <c r="U175" s="662">
        <v>0</v>
      </c>
      <c r="V175" s="662">
        <v>0</v>
      </c>
      <c r="W175" s="802">
        <v>0</v>
      </c>
      <c r="X175" s="662">
        <v>0</v>
      </c>
      <c r="Y175" s="662">
        <v>0</v>
      </c>
      <c r="Z175" s="662">
        <v>0</v>
      </c>
      <c r="AA175" s="662">
        <v>0</v>
      </c>
      <c r="AB175" s="662">
        <v>0</v>
      </c>
      <c r="AC175" s="662">
        <v>0</v>
      </c>
      <c r="AD175" s="802">
        <v>0</v>
      </c>
      <c r="AE175" s="662">
        <v>13100</v>
      </c>
      <c r="AF175" s="662">
        <v>0</v>
      </c>
      <c r="AG175" s="662">
        <v>57562</v>
      </c>
      <c r="AH175" s="662">
        <v>0</v>
      </c>
      <c r="AI175" s="662">
        <v>0</v>
      </c>
      <c r="AJ175" s="662">
        <v>57562</v>
      </c>
      <c r="AK175" s="802">
        <v>0</v>
      </c>
      <c r="AL175" s="662">
        <v>0</v>
      </c>
      <c r="AM175" s="662">
        <v>0</v>
      </c>
      <c r="AN175" s="662">
        <v>0</v>
      </c>
      <c r="AO175" s="662">
        <v>0</v>
      </c>
      <c r="AP175" s="662">
        <v>0</v>
      </c>
      <c r="AQ175" s="802">
        <v>0</v>
      </c>
      <c r="AR175" s="662">
        <v>10700</v>
      </c>
      <c r="AS175" s="662">
        <v>0</v>
      </c>
      <c r="AT175" s="662">
        <v>18320</v>
      </c>
      <c r="AU175" s="662">
        <v>0</v>
      </c>
      <c r="AV175" s="662">
        <v>0</v>
      </c>
      <c r="AW175" s="662">
        <v>17945</v>
      </c>
      <c r="AX175" s="662">
        <v>0</v>
      </c>
      <c r="AY175" s="662">
        <v>0</v>
      </c>
      <c r="AZ175" s="662">
        <v>0</v>
      </c>
      <c r="BA175" s="662">
        <v>0</v>
      </c>
      <c r="BB175" s="662">
        <v>0</v>
      </c>
      <c r="BC175" s="662">
        <v>0</v>
      </c>
      <c r="BD175" s="662">
        <v>0</v>
      </c>
      <c r="BE175" s="802">
        <v>0</v>
      </c>
      <c r="BF175" s="662">
        <v>100</v>
      </c>
      <c r="BG175" s="662">
        <v>0</v>
      </c>
      <c r="BH175" s="662">
        <v>200</v>
      </c>
      <c r="BI175" s="662">
        <v>0</v>
      </c>
      <c r="BJ175" s="662">
        <v>0</v>
      </c>
      <c r="BK175" s="662">
        <v>200</v>
      </c>
      <c r="BL175" s="662">
        <v>0</v>
      </c>
      <c r="BM175" s="662">
        <v>320</v>
      </c>
      <c r="BN175" s="662">
        <v>0</v>
      </c>
      <c r="BO175" s="662">
        <v>1160</v>
      </c>
      <c r="BP175" s="662">
        <v>0</v>
      </c>
      <c r="BQ175" s="662">
        <v>0</v>
      </c>
      <c r="BR175" s="662">
        <v>1150</v>
      </c>
      <c r="BS175" s="662">
        <v>0</v>
      </c>
      <c r="BT175" s="662">
        <v>0</v>
      </c>
      <c r="BU175" s="662">
        <v>0</v>
      </c>
      <c r="BV175" s="662">
        <v>0</v>
      </c>
      <c r="BW175" s="662">
        <v>0</v>
      </c>
      <c r="BX175" s="662">
        <v>0</v>
      </c>
      <c r="BY175" s="662">
        <v>0</v>
      </c>
      <c r="BZ175" s="662">
        <v>0</v>
      </c>
      <c r="CA175" s="662">
        <v>49</v>
      </c>
      <c r="CB175" s="662">
        <v>0</v>
      </c>
      <c r="CC175" s="662">
        <v>125</v>
      </c>
      <c r="CD175" s="662">
        <v>0</v>
      </c>
      <c r="CE175" s="662">
        <v>0</v>
      </c>
      <c r="CF175" s="662">
        <v>123</v>
      </c>
      <c r="CG175" s="662">
        <v>0</v>
      </c>
      <c r="CH175" s="662">
        <v>450</v>
      </c>
      <c r="CI175" s="662">
        <v>0</v>
      </c>
      <c r="CJ175" s="662">
        <v>930</v>
      </c>
      <c r="CK175" s="662">
        <v>0</v>
      </c>
      <c r="CL175" s="662">
        <v>0</v>
      </c>
      <c r="CM175" s="662">
        <v>900</v>
      </c>
      <c r="CN175" s="662">
        <v>0</v>
      </c>
      <c r="CO175" s="662">
        <v>0</v>
      </c>
      <c r="CP175" s="662">
        <v>0</v>
      </c>
      <c r="CQ175" s="662">
        <v>0</v>
      </c>
      <c r="CR175" s="662">
        <v>0</v>
      </c>
      <c r="CS175" s="662">
        <v>0</v>
      </c>
      <c r="CT175" s="662">
        <v>0</v>
      </c>
      <c r="CU175" s="662">
        <v>0</v>
      </c>
      <c r="CV175" s="662">
        <v>0</v>
      </c>
      <c r="CW175" s="662">
        <v>0</v>
      </c>
      <c r="CX175" s="662">
        <v>0</v>
      </c>
      <c r="CY175" s="662">
        <v>0</v>
      </c>
      <c r="CZ175" s="662">
        <v>0</v>
      </c>
      <c r="DA175" s="662">
        <v>0</v>
      </c>
      <c r="DB175" s="662">
        <v>0</v>
      </c>
      <c r="DC175" s="662">
        <v>20600</v>
      </c>
      <c r="DD175" s="662">
        <v>0</v>
      </c>
      <c r="DE175" s="662">
        <v>65560</v>
      </c>
      <c r="DF175" s="662">
        <v>0</v>
      </c>
      <c r="DG175" s="662">
        <v>0</v>
      </c>
      <c r="DH175" s="662">
        <v>64450</v>
      </c>
      <c r="DI175" s="662">
        <v>0</v>
      </c>
      <c r="DJ175" s="662">
        <v>0</v>
      </c>
      <c r="DK175" s="662">
        <v>0</v>
      </c>
      <c r="DL175" s="662">
        <v>0</v>
      </c>
      <c r="DM175" s="662">
        <v>0</v>
      </c>
      <c r="DN175" s="662">
        <v>0</v>
      </c>
      <c r="DO175" s="662">
        <v>0</v>
      </c>
      <c r="DP175" s="662">
        <v>0</v>
      </c>
      <c r="DQ175" s="662">
        <v>0</v>
      </c>
      <c r="DR175" s="662">
        <v>0</v>
      </c>
      <c r="DS175" s="662">
        <v>0</v>
      </c>
      <c r="DT175" s="662">
        <v>0</v>
      </c>
      <c r="DU175" s="662">
        <v>0</v>
      </c>
      <c r="DV175" s="662">
        <v>0</v>
      </c>
      <c r="DW175" s="662">
        <v>0</v>
      </c>
      <c r="DX175" s="662">
        <v>45</v>
      </c>
      <c r="DY175" s="662">
        <v>0</v>
      </c>
      <c r="DZ175" s="662">
        <v>180</v>
      </c>
      <c r="EA175" s="662">
        <v>0</v>
      </c>
      <c r="EB175" s="662">
        <v>0</v>
      </c>
      <c r="EC175" s="662">
        <v>180</v>
      </c>
      <c r="ED175" s="662">
        <v>0</v>
      </c>
      <c r="EE175" s="662">
        <v>0</v>
      </c>
      <c r="EF175" s="662">
        <v>0</v>
      </c>
      <c r="EG175" s="662">
        <v>0</v>
      </c>
      <c r="EH175" s="662">
        <v>0</v>
      </c>
      <c r="EI175" s="662">
        <v>0</v>
      </c>
      <c r="EJ175" s="662">
        <v>0</v>
      </c>
      <c r="EK175" s="662">
        <v>0</v>
      </c>
      <c r="EL175" s="662">
        <v>0</v>
      </c>
      <c r="EM175" s="662">
        <v>0</v>
      </c>
      <c r="EN175" s="662">
        <v>0</v>
      </c>
      <c r="EO175" s="662">
        <v>0</v>
      </c>
      <c r="EP175" s="662">
        <v>0</v>
      </c>
      <c r="EQ175" s="662">
        <v>0</v>
      </c>
    </row>
    <row r="176" spans="1:147" ht="13.95" customHeight="1" x14ac:dyDescent="0.3">
      <c r="A176" s="660" t="s">
        <v>1832</v>
      </c>
      <c r="B176" s="661" t="s">
        <v>269</v>
      </c>
      <c r="C176" s="662">
        <v>0</v>
      </c>
      <c r="D176" s="662">
        <v>568073</v>
      </c>
      <c r="E176" s="662">
        <v>0</v>
      </c>
      <c r="F176" s="662">
        <v>1850335</v>
      </c>
      <c r="G176" s="662">
        <v>0</v>
      </c>
      <c r="H176" s="662">
        <v>0</v>
      </c>
      <c r="I176" s="662">
        <v>1789590</v>
      </c>
      <c r="J176" s="802">
        <v>0</v>
      </c>
      <c r="K176" s="662">
        <v>216</v>
      </c>
      <c r="L176" s="662">
        <v>0</v>
      </c>
      <c r="M176" s="662">
        <v>450</v>
      </c>
      <c r="N176" s="662">
        <v>0</v>
      </c>
      <c r="O176" s="662">
        <v>0</v>
      </c>
      <c r="P176" s="662">
        <v>450</v>
      </c>
      <c r="Q176" s="802">
        <v>0</v>
      </c>
      <c r="R176" s="662">
        <v>0</v>
      </c>
      <c r="S176" s="662">
        <v>0</v>
      </c>
      <c r="T176" s="662">
        <v>0</v>
      </c>
      <c r="U176" s="662">
        <v>0</v>
      </c>
      <c r="V176" s="662">
        <v>0</v>
      </c>
      <c r="W176" s="802">
        <v>0</v>
      </c>
      <c r="X176" s="662">
        <v>400</v>
      </c>
      <c r="Y176" s="662">
        <v>0</v>
      </c>
      <c r="Z176" s="662">
        <v>6000</v>
      </c>
      <c r="AA176" s="662">
        <v>0</v>
      </c>
      <c r="AB176" s="662">
        <v>0</v>
      </c>
      <c r="AC176" s="662">
        <v>6000</v>
      </c>
      <c r="AD176" s="802">
        <v>0</v>
      </c>
      <c r="AE176" s="662">
        <v>61650</v>
      </c>
      <c r="AF176" s="662">
        <v>0</v>
      </c>
      <c r="AG176" s="662">
        <v>274743</v>
      </c>
      <c r="AH176" s="662">
        <v>0</v>
      </c>
      <c r="AI176" s="662">
        <v>0</v>
      </c>
      <c r="AJ176" s="662">
        <v>274743</v>
      </c>
      <c r="AK176" s="802">
        <v>0</v>
      </c>
      <c r="AL176" s="662">
        <v>0</v>
      </c>
      <c r="AM176" s="662">
        <v>0</v>
      </c>
      <c r="AN176" s="662">
        <v>0</v>
      </c>
      <c r="AO176" s="662">
        <v>0</v>
      </c>
      <c r="AP176" s="662">
        <v>0</v>
      </c>
      <c r="AQ176" s="802">
        <v>0</v>
      </c>
      <c r="AR176" s="662">
        <v>0</v>
      </c>
      <c r="AS176" s="662">
        <v>0</v>
      </c>
      <c r="AT176" s="662">
        <v>0</v>
      </c>
      <c r="AU176" s="662">
        <v>0</v>
      </c>
      <c r="AV176" s="662">
        <v>0</v>
      </c>
      <c r="AW176" s="662">
        <v>0</v>
      </c>
      <c r="AX176" s="662">
        <v>0</v>
      </c>
      <c r="AY176" s="662">
        <v>0</v>
      </c>
      <c r="AZ176" s="662">
        <v>0</v>
      </c>
      <c r="BA176" s="662">
        <v>0</v>
      </c>
      <c r="BB176" s="662">
        <v>0</v>
      </c>
      <c r="BC176" s="662">
        <v>0</v>
      </c>
      <c r="BD176" s="662">
        <v>0</v>
      </c>
      <c r="BE176" s="802">
        <v>0</v>
      </c>
      <c r="BF176" s="662">
        <v>41214</v>
      </c>
      <c r="BG176" s="662">
        <v>0</v>
      </c>
      <c r="BH176" s="662">
        <v>100376</v>
      </c>
      <c r="BI176" s="662">
        <v>0</v>
      </c>
      <c r="BJ176" s="662">
        <v>0</v>
      </c>
      <c r="BK176" s="662">
        <v>100376</v>
      </c>
      <c r="BL176" s="662">
        <v>0</v>
      </c>
      <c r="BM176" s="662">
        <v>733</v>
      </c>
      <c r="BN176" s="662">
        <v>0</v>
      </c>
      <c r="BO176" s="662">
        <v>1858</v>
      </c>
      <c r="BP176" s="662">
        <v>0</v>
      </c>
      <c r="BQ176" s="662">
        <v>0</v>
      </c>
      <c r="BR176" s="662">
        <v>1810</v>
      </c>
      <c r="BS176" s="662">
        <v>0</v>
      </c>
      <c r="BT176" s="662">
        <v>0</v>
      </c>
      <c r="BU176" s="662">
        <v>0</v>
      </c>
      <c r="BV176" s="662">
        <v>0</v>
      </c>
      <c r="BW176" s="662">
        <v>0</v>
      </c>
      <c r="BX176" s="662">
        <v>0</v>
      </c>
      <c r="BY176" s="662">
        <v>0</v>
      </c>
      <c r="BZ176" s="662">
        <v>0</v>
      </c>
      <c r="CA176" s="662">
        <v>88</v>
      </c>
      <c r="CB176" s="662">
        <v>0</v>
      </c>
      <c r="CC176" s="662">
        <v>217</v>
      </c>
      <c r="CD176" s="662">
        <v>0</v>
      </c>
      <c r="CE176" s="662">
        <v>0</v>
      </c>
      <c r="CF176" s="662">
        <v>215</v>
      </c>
      <c r="CG176" s="662">
        <v>0</v>
      </c>
      <c r="CH176" s="662">
        <v>51150</v>
      </c>
      <c r="CI176" s="662">
        <v>0</v>
      </c>
      <c r="CJ176" s="662">
        <v>220000</v>
      </c>
      <c r="CK176" s="662">
        <v>0</v>
      </c>
      <c r="CL176" s="662">
        <v>0</v>
      </c>
      <c r="CM176" s="662">
        <v>202700</v>
      </c>
      <c r="CN176" s="662">
        <v>0</v>
      </c>
      <c r="CO176" s="662">
        <v>0</v>
      </c>
      <c r="CP176" s="662">
        <v>0</v>
      </c>
      <c r="CQ176" s="662">
        <v>0</v>
      </c>
      <c r="CR176" s="662">
        <v>0</v>
      </c>
      <c r="CS176" s="662">
        <v>0</v>
      </c>
      <c r="CT176" s="662">
        <v>0</v>
      </c>
      <c r="CU176" s="662">
        <v>0</v>
      </c>
      <c r="CV176" s="662">
        <v>500</v>
      </c>
      <c r="CW176" s="662">
        <v>0</v>
      </c>
      <c r="CX176" s="662">
        <v>1880</v>
      </c>
      <c r="CY176" s="662">
        <v>0</v>
      </c>
      <c r="CZ176" s="662">
        <v>0</v>
      </c>
      <c r="DA176" s="662">
        <v>1880</v>
      </c>
      <c r="DB176" s="662">
        <v>0</v>
      </c>
      <c r="DC176" s="662">
        <v>409200</v>
      </c>
      <c r="DD176" s="662">
        <v>0</v>
      </c>
      <c r="DE176" s="662">
        <v>1234810</v>
      </c>
      <c r="DF176" s="662">
        <v>0</v>
      </c>
      <c r="DG176" s="662">
        <v>0</v>
      </c>
      <c r="DH176" s="662">
        <v>1191635</v>
      </c>
      <c r="DI176" s="662">
        <v>0</v>
      </c>
      <c r="DJ176" s="662">
        <v>1670</v>
      </c>
      <c r="DK176" s="662">
        <v>0</v>
      </c>
      <c r="DL176" s="662">
        <v>3875</v>
      </c>
      <c r="DM176" s="662">
        <v>0</v>
      </c>
      <c r="DN176" s="662">
        <v>0</v>
      </c>
      <c r="DO176" s="662">
        <v>3755</v>
      </c>
      <c r="DP176" s="662">
        <v>0</v>
      </c>
      <c r="DQ176" s="662">
        <v>0</v>
      </c>
      <c r="DR176" s="662">
        <v>0</v>
      </c>
      <c r="DS176" s="662">
        <v>0</v>
      </c>
      <c r="DT176" s="662">
        <v>0</v>
      </c>
      <c r="DU176" s="662">
        <v>0</v>
      </c>
      <c r="DV176" s="662">
        <v>0</v>
      </c>
      <c r="DW176" s="662">
        <v>0</v>
      </c>
      <c r="DX176" s="662">
        <v>1252</v>
      </c>
      <c r="DY176" s="662">
        <v>0</v>
      </c>
      <c r="DZ176" s="662">
        <v>6126</v>
      </c>
      <c r="EA176" s="662">
        <v>0</v>
      </c>
      <c r="EB176" s="662">
        <v>0</v>
      </c>
      <c r="EC176" s="662">
        <v>6026</v>
      </c>
      <c r="ED176" s="662">
        <v>0</v>
      </c>
      <c r="EE176" s="662">
        <v>0</v>
      </c>
      <c r="EF176" s="662">
        <v>0</v>
      </c>
      <c r="EG176" s="662">
        <v>0</v>
      </c>
      <c r="EH176" s="662">
        <v>0</v>
      </c>
      <c r="EI176" s="662">
        <v>0</v>
      </c>
      <c r="EJ176" s="662">
        <v>0</v>
      </c>
      <c r="EK176" s="662">
        <v>0</v>
      </c>
      <c r="EL176" s="662">
        <v>0</v>
      </c>
      <c r="EM176" s="662">
        <v>0</v>
      </c>
      <c r="EN176" s="662">
        <v>0</v>
      </c>
      <c r="EO176" s="662">
        <v>0</v>
      </c>
      <c r="EP176" s="662">
        <v>0</v>
      </c>
      <c r="EQ176" s="662">
        <v>0</v>
      </c>
    </row>
    <row r="177" spans="1:147" ht="13.95" customHeight="1" x14ac:dyDescent="0.3">
      <c r="A177" s="660" t="s">
        <v>1833</v>
      </c>
      <c r="B177" s="661" t="s">
        <v>269</v>
      </c>
      <c r="C177" s="662">
        <v>0</v>
      </c>
      <c r="D177" s="662">
        <v>761372</v>
      </c>
      <c r="E177" s="662">
        <v>0</v>
      </c>
      <c r="F177" s="662">
        <v>5788236</v>
      </c>
      <c r="G177" s="662">
        <v>0</v>
      </c>
      <c r="H177" s="662">
        <v>0</v>
      </c>
      <c r="I177" s="662">
        <v>5249255</v>
      </c>
      <c r="J177" s="802">
        <v>0</v>
      </c>
      <c r="K177" s="662">
        <v>11436</v>
      </c>
      <c r="L177" s="662">
        <v>0</v>
      </c>
      <c r="M177" s="662">
        <v>64121</v>
      </c>
      <c r="N177" s="662">
        <v>0</v>
      </c>
      <c r="O177" s="662">
        <v>0</v>
      </c>
      <c r="P177" s="662">
        <v>64079</v>
      </c>
      <c r="Q177" s="802">
        <v>0</v>
      </c>
      <c r="R177" s="662">
        <v>0</v>
      </c>
      <c r="S177" s="662">
        <v>0</v>
      </c>
      <c r="T177" s="662">
        <v>0</v>
      </c>
      <c r="U177" s="662">
        <v>0</v>
      </c>
      <c r="V177" s="662">
        <v>0</v>
      </c>
      <c r="W177" s="802">
        <v>0</v>
      </c>
      <c r="X177" s="662">
        <v>1800</v>
      </c>
      <c r="Y177" s="662">
        <v>0</v>
      </c>
      <c r="Z177" s="662">
        <v>9250</v>
      </c>
      <c r="AA177" s="662">
        <v>0</v>
      </c>
      <c r="AB177" s="662">
        <v>0</v>
      </c>
      <c r="AC177" s="662">
        <v>9240</v>
      </c>
      <c r="AD177" s="802">
        <v>0</v>
      </c>
      <c r="AE177" s="662">
        <v>6625</v>
      </c>
      <c r="AF177" s="662">
        <v>0</v>
      </c>
      <c r="AG177" s="662">
        <v>52113</v>
      </c>
      <c r="AH177" s="662">
        <v>0</v>
      </c>
      <c r="AI177" s="662">
        <v>0</v>
      </c>
      <c r="AJ177" s="662">
        <v>52113</v>
      </c>
      <c r="AK177" s="802">
        <v>0</v>
      </c>
      <c r="AL177" s="662">
        <v>0</v>
      </c>
      <c r="AM177" s="662">
        <v>0</v>
      </c>
      <c r="AN177" s="662">
        <v>0</v>
      </c>
      <c r="AO177" s="662">
        <v>0</v>
      </c>
      <c r="AP177" s="662">
        <v>0</v>
      </c>
      <c r="AQ177" s="802">
        <v>0</v>
      </c>
      <c r="AR177" s="662">
        <v>36773</v>
      </c>
      <c r="AS177" s="662">
        <v>0</v>
      </c>
      <c r="AT177" s="662">
        <v>327970</v>
      </c>
      <c r="AU177" s="662">
        <v>0</v>
      </c>
      <c r="AV177" s="662">
        <v>0</v>
      </c>
      <c r="AW177" s="662">
        <v>318122</v>
      </c>
      <c r="AX177" s="662">
        <v>0</v>
      </c>
      <c r="AY177" s="662">
        <v>1080</v>
      </c>
      <c r="AZ177" s="662">
        <v>0</v>
      </c>
      <c r="BA177" s="662">
        <v>3552</v>
      </c>
      <c r="BB177" s="662">
        <v>0</v>
      </c>
      <c r="BC177" s="662">
        <v>0</v>
      </c>
      <c r="BD177" s="662">
        <v>3533</v>
      </c>
      <c r="BE177" s="802">
        <v>0</v>
      </c>
      <c r="BF177" s="662">
        <v>9288</v>
      </c>
      <c r="BG177" s="662">
        <v>0</v>
      </c>
      <c r="BH177" s="662">
        <v>92260</v>
      </c>
      <c r="BI177" s="662">
        <v>0</v>
      </c>
      <c r="BJ177" s="662">
        <v>0</v>
      </c>
      <c r="BK177" s="662">
        <v>92260</v>
      </c>
      <c r="BL177" s="662">
        <v>0</v>
      </c>
      <c r="BM177" s="662">
        <v>5703</v>
      </c>
      <c r="BN177" s="662">
        <v>0</v>
      </c>
      <c r="BO177" s="662">
        <v>27550</v>
      </c>
      <c r="BP177" s="662">
        <v>0</v>
      </c>
      <c r="BQ177" s="662">
        <v>0</v>
      </c>
      <c r="BR177" s="662">
        <v>26600</v>
      </c>
      <c r="BS177" s="662">
        <v>0</v>
      </c>
      <c r="BT177" s="662">
        <v>400</v>
      </c>
      <c r="BU177" s="662">
        <v>0</v>
      </c>
      <c r="BV177" s="662">
        <v>4000</v>
      </c>
      <c r="BW177" s="662">
        <v>0</v>
      </c>
      <c r="BX177" s="662">
        <v>0</v>
      </c>
      <c r="BY177" s="662">
        <v>3500</v>
      </c>
      <c r="BZ177" s="662">
        <v>0</v>
      </c>
      <c r="CA177" s="662">
        <v>1152</v>
      </c>
      <c r="CB177" s="662">
        <v>0</v>
      </c>
      <c r="CC177" s="662">
        <v>8685</v>
      </c>
      <c r="CD177" s="662">
        <v>0</v>
      </c>
      <c r="CE177" s="662">
        <v>0</v>
      </c>
      <c r="CF177" s="662">
        <v>8627</v>
      </c>
      <c r="CG177" s="662">
        <v>0</v>
      </c>
      <c r="CH177" s="662">
        <v>210400</v>
      </c>
      <c r="CI177" s="662">
        <v>0</v>
      </c>
      <c r="CJ177" s="662">
        <v>1683100</v>
      </c>
      <c r="CK177" s="662">
        <v>0</v>
      </c>
      <c r="CL177" s="662">
        <v>0</v>
      </c>
      <c r="CM177" s="662">
        <v>1580500</v>
      </c>
      <c r="CN177" s="662">
        <v>0</v>
      </c>
      <c r="CO177" s="662">
        <v>7230</v>
      </c>
      <c r="CP177" s="662">
        <v>0</v>
      </c>
      <c r="CQ177" s="662">
        <v>16550</v>
      </c>
      <c r="CR177" s="662">
        <v>0</v>
      </c>
      <c r="CS177" s="662">
        <v>0</v>
      </c>
      <c r="CT177" s="662">
        <v>16550</v>
      </c>
      <c r="CU177" s="662">
        <v>0</v>
      </c>
      <c r="CV177" s="662">
        <v>0</v>
      </c>
      <c r="CW177" s="662">
        <v>0</v>
      </c>
      <c r="CX177" s="662">
        <v>0</v>
      </c>
      <c r="CY177" s="662">
        <v>0</v>
      </c>
      <c r="CZ177" s="662">
        <v>0</v>
      </c>
      <c r="DA177" s="662">
        <v>0</v>
      </c>
      <c r="DB177" s="662">
        <v>0</v>
      </c>
      <c r="DC177" s="662">
        <v>90330</v>
      </c>
      <c r="DD177" s="662">
        <v>0</v>
      </c>
      <c r="DE177" s="662">
        <v>695100</v>
      </c>
      <c r="DF177" s="662">
        <v>0</v>
      </c>
      <c r="DG177" s="662">
        <v>0</v>
      </c>
      <c r="DH177" s="662">
        <v>682758</v>
      </c>
      <c r="DI177" s="662">
        <v>0</v>
      </c>
      <c r="DJ177" s="662">
        <v>25880</v>
      </c>
      <c r="DK177" s="662">
        <v>0</v>
      </c>
      <c r="DL177" s="662">
        <v>237550</v>
      </c>
      <c r="DM177" s="662">
        <v>0</v>
      </c>
      <c r="DN177" s="662">
        <v>0</v>
      </c>
      <c r="DO177" s="662">
        <v>231555</v>
      </c>
      <c r="DP177" s="662">
        <v>0</v>
      </c>
      <c r="DQ177" s="662">
        <v>3034</v>
      </c>
      <c r="DR177" s="662">
        <v>0</v>
      </c>
      <c r="DS177" s="662">
        <v>15681</v>
      </c>
      <c r="DT177" s="662">
        <v>0</v>
      </c>
      <c r="DU177" s="662">
        <v>0</v>
      </c>
      <c r="DV177" s="662">
        <v>15568</v>
      </c>
      <c r="DW177" s="662">
        <v>0</v>
      </c>
      <c r="DX177" s="662">
        <v>15528</v>
      </c>
      <c r="DY177" s="662">
        <v>0</v>
      </c>
      <c r="DZ177" s="662">
        <v>102390</v>
      </c>
      <c r="EA177" s="662">
        <v>0</v>
      </c>
      <c r="EB177" s="662">
        <v>0</v>
      </c>
      <c r="EC177" s="662">
        <v>99986</v>
      </c>
      <c r="ED177" s="662">
        <v>0</v>
      </c>
      <c r="EE177" s="662">
        <v>307310</v>
      </c>
      <c r="EF177" s="662">
        <v>0</v>
      </c>
      <c r="EG177" s="662">
        <v>2237295</v>
      </c>
      <c r="EH177" s="662">
        <v>0</v>
      </c>
      <c r="EI177" s="662">
        <v>0</v>
      </c>
      <c r="EJ177" s="662">
        <v>1833285</v>
      </c>
      <c r="EK177" s="662">
        <v>0</v>
      </c>
      <c r="EL177" s="662">
        <v>27403</v>
      </c>
      <c r="EM177" s="662">
        <v>0</v>
      </c>
      <c r="EN177" s="662">
        <v>211069</v>
      </c>
      <c r="EO177" s="662">
        <v>0</v>
      </c>
      <c r="EP177" s="662">
        <v>0</v>
      </c>
      <c r="EQ177" s="662">
        <v>210979</v>
      </c>
    </row>
    <row r="178" spans="1:147" ht="13.95" customHeight="1" x14ac:dyDescent="0.3">
      <c r="A178" s="657" t="s">
        <v>1834</v>
      </c>
      <c r="B178" s="658" t="s">
        <v>269</v>
      </c>
      <c r="C178" s="659">
        <f t="shared" ref="C178:BN178" si="71">C179</f>
        <v>1859</v>
      </c>
      <c r="D178" s="659">
        <f t="shared" si="71"/>
        <v>0</v>
      </c>
      <c r="E178" s="659">
        <f t="shared" si="71"/>
        <v>0</v>
      </c>
      <c r="F178" s="659">
        <f t="shared" si="71"/>
        <v>357979</v>
      </c>
      <c r="G178" s="659">
        <f t="shared" si="71"/>
        <v>0</v>
      </c>
      <c r="H178" s="659">
        <f t="shared" si="71"/>
        <v>0</v>
      </c>
      <c r="I178" s="659">
        <f t="shared" si="71"/>
        <v>349610</v>
      </c>
      <c r="J178" s="801">
        <f t="shared" si="71"/>
        <v>142</v>
      </c>
      <c r="K178" s="659">
        <f t="shared" si="71"/>
        <v>0</v>
      </c>
      <c r="L178" s="659">
        <f t="shared" si="71"/>
        <v>0</v>
      </c>
      <c r="M178" s="659">
        <f t="shared" si="71"/>
        <v>33408</v>
      </c>
      <c r="N178" s="659">
        <f t="shared" si="71"/>
        <v>0</v>
      </c>
      <c r="O178" s="659">
        <f t="shared" si="71"/>
        <v>0</v>
      </c>
      <c r="P178" s="659">
        <f t="shared" si="71"/>
        <v>33408</v>
      </c>
      <c r="Q178" s="801">
        <f t="shared" si="71"/>
        <v>2</v>
      </c>
      <c r="R178" s="659">
        <f t="shared" si="71"/>
        <v>0</v>
      </c>
      <c r="S178" s="659">
        <f t="shared" si="71"/>
        <v>700</v>
      </c>
      <c r="T178" s="659">
        <f t="shared" si="71"/>
        <v>0</v>
      </c>
      <c r="U178" s="659">
        <f t="shared" si="71"/>
        <v>0</v>
      </c>
      <c r="V178" s="659">
        <f t="shared" si="71"/>
        <v>700</v>
      </c>
      <c r="W178" s="801">
        <f t="shared" si="71"/>
        <v>1</v>
      </c>
      <c r="X178" s="659">
        <f t="shared" si="71"/>
        <v>0</v>
      </c>
      <c r="Y178" s="659">
        <f t="shared" si="71"/>
        <v>0</v>
      </c>
      <c r="Z178" s="659">
        <f t="shared" si="71"/>
        <v>100</v>
      </c>
      <c r="AA178" s="659">
        <f t="shared" si="71"/>
        <v>0</v>
      </c>
      <c r="AB178" s="659">
        <f t="shared" si="71"/>
        <v>0</v>
      </c>
      <c r="AC178" s="659">
        <f t="shared" si="71"/>
        <v>100</v>
      </c>
      <c r="AD178" s="801">
        <f t="shared" si="71"/>
        <v>47</v>
      </c>
      <c r="AE178" s="659">
        <f t="shared" si="71"/>
        <v>0</v>
      </c>
      <c r="AF178" s="659">
        <f t="shared" si="71"/>
        <v>0</v>
      </c>
      <c r="AG178" s="659">
        <f t="shared" si="71"/>
        <v>4088</v>
      </c>
      <c r="AH178" s="659">
        <f t="shared" si="71"/>
        <v>0</v>
      </c>
      <c r="AI178" s="659">
        <f t="shared" si="71"/>
        <v>0</v>
      </c>
      <c r="AJ178" s="659">
        <f t="shared" si="71"/>
        <v>4088</v>
      </c>
      <c r="AK178" s="801">
        <f t="shared" si="71"/>
        <v>220</v>
      </c>
      <c r="AL178" s="659">
        <f t="shared" si="71"/>
        <v>0</v>
      </c>
      <c r="AM178" s="659">
        <f t="shared" si="71"/>
        <v>64500</v>
      </c>
      <c r="AN178" s="659">
        <f t="shared" si="71"/>
        <v>0</v>
      </c>
      <c r="AO178" s="659">
        <f t="shared" si="71"/>
        <v>0</v>
      </c>
      <c r="AP178" s="659">
        <f t="shared" si="71"/>
        <v>64500</v>
      </c>
      <c r="AQ178" s="801">
        <f t="shared" si="71"/>
        <v>58</v>
      </c>
      <c r="AR178" s="659">
        <f t="shared" si="71"/>
        <v>0</v>
      </c>
      <c r="AS178" s="659">
        <f t="shared" si="71"/>
        <v>0</v>
      </c>
      <c r="AT178" s="659">
        <f t="shared" si="71"/>
        <v>15444</v>
      </c>
      <c r="AU178" s="659">
        <f t="shared" si="71"/>
        <v>0</v>
      </c>
      <c r="AV178" s="659">
        <f t="shared" si="71"/>
        <v>0</v>
      </c>
      <c r="AW178" s="659">
        <f t="shared" si="71"/>
        <v>15085</v>
      </c>
      <c r="AX178" s="659">
        <f t="shared" si="71"/>
        <v>9</v>
      </c>
      <c r="AY178" s="659">
        <f t="shared" si="71"/>
        <v>0</v>
      </c>
      <c r="AZ178" s="659">
        <f t="shared" si="71"/>
        <v>0</v>
      </c>
      <c r="BA178" s="659">
        <f t="shared" si="71"/>
        <v>1073</v>
      </c>
      <c r="BB178" s="659">
        <f t="shared" si="71"/>
        <v>0</v>
      </c>
      <c r="BC178" s="659">
        <f t="shared" si="71"/>
        <v>0</v>
      </c>
      <c r="BD178" s="659">
        <f t="shared" si="71"/>
        <v>1064</v>
      </c>
      <c r="BE178" s="801">
        <f t="shared" si="71"/>
        <v>235</v>
      </c>
      <c r="BF178" s="659">
        <f t="shared" si="71"/>
        <v>0</v>
      </c>
      <c r="BG178" s="659">
        <f t="shared" si="71"/>
        <v>0</v>
      </c>
      <c r="BH178" s="659">
        <f t="shared" si="71"/>
        <v>73115</v>
      </c>
      <c r="BI178" s="659">
        <f t="shared" si="71"/>
        <v>0</v>
      </c>
      <c r="BJ178" s="659">
        <f t="shared" si="71"/>
        <v>0</v>
      </c>
      <c r="BK178" s="659">
        <f t="shared" si="71"/>
        <v>73115</v>
      </c>
      <c r="BL178" s="659">
        <f t="shared" si="71"/>
        <v>87</v>
      </c>
      <c r="BM178" s="659">
        <f t="shared" si="71"/>
        <v>0</v>
      </c>
      <c r="BN178" s="659">
        <f t="shared" si="71"/>
        <v>0</v>
      </c>
      <c r="BO178" s="659">
        <f t="shared" ref="BO178:CG178" si="72">BO179</f>
        <v>10105</v>
      </c>
      <c r="BP178" s="659">
        <f t="shared" si="72"/>
        <v>0</v>
      </c>
      <c r="BQ178" s="659">
        <f t="shared" si="72"/>
        <v>0</v>
      </c>
      <c r="BR178" s="659">
        <f t="shared" si="72"/>
        <v>9784</v>
      </c>
      <c r="BS178" s="659">
        <f t="shared" si="72"/>
        <v>0</v>
      </c>
      <c r="BT178" s="659">
        <f t="shared" si="72"/>
        <v>0</v>
      </c>
      <c r="BU178" s="659">
        <f t="shared" si="72"/>
        <v>0</v>
      </c>
      <c r="BV178" s="659">
        <f t="shared" si="72"/>
        <v>0</v>
      </c>
      <c r="BW178" s="659">
        <f t="shared" si="72"/>
        <v>0</v>
      </c>
      <c r="BX178" s="659">
        <f t="shared" si="72"/>
        <v>0</v>
      </c>
      <c r="BY178" s="659">
        <f t="shared" si="72"/>
        <v>0</v>
      </c>
      <c r="BZ178" s="659">
        <f t="shared" si="72"/>
        <v>34</v>
      </c>
      <c r="CA178" s="659">
        <f t="shared" si="72"/>
        <v>0</v>
      </c>
      <c r="CB178" s="659">
        <f t="shared" si="72"/>
        <v>0</v>
      </c>
      <c r="CC178" s="659">
        <f t="shared" si="72"/>
        <v>7293</v>
      </c>
      <c r="CD178" s="659">
        <f t="shared" si="72"/>
        <v>0</v>
      </c>
      <c r="CE178" s="659">
        <f t="shared" si="72"/>
        <v>0</v>
      </c>
      <c r="CF178" s="659">
        <f t="shared" si="72"/>
        <v>7174</v>
      </c>
      <c r="CG178" s="659">
        <f t="shared" si="72"/>
        <v>228</v>
      </c>
      <c r="CH178" s="659">
        <v>0</v>
      </c>
      <c r="CI178" s="659">
        <f t="shared" ref="CI178:DI178" si="73">CI179</f>
        <v>0</v>
      </c>
      <c r="CJ178" s="659">
        <f t="shared" si="73"/>
        <v>62240</v>
      </c>
      <c r="CK178" s="659">
        <f t="shared" si="73"/>
        <v>0</v>
      </c>
      <c r="CL178" s="659">
        <f t="shared" si="73"/>
        <v>0</v>
      </c>
      <c r="CM178" s="659">
        <f t="shared" si="73"/>
        <v>56635</v>
      </c>
      <c r="CN178" s="659">
        <f t="shared" si="73"/>
        <v>81</v>
      </c>
      <c r="CO178" s="659">
        <f t="shared" si="73"/>
        <v>0</v>
      </c>
      <c r="CP178" s="659">
        <f t="shared" si="73"/>
        <v>0</v>
      </c>
      <c r="CQ178" s="659">
        <f t="shared" si="73"/>
        <v>12800</v>
      </c>
      <c r="CR178" s="659">
        <f t="shared" si="73"/>
        <v>0</v>
      </c>
      <c r="CS178" s="659">
        <f t="shared" si="73"/>
        <v>0</v>
      </c>
      <c r="CT178" s="659">
        <f t="shared" si="73"/>
        <v>12800</v>
      </c>
      <c r="CU178" s="659">
        <f t="shared" si="73"/>
        <v>40</v>
      </c>
      <c r="CV178" s="659">
        <f t="shared" si="73"/>
        <v>0</v>
      </c>
      <c r="CW178" s="659">
        <f t="shared" si="73"/>
        <v>0</v>
      </c>
      <c r="CX178" s="659">
        <f t="shared" si="73"/>
        <v>7200</v>
      </c>
      <c r="CY178" s="659">
        <f t="shared" si="73"/>
        <v>0</v>
      </c>
      <c r="CZ178" s="659">
        <f t="shared" si="73"/>
        <v>0</v>
      </c>
      <c r="DA178" s="659">
        <f t="shared" si="73"/>
        <v>7200</v>
      </c>
      <c r="DB178" s="659">
        <f t="shared" si="73"/>
        <v>8</v>
      </c>
      <c r="DC178" s="659">
        <f t="shared" si="73"/>
        <v>0</v>
      </c>
      <c r="DD178" s="659">
        <f t="shared" si="73"/>
        <v>0</v>
      </c>
      <c r="DE178" s="659">
        <f t="shared" si="73"/>
        <v>360</v>
      </c>
      <c r="DF178" s="659">
        <f t="shared" si="73"/>
        <v>0</v>
      </c>
      <c r="DG178" s="659">
        <f t="shared" si="73"/>
        <v>0</v>
      </c>
      <c r="DH178" s="659">
        <f t="shared" si="73"/>
        <v>360</v>
      </c>
      <c r="DI178" s="659">
        <f t="shared" si="73"/>
        <v>48</v>
      </c>
      <c r="DJ178" s="659">
        <v>0</v>
      </c>
      <c r="DK178" s="659">
        <f t="shared" ref="DK178:DP178" si="74">DK179</f>
        <v>0</v>
      </c>
      <c r="DL178" s="659">
        <f t="shared" si="74"/>
        <v>3800</v>
      </c>
      <c r="DM178" s="659">
        <f t="shared" si="74"/>
        <v>0</v>
      </c>
      <c r="DN178" s="659">
        <f t="shared" si="74"/>
        <v>0</v>
      </c>
      <c r="DO178" s="659">
        <f t="shared" si="74"/>
        <v>3680</v>
      </c>
      <c r="DP178" s="659">
        <f t="shared" si="74"/>
        <v>0</v>
      </c>
      <c r="DQ178" s="659">
        <v>0</v>
      </c>
      <c r="DR178" s="659">
        <f t="shared" ref="DR178:EK178" si="75">DR179</f>
        <v>0</v>
      </c>
      <c r="DS178" s="659">
        <f t="shared" si="75"/>
        <v>0</v>
      </c>
      <c r="DT178" s="659">
        <f t="shared" si="75"/>
        <v>0</v>
      </c>
      <c r="DU178" s="659">
        <f t="shared" si="75"/>
        <v>0</v>
      </c>
      <c r="DV178" s="659">
        <f t="shared" si="75"/>
        <v>0</v>
      </c>
      <c r="DW178" s="659">
        <f t="shared" si="75"/>
        <v>163</v>
      </c>
      <c r="DX178" s="659">
        <f t="shared" si="75"/>
        <v>0</v>
      </c>
      <c r="DY178" s="659">
        <f t="shared" si="75"/>
        <v>0</v>
      </c>
      <c r="DZ178" s="659">
        <f t="shared" si="75"/>
        <v>25990</v>
      </c>
      <c r="EA178" s="659">
        <f t="shared" si="75"/>
        <v>0</v>
      </c>
      <c r="EB178" s="659">
        <f t="shared" si="75"/>
        <v>0</v>
      </c>
      <c r="EC178" s="659">
        <f t="shared" si="75"/>
        <v>25702</v>
      </c>
      <c r="ED178" s="659">
        <f t="shared" si="75"/>
        <v>438</v>
      </c>
      <c r="EE178" s="659">
        <f t="shared" si="75"/>
        <v>0</v>
      </c>
      <c r="EF178" s="659">
        <f t="shared" si="75"/>
        <v>0</v>
      </c>
      <c r="EG178" s="659">
        <f t="shared" si="75"/>
        <v>31213</v>
      </c>
      <c r="EH178" s="659">
        <f t="shared" si="75"/>
        <v>0</v>
      </c>
      <c r="EI178" s="659">
        <f t="shared" si="75"/>
        <v>0</v>
      </c>
      <c r="EJ178" s="659">
        <f t="shared" si="75"/>
        <v>29695</v>
      </c>
      <c r="EK178" s="659">
        <f t="shared" si="75"/>
        <v>18</v>
      </c>
      <c r="EL178" s="659">
        <v>0</v>
      </c>
      <c r="EM178" s="659">
        <f>EM179</f>
        <v>0</v>
      </c>
      <c r="EN178" s="659">
        <f>EN179</f>
        <v>4550</v>
      </c>
      <c r="EO178" s="659">
        <f>EO179</f>
        <v>0</v>
      </c>
      <c r="EP178" s="659">
        <f>EP179</f>
        <v>0</v>
      </c>
      <c r="EQ178" s="659">
        <f>EQ179</f>
        <v>4520</v>
      </c>
    </row>
    <row r="179" spans="1:147" ht="13.95" customHeight="1" x14ac:dyDescent="0.3">
      <c r="A179" s="657" t="s">
        <v>1835</v>
      </c>
      <c r="B179" s="658" t="s">
        <v>269</v>
      </c>
      <c r="C179" s="659">
        <v>1859</v>
      </c>
      <c r="D179" s="659">
        <v>0</v>
      </c>
      <c r="E179" s="659">
        <v>0</v>
      </c>
      <c r="F179" s="659">
        <v>357979</v>
      </c>
      <c r="G179" s="659">
        <v>0</v>
      </c>
      <c r="H179" s="659">
        <v>0</v>
      </c>
      <c r="I179" s="659">
        <v>349610</v>
      </c>
      <c r="J179" s="801">
        <v>142</v>
      </c>
      <c r="K179" s="659">
        <v>0</v>
      </c>
      <c r="L179" s="659">
        <v>0</v>
      </c>
      <c r="M179" s="659">
        <v>33408</v>
      </c>
      <c r="N179" s="659">
        <v>0</v>
      </c>
      <c r="O179" s="659">
        <v>0</v>
      </c>
      <c r="P179" s="659">
        <v>33408</v>
      </c>
      <c r="Q179" s="801">
        <v>2</v>
      </c>
      <c r="R179" s="659">
        <v>0</v>
      </c>
      <c r="S179" s="659">
        <v>700</v>
      </c>
      <c r="T179" s="659">
        <v>0</v>
      </c>
      <c r="U179" s="659">
        <v>0</v>
      </c>
      <c r="V179" s="659">
        <v>700</v>
      </c>
      <c r="W179" s="801">
        <v>1</v>
      </c>
      <c r="X179" s="659">
        <v>0</v>
      </c>
      <c r="Y179" s="659">
        <v>0</v>
      </c>
      <c r="Z179" s="659">
        <v>100</v>
      </c>
      <c r="AA179" s="659">
        <v>0</v>
      </c>
      <c r="AB179" s="659">
        <v>0</v>
      </c>
      <c r="AC179" s="659">
        <v>100</v>
      </c>
      <c r="AD179" s="801">
        <v>47</v>
      </c>
      <c r="AE179" s="659">
        <v>0</v>
      </c>
      <c r="AF179" s="659">
        <v>0</v>
      </c>
      <c r="AG179" s="659">
        <v>4088</v>
      </c>
      <c r="AH179" s="659">
        <v>0</v>
      </c>
      <c r="AI179" s="659">
        <v>0</v>
      </c>
      <c r="AJ179" s="659">
        <v>4088</v>
      </c>
      <c r="AK179" s="801">
        <v>220</v>
      </c>
      <c r="AL179" s="659">
        <v>0</v>
      </c>
      <c r="AM179" s="659">
        <v>64500</v>
      </c>
      <c r="AN179" s="659">
        <v>0</v>
      </c>
      <c r="AO179" s="659">
        <v>0</v>
      </c>
      <c r="AP179" s="659">
        <v>64500</v>
      </c>
      <c r="AQ179" s="801">
        <v>58</v>
      </c>
      <c r="AR179" s="659">
        <v>0</v>
      </c>
      <c r="AS179" s="659">
        <v>0</v>
      </c>
      <c r="AT179" s="659">
        <v>15444</v>
      </c>
      <c r="AU179" s="659">
        <v>0</v>
      </c>
      <c r="AV179" s="659">
        <v>0</v>
      </c>
      <c r="AW179" s="659">
        <v>15085</v>
      </c>
      <c r="AX179" s="659">
        <v>9</v>
      </c>
      <c r="AY179" s="659">
        <v>0</v>
      </c>
      <c r="AZ179" s="659">
        <v>0</v>
      </c>
      <c r="BA179" s="659">
        <v>1073</v>
      </c>
      <c r="BB179" s="659">
        <v>0</v>
      </c>
      <c r="BC179" s="659">
        <v>0</v>
      </c>
      <c r="BD179" s="659">
        <v>1064</v>
      </c>
      <c r="BE179" s="801">
        <v>235</v>
      </c>
      <c r="BF179" s="659">
        <v>0</v>
      </c>
      <c r="BG179" s="659">
        <v>0</v>
      </c>
      <c r="BH179" s="659">
        <v>73115</v>
      </c>
      <c r="BI179" s="659">
        <v>0</v>
      </c>
      <c r="BJ179" s="659">
        <v>0</v>
      </c>
      <c r="BK179" s="659">
        <v>73115</v>
      </c>
      <c r="BL179" s="659">
        <v>87</v>
      </c>
      <c r="BM179" s="659">
        <v>0</v>
      </c>
      <c r="BN179" s="659">
        <v>0</v>
      </c>
      <c r="BO179" s="659">
        <v>10105</v>
      </c>
      <c r="BP179" s="659">
        <v>0</v>
      </c>
      <c r="BQ179" s="659">
        <v>0</v>
      </c>
      <c r="BR179" s="659">
        <v>9784</v>
      </c>
      <c r="BS179" s="659">
        <v>0</v>
      </c>
      <c r="BT179" s="659">
        <v>0</v>
      </c>
      <c r="BU179" s="659">
        <v>0</v>
      </c>
      <c r="BV179" s="659">
        <v>0</v>
      </c>
      <c r="BW179" s="659">
        <v>0</v>
      </c>
      <c r="BX179" s="659">
        <v>0</v>
      </c>
      <c r="BY179" s="659">
        <v>0</v>
      </c>
      <c r="BZ179" s="659">
        <v>34</v>
      </c>
      <c r="CA179" s="659">
        <v>0</v>
      </c>
      <c r="CB179" s="659">
        <v>0</v>
      </c>
      <c r="CC179" s="659">
        <v>7293</v>
      </c>
      <c r="CD179" s="659">
        <v>0</v>
      </c>
      <c r="CE179" s="659">
        <v>0</v>
      </c>
      <c r="CF179" s="659">
        <v>7174</v>
      </c>
      <c r="CG179" s="659">
        <v>228</v>
      </c>
      <c r="CH179" s="659">
        <v>0</v>
      </c>
      <c r="CI179" s="659">
        <v>0</v>
      </c>
      <c r="CJ179" s="659">
        <v>62240</v>
      </c>
      <c r="CK179" s="659">
        <v>0</v>
      </c>
      <c r="CL179" s="659">
        <v>0</v>
      </c>
      <c r="CM179" s="659">
        <v>56635</v>
      </c>
      <c r="CN179" s="659">
        <v>81</v>
      </c>
      <c r="CO179" s="659">
        <v>0</v>
      </c>
      <c r="CP179" s="659">
        <v>0</v>
      </c>
      <c r="CQ179" s="659">
        <v>12800</v>
      </c>
      <c r="CR179" s="659">
        <v>0</v>
      </c>
      <c r="CS179" s="659">
        <v>0</v>
      </c>
      <c r="CT179" s="659">
        <v>12800</v>
      </c>
      <c r="CU179" s="659">
        <v>40</v>
      </c>
      <c r="CV179" s="659">
        <v>0</v>
      </c>
      <c r="CW179" s="659">
        <v>0</v>
      </c>
      <c r="CX179" s="659">
        <v>7200</v>
      </c>
      <c r="CY179" s="659">
        <v>0</v>
      </c>
      <c r="CZ179" s="659">
        <v>0</v>
      </c>
      <c r="DA179" s="659">
        <v>7200</v>
      </c>
      <c r="DB179" s="659">
        <v>8</v>
      </c>
      <c r="DC179" s="659">
        <v>0</v>
      </c>
      <c r="DD179" s="659">
        <v>0</v>
      </c>
      <c r="DE179" s="659">
        <v>360</v>
      </c>
      <c r="DF179" s="659">
        <v>0</v>
      </c>
      <c r="DG179" s="659">
        <v>0</v>
      </c>
      <c r="DH179" s="659">
        <v>360</v>
      </c>
      <c r="DI179" s="659">
        <v>48</v>
      </c>
      <c r="DJ179" s="659">
        <v>0</v>
      </c>
      <c r="DK179" s="659">
        <v>0</v>
      </c>
      <c r="DL179" s="659">
        <v>3800</v>
      </c>
      <c r="DM179" s="659">
        <v>0</v>
      </c>
      <c r="DN179" s="659">
        <v>0</v>
      </c>
      <c r="DO179" s="659">
        <v>3680</v>
      </c>
      <c r="DP179" s="659">
        <v>0</v>
      </c>
      <c r="DQ179" s="659">
        <v>0</v>
      </c>
      <c r="DR179" s="659">
        <v>0</v>
      </c>
      <c r="DS179" s="659">
        <v>0</v>
      </c>
      <c r="DT179" s="659">
        <v>0</v>
      </c>
      <c r="DU179" s="659">
        <v>0</v>
      </c>
      <c r="DV179" s="659">
        <v>0</v>
      </c>
      <c r="DW179" s="659">
        <v>163</v>
      </c>
      <c r="DX179" s="659">
        <v>0</v>
      </c>
      <c r="DY179" s="659">
        <v>0</v>
      </c>
      <c r="DZ179" s="659">
        <v>25990</v>
      </c>
      <c r="EA179" s="659">
        <v>0</v>
      </c>
      <c r="EB179" s="659">
        <v>0</v>
      </c>
      <c r="EC179" s="659">
        <v>25702</v>
      </c>
      <c r="ED179" s="659">
        <v>438</v>
      </c>
      <c r="EE179" s="659">
        <v>0</v>
      </c>
      <c r="EF179" s="659">
        <v>0</v>
      </c>
      <c r="EG179" s="659">
        <v>31213</v>
      </c>
      <c r="EH179" s="659">
        <v>0</v>
      </c>
      <c r="EI179" s="659">
        <v>0</v>
      </c>
      <c r="EJ179" s="659">
        <v>29695</v>
      </c>
      <c r="EK179" s="659">
        <v>18</v>
      </c>
      <c r="EL179" s="659">
        <v>0</v>
      </c>
      <c r="EM179" s="659">
        <v>0</v>
      </c>
      <c r="EN179" s="659">
        <v>4550</v>
      </c>
      <c r="EO179" s="659">
        <v>0</v>
      </c>
      <c r="EP179" s="659">
        <v>0</v>
      </c>
      <c r="EQ179" s="659">
        <v>4520</v>
      </c>
    </row>
    <row r="180" spans="1:147" ht="13.95" customHeight="1" x14ac:dyDescent="0.3">
      <c r="A180" s="660" t="s">
        <v>1836</v>
      </c>
      <c r="B180" s="661" t="s">
        <v>269</v>
      </c>
      <c r="C180" s="662">
        <v>0</v>
      </c>
      <c r="D180" s="662">
        <v>287917</v>
      </c>
      <c r="E180" s="662">
        <v>0</v>
      </c>
      <c r="F180" s="662">
        <v>942470</v>
      </c>
      <c r="G180" s="662">
        <v>0</v>
      </c>
      <c r="H180" s="662">
        <v>0</v>
      </c>
      <c r="I180" s="662">
        <v>901664</v>
      </c>
      <c r="J180" s="802">
        <v>0</v>
      </c>
      <c r="K180" s="662">
        <v>8783</v>
      </c>
      <c r="L180" s="662">
        <v>0</v>
      </c>
      <c r="M180" s="662">
        <v>14871</v>
      </c>
      <c r="N180" s="662">
        <v>0</v>
      </c>
      <c r="O180" s="662">
        <v>0</v>
      </c>
      <c r="P180" s="662">
        <v>14859</v>
      </c>
      <c r="Q180" s="802">
        <v>0</v>
      </c>
      <c r="R180" s="662">
        <v>0</v>
      </c>
      <c r="S180" s="662">
        <v>0</v>
      </c>
      <c r="T180" s="662">
        <v>0</v>
      </c>
      <c r="U180" s="662">
        <v>0</v>
      </c>
      <c r="V180" s="662">
        <v>0</v>
      </c>
      <c r="W180" s="802">
        <v>0</v>
      </c>
      <c r="X180" s="662">
        <v>500</v>
      </c>
      <c r="Y180" s="662">
        <v>0</v>
      </c>
      <c r="Z180" s="662">
        <v>1240</v>
      </c>
      <c r="AA180" s="662">
        <v>0</v>
      </c>
      <c r="AB180" s="662">
        <v>0</v>
      </c>
      <c r="AC180" s="662">
        <v>1240</v>
      </c>
      <c r="AD180" s="802">
        <v>0</v>
      </c>
      <c r="AE180" s="662">
        <v>3729</v>
      </c>
      <c r="AF180" s="662">
        <v>0</v>
      </c>
      <c r="AG180" s="662">
        <v>10477</v>
      </c>
      <c r="AH180" s="662">
        <v>0</v>
      </c>
      <c r="AI180" s="662">
        <v>0</v>
      </c>
      <c r="AJ180" s="662">
        <v>10477</v>
      </c>
      <c r="AK180" s="802">
        <v>0</v>
      </c>
      <c r="AL180" s="662">
        <v>0</v>
      </c>
      <c r="AM180" s="662">
        <v>0</v>
      </c>
      <c r="AN180" s="662">
        <v>0</v>
      </c>
      <c r="AO180" s="662">
        <v>0</v>
      </c>
      <c r="AP180" s="662">
        <v>0</v>
      </c>
      <c r="AQ180" s="802">
        <v>0</v>
      </c>
      <c r="AR180" s="662">
        <v>52882</v>
      </c>
      <c r="AS180" s="662">
        <v>0</v>
      </c>
      <c r="AT180" s="662">
        <v>149506</v>
      </c>
      <c r="AU180" s="662">
        <v>0</v>
      </c>
      <c r="AV180" s="662">
        <v>0</v>
      </c>
      <c r="AW180" s="662">
        <v>144269</v>
      </c>
      <c r="AX180" s="662">
        <v>0</v>
      </c>
      <c r="AY180" s="662">
        <v>0</v>
      </c>
      <c r="AZ180" s="662">
        <v>0</v>
      </c>
      <c r="BA180" s="662">
        <v>0</v>
      </c>
      <c r="BB180" s="662">
        <v>0</v>
      </c>
      <c r="BC180" s="662">
        <v>0</v>
      </c>
      <c r="BD180" s="662">
        <v>0</v>
      </c>
      <c r="BE180" s="802">
        <v>0</v>
      </c>
      <c r="BF180" s="662">
        <v>6140</v>
      </c>
      <c r="BG180" s="662">
        <v>0</v>
      </c>
      <c r="BH180" s="662">
        <v>20535</v>
      </c>
      <c r="BI180" s="662">
        <v>0</v>
      </c>
      <c r="BJ180" s="662">
        <v>0</v>
      </c>
      <c r="BK180" s="662">
        <v>20535</v>
      </c>
      <c r="BL180" s="662">
        <v>0</v>
      </c>
      <c r="BM180" s="662">
        <v>3560</v>
      </c>
      <c r="BN180" s="662">
        <v>0</v>
      </c>
      <c r="BO180" s="662">
        <v>7425</v>
      </c>
      <c r="BP180" s="662">
        <v>0</v>
      </c>
      <c r="BQ180" s="662">
        <v>0</v>
      </c>
      <c r="BR180" s="662">
        <v>7221</v>
      </c>
      <c r="BS180" s="662">
        <v>0</v>
      </c>
      <c r="BT180" s="662">
        <v>120</v>
      </c>
      <c r="BU180" s="662">
        <v>0</v>
      </c>
      <c r="BV180" s="662">
        <v>600</v>
      </c>
      <c r="BW180" s="662">
        <v>0</v>
      </c>
      <c r="BX180" s="662">
        <v>0</v>
      </c>
      <c r="BY180" s="662">
        <v>600</v>
      </c>
      <c r="BZ180" s="662">
        <v>0</v>
      </c>
      <c r="CA180" s="662">
        <v>177</v>
      </c>
      <c r="CB180" s="662">
        <v>0</v>
      </c>
      <c r="CC180" s="662">
        <v>319</v>
      </c>
      <c r="CD180" s="662">
        <v>0</v>
      </c>
      <c r="CE180" s="662">
        <v>0</v>
      </c>
      <c r="CF180" s="662">
        <v>307</v>
      </c>
      <c r="CG180" s="662">
        <v>0</v>
      </c>
      <c r="CH180" s="662">
        <v>20880</v>
      </c>
      <c r="CI180" s="662">
        <v>0</v>
      </c>
      <c r="CJ180" s="662">
        <v>71010</v>
      </c>
      <c r="CK180" s="662">
        <v>0</v>
      </c>
      <c r="CL180" s="662">
        <v>0</v>
      </c>
      <c r="CM180" s="662">
        <v>65100</v>
      </c>
      <c r="CN180" s="662">
        <v>0</v>
      </c>
      <c r="CO180" s="662">
        <v>2195</v>
      </c>
      <c r="CP180" s="662">
        <v>0</v>
      </c>
      <c r="CQ180" s="662">
        <v>1600</v>
      </c>
      <c r="CR180" s="662">
        <v>0</v>
      </c>
      <c r="CS180" s="662">
        <v>0</v>
      </c>
      <c r="CT180" s="662">
        <v>1600</v>
      </c>
      <c r="CU180" s="662">
        <v>0</v>
      </c>
      <c r="CV180" s="662">
        <v>0</v>
      </c>
      <c r="CW180" s="662">
        <v>0</v>
      </c>
      <c r="CX180" s="662">
        <v>0</v>
      </c>
      <c r="CY180" s="662">
        <v>0</v>
      </c>
      <c r="CZ180" s="662">
        <v>0</v>
      </c>
      <c r="DA180" s="662">
        <v>0</v>
      </c>
      <c r="DB180" s="662">
        <v>0</v>
      </c>
      <c r="DC180" s="662">
        <v>105130</v>
      </c>
      <c r="DD180" s="662">
        <v>0</v>
      </c>
      <c r="DE180" s="662">
        <v>429460</v>
      </c>
      <c r="DF180" s="662">
        <v>0</v>
      </c>
      <c r="DG180" s="662">
        <v>0</v>
      </c>
      <c r="DH180" s="662">
        <v>410695</v>
      </c>
      <c r="DI180" s="662">
        <v>0</v>
      </c>
      <c r="DJ180" s="662">
        <v>205</v>
      </c>
      <c r="DK180" s="662">
        <v>0</v>
      </c>
      <c r="DL180" s="662">
        <v>430</v>
      </c>
      <c r="DM180" s="662">
        <v>0</v>
      </c>
      <c r="DN180" s="662">
        <v>0</v>
      </c>
      <c r="DO180" s="662">
        <v>415</v>
      </c>
      <c r="DP180" s="662">
        <v>0</v>
      </c>
      <c r="DQ180" s="662">
        <v>38589</v>
      </c>
      <c r="DR180" s="662">
        <v>0</v>
      </c>
      <c r="DS180" s="662">
        <v>121048</v>
      </c>
      <c r="DT180" s="662">
        <v>0</v>
      </c>
      <c r="DU180" s="662">
        <v>0</v>
      </c>
      <c r="DV180" s="662">
        <v>120556</v>
      </c>
      <c r="DW180" s="662">
        <v>0</v>
      </c>
      <c r="DX180" s="662">
        <v>20725</v>
      </c>
      <c r="DY180" s="662">
        <v>0</v>
      </c>
      <c r="DZ180" s="662">
        <v>76685</v>
      </c>
      <c r="EA180" s="662">
        <v>0</v>
      </c>
      <c r="EB180" s="662">
        <v>0</v>
      </c>
      <c r="EC180" s="662">
        <v>66634</v>
      </c>
      <c r="ED180" s="662">
        <v>0</v>
      </c>
      <c r="EE180" s="662">
        <v>21017</v>
      </c>
      <c r="EF180" s="662">
        <v>0</v>
      </c>
      <c r="EG180" s="662">
        <v>27434</v>
      </c>
      <c r="EH180" s="662">
        <v>0</v>
      </c>
      <c r="EI180" s="662">
        <v>0</v>
      </c>
      <c r="EJ180" s="662">
        <v>27331</v>
      </c>
      <c r="EK180" s="662">
        <v>0</v>
      </c>
      <c r="EL180" s="662">
        <v>3285</v>
      </c>
      <c r="EM180" s="662">
        <v>0</v>
      </c>
      <c r="EN180" s="662">
        <v>9830</v>
      </c>
      <c r="EO180" s="662">
        <v>0</v>
      </c>
      <c r="EP180" s="662">
        <v>0</v>
      </c>
      <c r="EQ180" s="662">
        <v>9825</v>
      </c>
    </row>
    <row r="181" spans="1:147" ht="20.7" customHeight="1" x14ac:dyDescent="0.3">
      <c r="A181" s="347" t="s">
        <v>1837</v>
      </c>
      <c r="B181" s="346" t="s">
        <v>269</v>
      </c>
      <c r="C181" s="654">
        <v>0</v>
      </c>
      <c r="D181" s="654">
        <v>0</v>
      </c>
      <c r="E181" s="654">
        <v>0</v>
      </c>
      <c r="F181" s="654">
        <v>0</v>
      </c>
      <c r="G181" s="654">
        <v>0</v>
      </c>
      <c r="H181" s="654">
        <v>0</v>
      </c>
      <c r="I181" s="654">
        <v>0</v>
      </c>
      <c r="J181" s="798">
        <v>0</v>
      </c>
      <c r="K181" s="654">
        <v>0</v>
      </c>
      <c r="L181" s="654">
        <v>0</v>
      </c>
      <c r="M181" s="654">
        <v>0</v>
      </c>
      <c r="N181" s="654">
        <v>0</v>
      </c>
      <c r="O181" s="654">
        <v>0</v>
      </c>
      <c r="P181" s="654">
        <v>0</v>
      </c>
      <c r="Q181" s="798">
        <v>0</v>
      </c>
      <c r="R181" s="654">
        <v>0</v>
      </c>
      <c r="S181" s="654">
        <v>0</v>
      </c>
      <c r="T181" s="654">
        <v>0</v>
      </c>
      <c r="U181" s="654">
        <v>0</v>
      </c>
      <c r="V181" s="654">
        <v>0</v>
      </c>
      <c r="W181" s="798">
        <v>0</v>
      </c>
      <c r="X181" s="654">
        <v>0</v>
      </c>
      <c r="Y181" s="654">
        <v>0</v>
      </c>
      <c r="Z181" s="654">
        <v>0</v>
      </c>
      <c r="AA181" s="654">
        <v>0</v>
      </c>
      <c r="AB181" s="654">
        <v>0</v>
      </c>
      <c r="AC181" s="654">
        <v>0</v>
      </c>
      <c r="AD181" s="798">
        <v>0</v>
      </c>
      <c r="AE181" s="654">
        <v>0</v>
      </c>
      <c r="AF181" s="654">
        <v>0</v>
      </c>
      <c r="AG181" s="654">
        <v>0</v>
      </c>
      <c r="AH181" s="654">
        <v>0</v>
      </c>
      <c r="AI181" s="654">
        <v>0</v>
      </c>
      <c r="AJ181" s="654">
        <v>0</v>
      </c>
      <c r="AK181" s="798">
        <v>0</v>
      </c>
      <c r="AL181" s="654">
        <v>0</v>
      </c>
      <c r="AM181" s="654">
        <v>0</v>
      </c>
      <c r="AN181" s="654">
        <v>0</v>
      </c>
      <c r="AO181" s="654">
        <v>0</v>
      </c>
      <c r="AP181" s="654">
        <v>0</v>
      </c>
      <c r="AQ181" s="798">
        <v>0</v>
      </c>
      <c r="AR181" s="654">
        <v>0</v>
      </c>
      <c r="AS181" s="654">
        <v>0</v>
      </c>
      <c r="AT181" s="654">
        <v>0</v>
      </c>
      <c r="AU181" s="654">
        <v>0</v>
      </c>
      <c r="AV181" s="654">
        <v>0</v>
      </c>
      <c r="AW181" s="654">
        <v>0</v>
      </c>
      <c r="AX181" s="654">
        <v>0</v>
      </c>
      <c r="AY181" s="654">
        <v>0</v>
      </c>
      <c r="AZ181" s="654">
        <v>0</v>
      </c>
      <c r="BA181" s="654">
        <v>0</v>
      </c>
      <c r="BB181" s="654">
        <v>0</v>
      </c>
      <c r="BC181" s="654">
        <v>0</v>
      </c>
      <c r="BD181" s="654">
        <v>0</v>
      </c>
      <c r="BE181" s="798">
        <v>0</v>
      </c>
      <c r="BF181" s="654">
        <v>0</v>
      </c>
      <c r="BG181" s="654">
        <v>0</v>
      </c>
      <c r="BH181" s="654">
        <v>0</v>
      </c>
      <c r="BI181" s="654">
        <v>0</v>
      </c>
      <c r="BJ181" s="654">
        <v>0</v>
      </c>
      <c r="BK181" s="654">
        <v>0</v>
      </c>
      <c r="BL181" s="654">
        <v>0</v>
      </c>
      <c r="BM181" s="654">
        <v>0</v>
      </c>
      <c r="BN181" s="654">
        <v>0</v>
      </c>
      <c r="BO181" s="654">
        <v>0</v>
      </c>
      <c r="BP181" s="654">
        <v>0</v>
      </c>
      <c r="BQ181" s="654">
        <v>0</v>
      </c>
      <c r="BR181" s="654">
        <v>0</v>
      </c>
      <c r="BS181" s="654">
        <v>0</v>
      </c>
      <c r="BT181" s="654">
        <v>0</v>
      </c>
      <c r="BU181" s="654">
        <v>0</v>
      </c>
      <c r="BV181" s="654">
        <v>0</v>
      </c>
      <c r="BW181" s="654">
        <v>0</v>
      </c>
      <c r="BX181" s="654">
        <v>0</v>
      </c>
      <c r="BY181" s="654">
        <v>0</v>
      </c>
      <c r="BZ181" s="654">
        <v>0</v>
      </c>
      <c r="CA181" s="654">
        <v>0</v>
      </c>
      <c r="CB181" s="654">
        <v>0</v>
      </c>
      <c r="CC181" s="654">
        <v>0</v>
      </c>
      <c r="CD181" s="654">
        <v>0</v>
      </c>
      <c r="CE181" s="654">
        <v>0</v>
      </c>
      <c r="CF181" s="654">
        <v>0</v>
      </c>
      <c r="CG181" s="654">
        <v>0</v>
      </c>
      <c r="CH181" s="654">
        <v>0</v>
      </c>
      <c r="CI181" s="654">
        <v>0</v>
      </c>
      <c r="CJ181" s="654">
        <v>0</v>
      </c>
      <c r="CK181" s="654">
        <v>0</v>
      </c>
      <c r="CL181" s="654">
        <v>0</v>
      </c>
      <c r="CM181" s="654">
        <v>0</v>
      </c>
      <c r="CN181" s="654">
        <v>0</v>
      </c>
      <c r="CO181" s="654">
        <v>0</v>
      </c>
      <c r="CP181" s="654">
        <v>0</v>
      </c>
      <c r="CQ181" s="654">
        <v>0</v>
      </c>
      <c r="CR181" s="654">
        <v>0</v>
      </c>
      <c r="CS181" s="654">
        <v>0</v>
      </c>
      <c r="CT181" s="654">
        <v>0</v>
      </c>
      <c r="CU181" s="654">
        <v>0</v>
      </c>
      <c r="CV181" s="654">
        <v>0</v>
      </c>
      <c r="CW181" s="654">
        <v>0</v>
      </c>
      <c r="CX181" s="654">
        <v>0</v>
      </c>
      <c r="CY181" s="654">
        <v>0</v>
      </c>
      <c r="CZ181" s="654">
        <v>0</v>
      </c>
      <c r="DA181" s="654">
        <v>0</v>
      </c>
      <c r="DB181" s="654">
        <v>0</v>
      </c>
      <c r="DC181" s="654">
        <v>0</v>
      </c>
      <c r="DD181" s="654">
        <v>0</v>
      </c>
      <c r="DE181" s="654">
        <v>0</v>
      </c>
      <c r="DF181" s="654">
        <v>0</v>
      </c>
      <c r="DG181" s="654">
        <v>0</v>
      </c>
      <c r="DH181" s="654">
        <v>0</v>
      </c>
      <c r="DI181" s="654">
        <v>0</v>
      </c>
      <c r="DJ181" s="654">
        <v>0</v>
      </c>
      <c r="DK181" s="654">
        <v>0</v>
      </c>
      <c r="DL181" s="654">
        <v>0</v>
      </c>
      <c r="DM181" s="654">
        <v>0</v>
      </c>
      <c r="DN181" s="654">
        <v>0</v>
      </c>
      <c r="DO181" s="654">
        <v>0</v>
      </c>
      <c r="DP181" s="654">
        <v>0</v>
      </c>
      <c r="DQ181" s="654">
        <v>0</v>
      </c>
      <c r="DR181" s="654">
        <v>0</v>
      </c>
      <c r="DS181" s="654">
        <v>0</v>
      </c>
      <c r="DT181" s="654">
        <v>0</v>
      </c>
      <c r="DU181" s="654">
        <v>0</v>
      </c>
      <c r="DV181" s="654">
        <v>0</v>
      </c>
      <c r="DW181" s="654">
        <v>0</v>
      </c>
      <c r="DX181" s="654">
        <v>0</v>
      </c>
      <c r="DY181" s="654">
        <v>0</v>
      </c>
      <c r="DZ181" s="654">
        <v>0</v>
      </c>
      <c r="EA181" s="654">
        <v>0</v>
      </c>
      <c r="EB181" s="654">
        <v>0</v>
      </c>
      <c r="EC181" s="654">
        <v>0</v>
      </c>
      <c r="ED181" s="654">
        <v>0</v>
      </c>
      <c r="EE181" s="654">
        <v>0</v>
      </c>
      <c r="EF181" s="654">
        <v>0</v>
      </c>
      <c r="EG181" s="654">
        <v>0</v>
      </c>
      <c r="EH181" s="654">
        <v>0</v>
      </c>
      <c r="EI181" s="654">
        <v>0</v>
      </c>
      <c r="EJ181" s="654">
        <v>0</v>
      </c>
      <c r="EK181" s="654">
        <v>0</v>
      </c>
      <c r="EL181" s="654">
        <v>0</v>
      </c>
      <c r="EM181" s="654">
        <v>0</v>
      </c>
      <c r="EN181" s="654">
        <v>0</v>
      </c>
      <c r="EO181" s="654">
        <v>0</v>
      </c>
      <c r="EP181" s="654">
        <v>0</v>
      </c>
      <c r="EQ181" s="654">
        <v>0</v>
      </c>
    </row>
    <row r="182" spans="1:147" ht="20.7" customHeight="1" x14ac:dyDescent="0.3">
      <c r="A182" s="347" t="s">
        <v>1838</v>
      </c>
      <c r="B182" s="346" t="s">
        <v>269</v>
      </c>
      <c r="C182" s="655">
        <v>0</v>
      </c>
      <c r="D182" s="655">
        <v>0</v>
      </c>
      <c r="E182" s="655">
        <v>0</v>
      </c>
      <c r="F182" s="655">
        <v>0</v>
      </c>
      <c r="G182" s="655">
        <v>0</v>
      </c>
      <c r="H182" s="655">
        <v>0</v>
      </c>
      <c r="I182" s="655">
        <v>0</v>
      </c>
      <c r="J182" s="799">
        <v>0</v>
      </c>
      <c r="K182" s="655">
        <v>0</v>
      </c>
      <c r="L182" s="655">
        <v>0</v>
      </c>
      <c r="M182" s="655">
        <v>0</v>
      </c>
      <c r="N182" s="655">
        <v>0</v>
      </c>
      <c r="O182" s="655">
        <v>0</v>
      </c>
      <c r="P182" s="655">
        <v>0</v>
      </c>
      <c r="Q182" s="799">
        <v>0</v>
      </c>
      <c r="R182" s="655">
        <v>0</v>
      </c>
      <c r="S182" s="655">
        <v>0</v>
      </c>
      <c r="T182" s="655">
        <v>0</v>
      </c>
      <c r="U182" s="655">
        <v>0</v>
      </c>
      <c r="V182" s="655">
        <v>0</v>
      </c>
      <c r="W182" s="799">
        <v>0</v>
      </c>
      <c r="X182" s="655">
        <v>0</v>
      </c>
      <c r="Y182" s="655">
        <v>0</v>
      </c>
      <c r="Z182" s="655">
        <v>0</v>
      </c>
      <c r="AA182" s="655">
        <v>0</v>
      </c>
      <c r="AB182" s="655">
        <v>0</v>
      </c>
      <c r="AC182" s="655">
        <v>0</v>
      </c>
      <c r="AD182" s="799">
        <v>0</v>
      </c>
      <c r="AE182" s="655">
        <v>0</v>
      </c>
      <c r="AF182" s="655">
        <v>0</v>
      </c>
      <c r="AG182" s="655">
        <v>0</v>
      </c>
      <c r="AH182" s="655">
        <v>0</v>
      </c>
      <c r="AI182" s="655">
        <v>0</v>
      </c>
      <c r="AJ182" s="655">
        <v>0</v>
      </c>
      <c r="AK182" s="799">
        <v>0</v>
      </c>
      <c r="AL182" s="655">
        <v>0</v>
      </c>
      <c r="AM182" s="655">
        <v>0</v>
      </c>
      <c r="AN182" s="655">
        <v>0</v>
      </c>
      <c r="AO182" s="655">
        <v>0</v>
      </c>
      <c r="AP182" s="655">
        <v>0</v>
      </c>
      <c r="AQ182" s="799">
        <v>0</v>
      </c>
      <c r="AR182" s="655">
        <v>0</v>
      </c>
      <c r="AS182" s="655">
        <v>0</v>
      </c>
      <c r="AT182" s="655">
        <v>0</v>
      </c>
      <c r="AU182" s="655">
        <v>0</v>
      </c>
      <c r="AV182" s="655">
        <v>0</v>
      </c>
      <c r="AW182" s="655">
        <v>0</v>
      </c>
      <c r="AX182" s="655">
        <v>0</v>
      </c>
      <c r="AY182" s="655">
        <v>0</v>
      </c>
      <c r="AZ182" s="655">
        <v>0</v>
      </c>
      <c r="BA182" s="655">
        <v>0</v>
      </c>
      <c r="BB182" s="655">
        <v>0</v>
      </c>
      <c r="BC182" s="655">
        <v>0</v>
      </c>
      <c r="BD182" s="655">
        <v>0</v>
      </c>
      <c r="BE182" s="799">
        <v>0</v>
      </c>
      <c r="BF182" s="655">
        <v>0</v>
      </c>
      <c r="BG182" s="655">
        <v>0</v>
      </c>
      <c r="BH182" s="655">
        <v>0</v>
      </c>
      <c r="BI182" s="655">
        <v>0</v>
      </c>
      <c r="BJ182" s="655">
        <v>0</v>
      </c>
      <c r="BK182" s="655">
        <v>0</v>
      </c>
      <c r="BL182" s="655">
        <v>0</v>
      </c>
      <c r="BM182" s="655">
        <v>0</v>
      </c>
      <c r="BN182" s="655">
        <v>0</v>
      </c>
      <c r="BO182" s="655">
        <v>0</v>
      </c>
      <c r="BP182" s="655">
        <v>0</v>
      </c>
      <c r="BQ182" s="655">
        <v>0</v>
      </c>
      <c r="BR182" s="655">
        <v>0</v>
      </c>
      <c r="BS182" s="655">
        <v>0</v>
      </c>
      <c r="BT182" s="655">
        <v>0</v>
      </c>
      <c r="BU182" s="655">
        <v>0</v>
      </c>
      <c r="BV182" s="655">
        <v>0</v>
      </c>
      <c r="BW182" s="655">
        <v>0</v>
      </c>
      <c r="BX182" s="655">
        <v>0</v>
      </c>
      <c r="BY182" s="655">
        <v>0</v>
      </c>
      <c r="BZ182" s="655">
        <v>0</v>
      </c>
      <c r="CA182" s="655">
        <v>0</v>
      </c>
      <c r="CB182" s="655">
        <v>0</v>
      </c>
      <c r="CC182" s="655">
        <v>0</v>
      </c>
      <c r="CD182" s="655">
        <v>0</v>
      </c>
      <c r="CE182" s="655">
        <v>0</v>
      </c>
      <c r="CF182" s="655">
        <v>0</v>
      </c>
      <c r="CG182" s="655">
        <v>0</v>
      </c>
      <c r="CH182" s="655">
        <v>0</v>
      </c>
      <c r="CI182" s="655">
        <v>0</v>
      </c>
      <c r="CJ182" s="655">
        <v>0</v>
      </c>
      <c r="CK182" s="655">
        <v>0</v>
      </c>
      <c r="CL182" s="655">
        <v>0</v>
      </c>
      <c r="CM182" s="655">
        <v>0</v>
      </c>
      <c r="CN182" s="655">
        <v>0</v>
      </c>
      <c r="CO182" s="655">
        <v>0</v>
      </c>
      <c r="CP182" s="655">
        <v>0</v>
      </c>
      <c r="CQ182" s="655">
        <v>0</v>
      </c>
      <c r="CR182" s="655">
        <v>0</v>
      </c>
      <c r="CS182" s="655">
        <v>0</v>
      </c>
      <c r="CT182" s="655">
        <v>0</v>
      </c>
      <c r="CU182" s="655">
        <v>0</v>
      </c>
      <c r="CV182" s="655">
        <v>0</v>
      </c>
      <c r="CW182" s="655">
        <v>0</v>
      </c>
      <c r="CX182" s="655">
        <v>0</v>
      </c>
      <c r="CY182" s="655">
        <v>0</v>
      </c>
      <c r="CZ182" s="655">
        <v>0</v>
      </c>
      <c r="DA182" s="655">
        <v>0</v>
      </c>
      <c r="DB182" s="655">
        <v>0</v>
      </c>
      <c r="DC182" s="655">
        <v>0</v>
      </c>
      <c r="DD182" s="655">
        <v>0</v>
      </c>
      <c r="DE182" s="655">
        <v>0</v>
      </c>
      <c r="DF182" s="655">
        <v>0</v>
      </c>
      <c r="DG182" s="655">
        <v>0</v>
      </c>
      <c r="DH182" s="655">
        <v>0</v>
      </c>
      <c r="DI182" s="655">
        <v>0</v>
      </c>
      <c r="DJ182" s="655">
        <v>0</v>
      </c>
      <c r="DK182" s="655">
        <v>0</v>
      </c>
      <c r="DL182" s="655">
        <v>0</v>
      </c>
      <c r="DM182" s="655">
        <v>0</v>
      </c>
      <c r="DN182" s="655">
        <v>0</v>
      </c>
      <c r="DO182" s="655">
        <v>0</v>
      </c>
      <c r="DP182" s="655">
        <v>0</v>
      </c>
      <c r="DQ182" s="655">
        <v>0</v>
      </c>
      <c r="DR182" s="655">
        <v>0</v>
      </c>
      <c r="DS182" s="655">
        <v>0</v>
      </c>
      <c r="DT182" s="655">
        <v>0</v>
      </c>
      <c r="DU182" s="655">
        <v>0</v>
      </c>
      <c r="DV182" s="655">
        <v>0</v>
      </c>
      <c r="DW182" s="655">
        <v>0</v>
      </c>
      <c r="DX182" s="655">
        <v>0</v>
      </c>
      <c r="DY182" s="655">
        <v>0</v>
      </c>
      <c r="DZ182" s="655">
        <v>0</v>
      </c>
      <c r="EA182" s="655">
        <v>0</v>
      </c>
      <c r="EB182" s="655">
        <v>0</v>
      </c>
      <c r="EC182" s="655">
        <v>0</v>
      </c>
      <c r="ED182" s="655">
        <v>0</v>
      </c>
      <c r="EE182" s="655">
        <v>0</v>
      </c>
      <c r="EF182" s="655">
        <v>0</v>
      </c>
      <c r="EG182" s="655">
        <v>0</v>
      </c>
      <c r="EH182" s="655">
        <v>0</v>
      </c>
      <c r="EI182" s="655">
        <v>0</v>
      </c>
      <c r="EJ182" s="655">
        <v>0</v>
      </c>
      <c r="EK182" s="655">
        <v>0</v>
      </c>
      <c r="EL182" s="655">
        <v>0</v>
      </c>
      <c r="EM182" s="655">
        <v>0</v>
      </c>
      <c r="EN182" s="655">
        <v>0</v>
      </c>
      <c r="EO182" s="655">
        <v>0</v>
      </c>
      <c r="EP182" s="655">
        <v>0</v>
      </c>
      <c r="EQ182" s="655">
        <v>0</v>
      </c>
    </row>
    <row r="183" spans="1:147" ht="13.95" customHeight="1" x14ac:dyDescent="0.3">
      <c r="A183" s="347" t="s">
        <v>1839</v>
      </c>
      <c r="B183" s="346" t="s">
        <v>269</v>
      </c>
      <c r="C183" s="654">
        <v>5576</v>
      </c>
      <c r="D183" s="654">
        <v>0</v>
      </c>
      <c r="E183" s="654">
        <v>5576</v>
      </c>
      <c r="F183" s="654">
        <v>359780</v>
      </c>
      <c r="G183" s="654">
        <v>0</v>
      </c>
      <c r="H183" s="654">
        <v>0</v>
      </c>
      <c r="I183" s="654">
        <v>359365</v>
      </c>
      <c r="J183" s="798">
        <v>0</v>
      </c>
      <c r="K183" s="654">
        <v>0</v>
      </c>
      <c r="L183" s="654">
        <v>0</v>
      </c>
      <c r="M183" s="654">
        <v>0</v>
      </c>
      <c r="N183" s="654">
        <v>0</v>
      </c>
      <c r="O183" s="654">
        <v>0</v>
      </c>
      <c r="P183" s="654">
        <v>0</v>
      </c>
      <c r="Q183" s="798">
        <v>0</v>
      </c>
      <c r="R183" s="654">
        <v>0</v>
      </c>
      <c r="S183" s="654">
        <v>0</v>
      </c>
      <c r="T183" s="654">
        <v>0</v>
      </c>
      <c r="U183" s="654">
        <v>0</v>
      </c>
      <c r="V183" s="654">
        <v>0</v>
      </c>
      <c r="W183" s="798">
        <v>0</v>
      </c>
      <c r="X183" s="654">
        <v>0</v>
      </c>
      <c r="Y183" s="654">
        <v>0</v>
      </c>
      <c r="Z183" s="654">
        <v>0</v>
      </c>
      <c r="AA183" s="654">
        <v>0</v>
      </c>
      <c r="AB183" s="654">
        <v>0</v>
      </c>
      <c r="AC183" s="654">
        <v>0</v>
      </c>
      <c r="AD183" s="798">
        <v>0</v>
      </c>
      <c r="AE183" s="654">
        <v>0</v>
      </c>
      <c r="AF183" s="654">
        <v>0</v>
      </c>
      <c r="AG183" s="654">
        <v>0</v>
      </c>
      <c r="AH183" s="654">
        <v>0</v>
      </c>
      <c r="AI183" s="654">
        <v>0</v>
      </c>
      <c r="AJ183" s="654">
        <v>0</v>
      </c>
      <c r="AK183" s="798">
        <v>0</v>
      </c>
      <c r="AL183" s="654">
        <v>0</v>
      </c>
      <c r="AM183" s="654">
        <v>0</v>
      </c>
      <c r="AN183" s="654">
        <v>0</v>
      </c>
      <c r="AO183" s="654">
        <v>0</v>
      </c>
      <c r="AP183" s="654">
        <v>0</v>
      </c>
      <c r="AQ183" s="798">
        <v>0</v>
      </c>
      <c r="AR183" s="654">
        <v>0</v>
      </c>
      <c r="AS183" s="654">
        <v>0</v>
      </c>
      <c r="AT183" s="654">
        <v>0</v>
      </c>
      <c r="AU183" s="654">
        <v>0</v>
      </c>
      <c r="AV183" s="654">
        <v>0</v>
      </c>
      <c r="AW183" s="654">
        <v>0</v>
      </c>
      <c r="AX183" s="654">
        <v>0</v>
      </c>
      <c r="AY183" s="654">
        <v>0</v>
      </c>
      <c r="AZ183" s="654">
        <v>0</v>
      </c>
      <c r="BA183" s="654">
        <v>0</v>
      </c>
      <c r="BB183" s="654">
        <v>0</v>
      </c>
      <c r="BC183" s="654">
        <v>0</v>
      </c>
      <c r="BD183" s="654">
        <v>0</v>
      </c>
      <c r="BE183" s="798">
        <v>0</v>
      </c>
      <c r="BF183" s="654">
        <v>0</v>
      </c>
      <c r="BG183" s="654">
        <v>0</v>
      </c>
      <c r="BH183" s="654">
        <v>0</v>
      </c>
      <c r="BI183" s="654">
        <v>0</v>
      </c>
      <c r="BJ183" s="654">
        <v>0</v>
      </c>
      <c r="BK183" s="654">
        <v>0</v>
      </c>
      <c r="BL183" s="654">
        <v>0</v>
      </c>
      <c r="BM183" s="654">
        <v>0</v>
      </c>
      <c r="BN183" s="654">
        <v>0</v>
      </c>
      <c r="BO183" s="654">
        <v>0</v>
      </c>
      <c r="BP183" s="654">
        <v>0</v>
      </c>
      <c r="BQ183" s="654">
        <v>0</v>
      </c>
      <c r="BR183" s="654">
        <v>0</v>
      </c>
      <c r="BS183" s="654">
        <v>0</v>
      </c>
      <c r="BT183" s="654">
        <v>0</v>
      </c>
      <c r="BU183" s="654">
        <v>0</v>
      </c>
      <c r="BV183" s="654">
        <v>0</v>
      </c>
      <c r="BW183" s="654">
        <v>0</v>
      </c>
      <c r="BX183" s="654">
        <v>0</v>
      </c>
      <c r="BY183" s="654">
        <v>0</v>
      </c>
      <c r="BZ183" s="654">
        <v>0</v>
      </c>
      <c r="CA183" s="654">
        <v>0</v>
      </c>
      <c r="CB183" s="654">
        <v>0</v>
      </c>
      <c r="CC183" s="654">
        <v>0</v>
      </c>
      <c r="CD183" s="654">
        <v>0</v>
      </c>
      <c r="CE183" s="654">
        <v>0</v>
      </c>
      <c r="CF183" s="654">
        <v>0</v>
      </c>
      <c r="CG183" s="654">
        <v>2</v>
      </c>
      <c r="CH183" s="654">
        <v>0</v>
      </c>
      <c r="CI183" s="654">
        <v>2</v>
      </c>
      <c r="CJ183" s="654">
        <v>370</v>
      </c>
      <c r="CK183" s="654">
        <v>0</v>
      </c>
      <c r="CL183" s="654">
        <v>0</v>
      </c>
      <c r="CM183" s="654">
        <v>300</v>
      </c>
      <c r="CN183" s="654">
        <v>0</v>
      </c>
      <c r="CO183" s="654">
        <v>0</v>
      </c>
      <c r="CP183" s="654">
        <v>0</v>
      </c>
      <c r="CQ183" s="654">
        <v>0</v>
      </c>
      <c r="CR183" s="654">
        <v>0</v>
      </c>
      <c r="CS183" s="654">
        <v>0</v>
      </c>
      <c r="CT183" s="654">
        <v>0</v>
      </c>
      <c r="CU183" s="654">
        <v>0</v>
      </c>
      <c r="CV183" s="654">
        <v>0</v>
      </c>
      <c r="CW183" s="654">
        <v>0</v>
      </c>
      <c r="CX183" s="654">
        <v>0</v>
      </c>
      <c r="CY183" s="654">
        <v>0</v>
      </c>
      <c r="CZ183" s="654">
        <v>0</v>
      </c>
      <c r="DA183" s="654">
        <v>0</v>
      </c>
      <c r="DB183" s="654">
        <v>0</v>
      </c>
      <c r="DC183" s="654">
        <v>0</v>
      </c>
      <c r="DD183" s="654">
        <v>0</v>
      </c>
      <c r="DE183" s="654">
        <v>0</v>
      </c>
      <c r="DF183" s="654">
        <v>0</v>
      </c>
      <c r="DG183" s="654">
        <v>0</v>
      </c>
      <c r="DH183" s="654">
        <v>0</v>
      </c>
      <c r="DI183" s="654">
        <v>109</v>
      </c>
      <c r="DJ183" s="654">
        <v>0</v>
      </c>
      <c r="DK183" s="654">
        <v>109</v>
      </c>
      <c r="DL183" s="654">
        <v>5850</v>
      </c>
      <c r="DM183" s="654">
        <v>0</v>
      </c>
      <c r="DN183" s="654">
        <v>0</v>
      </c>
      <c r="DO183" s="654">
        <v>5590</v>
      </c>
      <c r="DP183" s="654">
        <v>0</v>
      </c>
      <c r="DQ183" s="654">
        <v>0</v>
      </c>
      <c r="DR183" s="654">
        <v>0</v>
      </c>
      <c r="DS183" s="654">
        <v>0</v>
      </c>
      <c r="DT183" s="654">
        <v>0</v>
      </c>
      <c r="DU183" s="654">
        <v>0</v>
      </c>
      <c r="DV183" s="654">
        <v>0</v>
      </c>
      <c r="DW183" s="654">
        <v>0</v>
      </c>
      <c r="DX183" s="654">
        <v>0</v>
      </c>
      <c r="DY183" s="654">
        <v>0</v>
      </c>
      <c r="DZ183" s="654">
        <v>0</v>
      </c>
      <c r="EA183" s="654">
        <v>0</v>
      </c>
      <c r="EB183" s="654">
        <v>0</v>
      </c>
      <c r="EC183" s="654">
        <v>0</v>
      </c>
      <c r="ED183" s="654">
        <v>5465</v>
      </c>
      <c r="EE183" s="654">
        <v>0</v>
      </c>
      <c r="EF183" s="654">
        <v>5465</v>
      </c>
      <c r="EG183" s="654">
        <v>353560</v>
      </c>
      <c r="EH183" s="654">
        <v>0</v>
      </c>
      <c r="EI183" s="654">
        <v>0</v>
      </c>
      <c r="EJ183" s="654">
        <v>353475</v>
      </c>
      <c r="EK183" s="654">
        <v>0</v>
      </c>
      <c r="EL183" s="654">
        <v>0</v>
      </c>
      <c r="EM183" s="654">
        <v>0</v>
      </c>
      <c r="EN183" s="654">
        <v>0</v>
      </c>
      <c r="EO183" s="654">
        <v>0</v>
      </c>
      <c r="EP183" s="654">
        <v>0</v>
      </c>
      <c r="EQ183" s="654">
        <v>0</v>
      </c>
    </row>
    <row r="184" spans="1:147" ht="20.7" customHeight="1" x14ac:dyDescent="0.3">
      <c r="A184" s="660" t="s">
        <v>1840</v>
      </c>
      <c r="B184" s="661" t="s">
        <v>269</v>
      </c>
      <c r="C184" s="662">
        <f t="shared" ref="C184:BN184" si="76">C185+C214+C224</f>
        <v>401081</v>
      </c>
      <c r="D184" s="662">
        <f t="shared" si="76"/>
        <v>0</v>
      </c>
      <c r="E184" s="662">
        <f t="shared" si="76"/>
        <v>379513</v>
      </c>
      <c r="F184" s="662">
        <f t="shared" si="76"/>
        <v>56978033</v>
      </c>
      <c r="G184" s="662">
        <f t="shared" si="76"/>
        <v>0</v>
      </c>
      <c r="H184" s="662">
        <f t="shared" si="76"/>
        <v>0</v>
      </c>
      <c r="I184" s="662">
        <f t="shared" si="76"/>
        <v>54921386</v>
      </c>
      <c r="J184" s="802">
        <f t="shared" si="76"/>
        <v>43051</v>
      </c>
      <c r="K184" s="662">
        <f t="shared" si="76"/>
        <v>0</v>
      </c>
      <c r="L184" s="662">
        <f t="shared" si="76"/>
        <v>41005</v>
      </c>
      <c r="M184" s="662">
        <f t="shared" si="76"/>
        <v>4859351</v>
      </c>
      <c r="N184" s="662">
        <f t="shared" si="76"/>
        <v>0</v>
      </c>
      <c r="O184" s="662">
        <f t="shared" si="76"/>
        <v>0</v>
      </c>
      <c r="P184" s="662">
        <f t="shared" si="76"/>
        <v>4189977</v>
      </c>
      <c r="Q184" s="802">
        <f t="shared" si="76"/>
        <v>299</v>
      </c>
      <c r="R184" s="662">
        <f t="shared" si="76"/>
        <v>289</v>
      </c>
      <c r="S184" s="662">
        <f t="shared" si="76"/>
        <v>70351</v>
      </c>
      <c r="T184" s="662">
        <f t="shared" si="76"/>
        <v>0</v>
      </c>
      <c r="U184" s="662">
        <f t="shared" si="76"/>
        <v>0</v>
      </c>
      <c r="V184" s="662">
        <f t="shared" si="76"/>
        <v>69836</v>
      </c>
      <c r="W184" s="802">
        <f t="shared" si="76"/>
        <v>364</v>
      </c>
      <c r="X184" s="662">
        <f t="shared" si="76"/>
        <v>0</v>
      </c>
      <c r="Y184" s="662">
        <f t="shared" si="76"/>
        <v>355</v>
      </c>
      <c r="Z184" s="662">
        <f t="shared" si="76"/>
        <v>24890</v>
      </c>
      <c r="AA184" s="662">
        <f t="shared" si="76"/>
        <v>0</v>
      </c>
      <c r="AB184" s="662">
        <f t="shared" si="76"/>
        <v>0</v>
      </c>
      <c r="AC184" s="662">
        <f t="shared" si="76"/>
        <v>24441</v>
      </c>
      <c r="AD184" s="802">
        <f t="shared" si="76"/>
        <v>4833</v>
      </c>
      <c r="AE184" s="662">
        <f t="shared" si="76"/>
        <v>0</v>
      </c>
      <c r="AF184" s="662">
        <f t="shared" si="76"/>
        <v>4099</v>
      </c>
      <c r="AG184" s="662">
        <f t="shared" si="76"/>
        <v>842145</v>
      </c>
      <c r="AH184" s="662">
        <f t="shared" si="76"/>
        <v>0</v>
      </c>
      <c r="AI184" s="662">
        <f t="shared" si="76"/>
        <v>0</v>
      </c>
      <c r="AJ184" s="662">
        <f t="shared" si="76"/>
        <v>771295</v>
      </c>
      <c r="AK184" s="802">
        <f t="shared" si="76"/>
        <v>29636</v>
      </c>
      <c r="AL184" s="662">
        <f t="shared" si="76"/>
        <v>28578</v>
      </c>
      <c r="AM184" s="662">
        <f t="shared" si="76"/>
        <v>15014656</v>
      </c>
      <c r="AN184" s="662">
        <f t="shared" si="76"/>
        <v>0</v>
      </c>
      <c r="AO184" s="662">
        <f t="shared" si="76"/>
        <v>0</v>
      </c>
      <c r="AP184" s="662">
        <f t="shared" si="76"/>
        <v>15014656</v>
      </c>
      <c r="AQ184" s="802">
        <f t="shared" si="76"/>
        <v>18373</v>
      </c>
      <c r="AR184" s="662">
        <f t="shared" si="76"/>
        <v>0</v>
      </c>
      <c r="AS184" s="662">
        <f t="shared" si="76"/>
        <v>17799</v>
      </c>
      <c r="AT184" s="662">
        <f t="shared" si="76"/>
        <v>3737527</v>
      </c>
      <c r="AU184" s="662">
        <f t="shared" si="76"/>
        <v>0</v>
      </c>
      <c r="AV184" s="662">
        <f t="shared" si="76"/>
        <v>0</v>
      </c>
      <c r="AW184" s="662">
        <f t="shared" si="76"/>
        <v>3439464</v>
      </c>
      <c r="AX184" s="662">
        <f t="shared" si="76"/>
        <v>2353</v>
      </c>
      <c r="AY184" s="662">
        <f t="shared" si="76"/>
        <v>0</v>
      </c>
      <c r="AZ184" s="662">
        <f t="shared" si="76"/>
        <v>2336</v>
      </c>
      <c r="BA184" s="662">
        <f t="shared" si="76"/>
        <v>633556</v>
      </c>
      <c r="BB184" s="662">
        <f t="shared" si="76"/>
        <v>0</v>
      </c>
      <c r="BC184" s="662">
        <f t="shared" si="76"/>
        <v>0</v>
      </c>
      <c r="BD184" s="662">
        <f t="shared" si="76"/>
        <v>630832</v>
      </c>
      <c r="BE184" s="802">
        <f t="shared" si="76"/>
        <v>54013</v>
      </c>
      <c r="BF184" s="662">
        <f t="shared" si="76"/>
        <v>0</v>
      </c>
      <c r="BG184" s="662">
        <f t="shared" si="76"/>
        <v>48048</v>
      </c>
      <c r="BH184" s="662">
        <f t="shared" si="76"/>
        <v>9758001</v>
      </c>
      <c r="BI184" s="662">
        <f t="shared" si="76"/>
        <v>0</v>
      </c>
      <c r="BJ184" s="662">
        <f t="shared" si="76"/>
        <v>0</v>
      </c>
      <c r="BK184" s="662">
        <f t="shared" si="76"/>
        <v>9757911</v>
      </c>
      <c r="BL184" s="662">
        <f t="shared" si="76"/>
        <v>3365</v>
      </c>
      <c r="BM184" s="662">
        <f t="shared" si="76"/>
        <v>0</v>
      </c>
      <c r="BN184" s="662">
        <f t="shared" si="76"/>
        <v>3013</v>
      </c>
      <c r="BO184" s="662">
        <f t="shared" ref="BO184:DZ184" si="77">BO185+BO214+BO224</f>
        <v>357101</v>
      </c>
      <c r="BP184" s="662">
        <f t="shared" si="77"/>
        <v>0</v>
      </c>
      <c r="BQ184" s="662">
        <f t="shared" si="77"/>
        <v>0</v>
      </c>
      <c r="BR184" s="662">
        <f t="shared" si="77"/>
        <v>348928</v>
      </c>
      <c r="BS184" s="662">
        <f t="shared" si="77"/>
        <v>681</v>
      </c>
      <c r="BT184" s="662">
        <f t="shared" si="77"/>
        <v>0</v>
      </c>
      <c r="BU184" s="662">
        <f t="shared" si="77"/>
        <v>636</v>
      </c>
      <c r="BV184" s="662">
        <f t="shared" si="77"/>
        <v>67824</v>
      </c>
      <c r="BW184" s="662">
        <f t="shared" si="77"/>
        <v>0</v>
      </c>
      <c r="BX184" s="662">
        <f t="shared" si="77"/>
        <v>0</v>
      </c>
      <c r="BY184" s="662">
        <f t="shared" si="77"/>
        <v>67824</v>
      </c>
      <c r="BZ184" s="662">
        <f t="shared" si="77"/>
        <v>1695</v>
      </c>
      <c r="CA184" s="662">
        <f t="shared" si="77"/>
        <v>0</v>
      </c>
      <c r="CB184" s="662">
        <f t="shared" si="77"/>
        <v>1642</v>
      </c>
      <c r="CC184" s="662">
        <f t="shared" si="77"/>
        <v>252652</v>
      </c>
      <c r="CD184" s="662">
        <f t="shared" si="77"/>
        <v>0</v>
      </c>
      <c r="CE184" s="662">
        <f t="shared" si="77"/>
        <v>0</v>
      </c>
      <c r="CF184" s="662">
        <f t="shared" si="77"/>
        <v>245152</v>
      </c>
      <c r="CG184" s="662">
        <f t="shared" si="77"/>
        <v>38674</v>
      </c>
      <c r="CH184" s="662">
        <f t="shared" si="77"/>
        <v>0</v>
      </c>
      <c r="CI184" s="662">
        <f t="shared" si="77"/>
        <v>35236</v>
      </c>
      <c r="CJ184" s="662">
        <f t="shared" si="77"/>
        <v>3423127</v>
      </c>
      <c r="CK184" s="662">
        <f t="shared" si="77"/>
        <v>0</v>
      </c>
      <c r="CL184" s="662">
        <f t="shared" si="77"/>
        <v>0</v>
      </c>
      <c r="CM184" s="662">
        <f t="shared" si="77"/>
        <v>3192880</v>
      </c>
      <c r="CN184" s="662">
        <f t="shared" si="77"/>
        <v>4371</v>
      </c>
      <c r="CO184" s="662">
        <f t="shared" si="77"/>
        <v>0</v>
      </c>
      <c r="CP184" s="662">
        <f t="shared" si="77"/>
        <v>4341</v>
      </c>
      <c r="CQ184" s="662">
        <f t="shared" si="77"/>
        <v>672086</v>
      </c>
      <c r="CR184" s="662">
        <f t="shared" si="77"/>
        <v>0</v>
      </c>
      <c r="CS184" s="662">
        <f t="shared" si="77"/>
        <v>0</v>
      </c>
      <c r="CT184" s="662">
        <f t="shared" si="77"/>
        <v>668457</v>
      </c>
      <c r="CU184" s="662">
        <f t="shared" si="77"/>
        <v>1053</v>
      </c>
      <c r="CV184" s="662">
        <f t="shared" si="77"/>
        <v>0</v>
      </c>
      <c r="CW184" s="662">
        <f t="shared" si="77"/>
        <v>1028</v>
      </c>
      <c r="CX184" s="662">
        <f t="shared" si="77"/>
        <v>161835</v>
      </c>
      <c r="CY184" s="662">
        <f t="shared" si="77"/>
        <v>0</v>
      </c>
      <c r="CZ184" s="662">
        <f t="shared" si="77"/>
        <v>0</v>
      </c>
      <c r="DA184" s="662">
        <f t="shared" si="77"/>
        <v>161835</v>
      </c>
      <c r="DB184" s="662">
        <f t="shared" si="77"/>
        <v>59217</v>
      </c>
      <c r="DC184" s="662">
        <f t="shared" si="77"/>
        <v>0</v>
      </c>
      <c r="DD184" s="662">
        <f t="shared" si="77"/>
        <v>56699</v>
      </c>
      <c r="DE184" s="662">
        <f t="shared" si="77"/>
        <v>7258951</v>
      </c>
      <c r="DF184" s="662">
        <f t="shared" si="77"/>
        <v>0</v>
      </c>
      <c r="DG184" s="662">
        <f t="shared" si="77"/>
        <v>0</v>
      </c>
      <c r="DH184" s="662">
        <f t="shared" si="77"/>
        <v>6991599</v>
      </c>
      <c r="DI184" s="662">
        <f t="shared" si="77"/>
        <v>46273</v>
      </c>
      <c r="DJ184" s="662">
        <f t="shared" si="77"/>
        <v>0</v>
      </c>
      <c r="DK184" s="662">
        <f t="shared" si="77"/>
        <v>45635</v>
      </c>
      <c r="DL184" s="662">
        <f t="shared" si="77"/>
        <v>2014067</v>
      </c>
      <c r="DM184" s="662">
        <f t="shared" si="77"/>
        <v>0</v>
      </c>
      <c r="DN184" s="662">
        <f t="shared" si="77"/>
        <v>0</v>
      </c>
      <c r="DO184" s="662">
        <f t="shared" si="77"/>
        <v>1955678</v>
      </c>
      <c r="DP184" s="662">
        <f t="shared" si="77"/>
        <v>9162</v>
      </c>
      <c r="DQ184" s="662">
        <f t="shared" si="77"/>
        <v>0</v>
      </c>
      <c r="DR184" s="662">
        <f t="shared" si="77"/>
        <v>9044</v>
      </c>
      <c r="DS184" s="662">
        <f t="shared" si="77"/>
        <v>1373258</v>
      </c>
      <c r="DT184" s="662">
        <f t="shared" si="77"/>
        <v>0</v>
      </c>
      <c r="DU184" s="662">
        <f t="shared" si="77"/>
        <v>0</v>
      </c>
      <c r="DV184" s="662">
        <f t="shared" si="77"/>
        <v>1357766</v>
      </c>
      <c r="DW184" s="662">
        <f t="shared" si="77"/>
        <v>7373</v>
      </c>
      <c r="DX184" s="662">
        <f t="shared" si="77"/>
        <v>0</v>
      </c>
      <c r="DY184" s="662">
        <f t="shared" si="77"/>
        <v>7331</v>
      </c>
      <c r="DZ184" s="662">
        <f t="shared" si="77"/>
        <v>1597180</v>
      </c>
      <c r="EA184" s="662">
        <f t="shared" ref="EA184:EQ184" si="78">EA185+EA214+EA224</f>
        <v>0</v>
      </c>
      <c r="EB184" s="662">
        <f t="shared" si="78"/>
        <v>0</v>
      </c>
      <c r="EC184" s="662">
        <f t="shared" si="78"/>
        <v>1419337</v>
      </c>
      <c r="ED184" s="662">
        <f t="shared" si="78"/>
        <v>72440</v>
      </c>
      <c r="EE184" s="662">
        <f t="shared" si="78"/>
        <v>0</v>
      </c>
      <c r="EF184" s="662">
        <f t="shared" si="78"/>
        <v>68604</v>
      </c>
      <c r="EG184" s="662">
        <f t="shared" si="78"/>
        <v>4488082</v>
      </c>
      <c r="EH184" s="662">
        <f t="shared" si="78"/>
        <v>0</v>
      </c>
      <c r="EI184" s="662">
        <f t="shared" si="78"/>
        <v>0</v>
      </c>
      <c r="EJ184" s="662">
        <f t="shared" si="78"/>
        <v>4266646</v>
      </c>
      <c r="EK184" s="662">
        <f t="shared" si="78"/>
        <v>3855</v>
      </c>
      <c r="EL184" s="662">
        <f t="shared" si="78"/>
        <v>0</v>
      </c>
      <c r="EM184" s="662">
        <f t="shared" si="78"/>
        <v>3795</v>
      </c>
      <c r="EN184" s="662">
        <f t="shared" si="78"/>
        <v>371393</v>
      </c>
      <c r="EO184" s="662">
        <f t="shared" si="78"/>
        <v>0</v>
      </c>
      <c r="EP184" s="662">
        <f t="shared" si="78"/>
        <v>0</v>
      </c>
      <c r="EQ184" s="662">
        <f t="shared" si="78"/>
        <v>346872</v>
      </c>
    </row>
    <row r="185" spans="1:147" ht="20.7" customHeight="1" x14ac:dyDescent="0.3">
      <c r="A185" s="660" t="s">
        <v>1841</v>
      </c>
      <c r="B185" s="661" t="s">
        <v>269</v>
      </c>
      <c r="C185" s="662">
        <f t="shared" ref="C185:BN185" si="79">C186+C207</f>
        <v>255466</v>
      </c>
      <c r="D185" s="662">
        <f t="shared" si="79"/>
        <v>0</v>
      </c>
      <c r="E185" s="662">
        <f t="shared" si="79"/>
        <v>242420</v>
      </c>
      <c r="F185" s="662">
        <f t="shared" si="79"/>
        <v>54952538</v>
      </c>
      <c r="G185" s="662">
        <f t="shared" si="79"/>
        <v>0</v>
      </c>
      <c r="H185" s="662">
        <f t="shared" si="79"/>
        <v>0</v>
      </c>
      <c r="I185" s="662">
        <f t="shared" si="79"/>
        <v>53027817</v>
      </c>
      <c r="J185" s="802">
        <f t="shared" si="79"/>
        <v>17808</v>
      </c>
      <c r="K185" s="662">
        <f t="shared" si="79"/>
        <v>0</v>
      </c>
      <c r="L185" s="662">
        <f t="shared" si="79"/>
        <v>17215</v>
      </c>
      <c r="M185" s="662">
        <f t="shared" si="79"/>
        <v>4425195</v>
      </c>
      <c r="N185" s="662">
        <f t="shared" si="79"/>
        <v>0</v>
      </c>
      <c r="O185" s="662">
        <f t="shared" si="79"/>
        <v>0</v>
      </c>
      <c r="P185" s="662">
        <f t="shared" si="79"/>
        <v>3820374</v>
      </c>
      <c r="Q185" s="802">
        <f t="shared" si="79"/>
        <v>291</v>
      </c>
      <c r="R185" s="662">
        <f t="shared" si="79"/>
        <v>281</v>
      </c>
      <c r="S185" s="662">
        <f t="shared" si="79"/>
        <v>69700</v>
      </c>
      <c r="T185" s="662">
        <f t="shared" si="79"/>
        <v>0</v>
      </c>
      <c r="U185" s="662">
        <f t="shared" si="79"/>
        <v>0</v>
      </c>
      <c r="V185" s="662">
        <f t="shared" si="79"/>
        <v>69200</v>
      </c>
      <c r="W185" s="802">
        <f t="shared" si="79"/>
        <v>302</v>
      </c>
      <c r="X185" s="662">
        <f t="shared" si="79"/>
        <v>0</v>
      </c>
      <c r="Y185" s="662">
        <f t="shared" si="79"/>
        <v>297</v>
      </c>
      <c r="Z185" s="662">
        <f t="shared" si="79"/>
        <v>21992</v>
      </c>
      <c r="AA185" s="662">
        <f t="shared" si="79"/>
        <v>0</v>
      </c>
      <c r="AB185" s="662">
        <f t="shared" si="79"/>
        <v>0</v>
      </c>
      <c r="AC185" s="662">
        <f t="shared" si="79"/>
        <v>21627</v>
      </c>
      <c r="AD185" s="802">
        <f t="shared" si="79"/>
        <v>4150</v>
      </c>
      <c r="AE185" s="662">
        <f t="shared" si="79"/>
        <v>0</v>
      </c>
      <c r="AF185" s="662">
        <f t="shared" si="79"/>
        <v>3617</v>
      </c>
      <c r="AG185" s="662">
        <f t="shared" si="79"/>
        <v>829289</v>
      </c>
      <c r="AH185" s="662">
        <f t="shared" si="79"/>
        <v>0</v>
      </c>
      <c r="AI185" s="662">
        <f t="shared" si="79"/>
        <v>0</v>
      </c>
      <c r="AJ185" s="662">
        <f t="shared" si="79"/>
        <v>758441</v>
      </c>
      <c r="AK185" s="802">
        <f t="shared" si="79"/>
        <v>29259</v>
      </c>
      <c r="AL185" s="662">
        <f t="shared" si="79"/>
        <v>28204</v>
      </c>
      <c r="AM185" s="662">
        <f t="shared" si="79"/>
        <v>14991321</v>
      </c>
      <c r="AN185" s="662">
        <f t="shared" si="79"/>
        <v>0</v>
      </c>
      <c r="AO185" s="662">
        <f t="shared" si="79"/>
        <v>0</v>
      </c>
      <c r="AP185" s="662">
        <f t="shared" si="79"/>
        <v>14991321</v>
      </c>
      <c r="AQ185" s="802">
        <f t="shared" si="79"/>
        <v>17623</v>
      </c>
      <c r="AR185" s="662">
        <f t="shared" si="79"/>
        <v>0</v>
      </c>
      <c r="AS185" s="662">
        <f t="shared" si="79"/>
        <v>17049</v>
      </c>
      <c r="AT185" s="662">
        <f t="shared" si="79"/>
        <v>3707953</v>
      </c>
      <c r="AU185" s="662">
        <f t="shared" si="79"/>
        <v>0</v>
      </c>
      <c r="AV185" s="662">
        <f t="shared" si="79"/>
        <v>0</v>
      </c>
      <c r="AW185" s="662">
        <f t="shared" si="79"/>
        <v>3412118</v>
      </c>
      <c r="AX185" s="662">
        <f t="shared" si="79"/>
        <v>2342</v>
      </c>
      <c r="AY185" s="662">
        <f t="shared" si="79"/>
        <v>0</v>
      </c>
      <c r="AZ185" s="662">
        <f t="shared" si="79"/>
        <v>2327</v>
      </c>
      <c r="BA185" s="662">
        <f t="shared" si="79"/>
        <v>633473</v>
      </c>
      <c r="BB185" s="662">
        <f t="shared" si="79"/>
        <v>0</v>
      </c>
      <c r="BC185" s="662">
        <f t="shared" si="79"/>
        <v>0</v>
      </c>
      <c r="BD185" s="662">
        <f t="shared" si="79"/>
        <v>630758</v>
      </c>
      <c r="BE185" s="802">
        <f t="shared" si="79"/>
        <v>53865</v>
      </c>
      <c r="BF185" s="662">
        <f t="shared" si="79"/>
        <v>0</v>
      </c>
      <c r="BG185" s="662">
        <f t="shared" si="79"/>
        <v>47970</v>
      </c>
      <c r="BH185" s="662">
        <f t="shared" si="79"/>
        <v>9756410</v>
      </c>
      <c r="BI185" s="662">
        <f t="shared" si="79"/>
        <v>0</v>
      </c>
      <c r="BJ185" s="662">
        <f t="shared" si="79"/>
        <v>0</v>
      </c>
      <c r="BK185" s="662">
        <f t="shared" si="79"/>
        <v>9756320</v>
      </c>
      <c r="BL185" s="662">
        <f t="shared" si="79"/>
        <v>2776</v>
      </c>
      <c r="BM185" s="662">
        <f t="shared" si="79"/>
        <v>0</v>
      </c>
      <c r="BN185" s="662">
        <f t="shared" si="79"/>
        <v>2637</v>
      </c>
      <c r="BO185" s="662">
        <f t="shared" ref="BO185:DZ185" si="80">BO186+BO207</f>
        <v>350092</v>
      </c>
      <c r="BP185" s="662">
        <f t="shared" si="80"/>
        <v>0</v>
      </c>
      <c r="BQ185" s="662">
        <f t="shared" si="80"/>
        <v>0</v>
      </c>
      <c r="BR185" s="662">
        <f t="shared" si="80"/>
        <v>342396</v>
      </c>
      <c r="BS185" s="662">
        <f t="shared" si="80"/>
        <v>532</v>
      </c>
      <c r="BT185" s="662">
        <f t="shared" si="80"/>
        <v>0</v>
      </c>
      <c r="BU185" s="662">
        <f t="shared" si="80"/>
        <v>517</v>
      </c>
      <c r="BV185" s="662">
        <f t="shared" si="80"/>
        <v>65160</v>
      </c>
      <c r="BW185" s="662">
        <f t="shared" si="80"/>
        <v>0</v>
      </c>
      <c r="BX185" s="662">
        <f t="shared" si="80"/>
        <v>0</v>
      </c>
      <c r="BY185" s="662">
        <f t="shared" si="80"/>
        <v>65160</v>
      </c>
      <c r="BZ185" s="662">
        <f t="shared" si="80"/>
        <v>1622</v>
      </c>
      <c r="CA185" s="662">
        <f t="shared" si="80"/>
        <v>0</v>
      </c>
      <c r="CB185" s="662">
        <f t="shared" si="80"/>
        <v>1574</v>
      </c>
      <c r="CC185" s="662">
        <f t="shared" si="80"/>
        <v>250143</v>
      </c>
      <c r="CD185" s="662">
        <f t="shared" si="80"/>
        <v>0</v>
      </c>
      <c r="CE185" s="662">
        <f t="shared" si="80"/>
        <v>0</v>
      </c>
      <c r="CF185" s="662">
        <f t="shared" si="80"/>
        <v>242791</v>
      </c>
      <c r="CG185" s="662">
        <f t="shared" si="80"/>
        <v>14020</v>
      </c>
      <c r="CH185" s="662">
        <f t="shared" si="80"/>
        <v>0</v>
      </c>
      <c r="CI185" s="662">
        <f t="shared" si="80"/>
        <v>13204</v>
      </c>
      <c r="CJ185" s="662">
        <f t="shared" si="80"/>
        <v>3098073</v>
      </c>
      <c r="CK185" s="662">
        <f t="shared" si="80"/>
        <v>0</v>
      </c>
      <c r="CL185" s="662">
        <f t="shared" si="80"/>
        <v>0</v>
      </c>
      <c r="CM185" s="662">
        <f t="shared" si="80"/>
        <v>2879657</v>
      </c>
      <c r="CN185" s="662">
        <f t="shared" si="80"/>
        <v>4090</v>
      </c>
      <c r="CO185" s="662">
        <f t="shared" si="80"/>
        <v>0</v>
      </c>
      <c r="CP185" s="662">
        <f t="shared" si="80"/>
        <v>4060</v>
      </c>
      <c r="CQ185" s="662">
        <f t="shared" si="80"/>
        <v>670632</v>
      </c>
      <c r="CR185" s="662">
        <f t="shared" si="80"/>
        <v>0</v>
      </c>
      <c r="CS185" s="662">
        <f t="shared" si="80"/>
        <v>0</v>
      </c>
      <c r="CT185" s="662">
        <f t="shared" si="80"/>
        <v>667032</v>
      </c>
      <c r="CU185" s="662">
        <f t="shared" si="80"/>
        <v>918</v>
      </c>
      <c r="CV185" s="662">
        <f t="shared" si="80"/>
        <v>0</v>
      </c>
      <c r="CW185" s="662">
        <f t="shared" si="80"/>
        <v>918</v>
      </c>
      <c r="CX185" s="662">
        <f t="shared" si="80"/>
        <v>158970</v>
      </c>
      <c r="CY185" s="662">
        <f t="shared" si="80"/>
        <v>0</v>
      </c>
      <c r="CZ185" s="662">
        <f t="shared" si="80"/>
        <v>0</v>
      </c>
      <c r="DA185" s="662">
        <f t="shared" si="80"/>
        <v>158970</v>
      </c>
      <c r="DB185" s="662">
        <f t="shared" si="80"/>
        <v>37717</v>
      </c>
      <c r="DC185" s="662">
        <f t="shared" si="80"/>
        <v>0</v>
      </c>
      <c r="DD185" s="662">
        <f t="shared" si="80"/>
        <v>36061</v>
      </c>
      <c r="DE185" s="662">
        <f t="shared" si="80"/>
        <v>6988790</v>
      </c>
      <c r="DF185" s="662">
        <f t="shared" si="80"/>
        <v>0</v>
      </c>
      <c r="DG185" s="662">
        <f t="shared" si="80"/>
        <v>0</v>
      </c>
      <c r="DH185" s="662">
        <f t="shared" si="80"/>
        <v>6728869</v>
      </c>
      <c r="DI185" s="662">
        <f t="shared" si="80"/>
        <v>26436</v>
      </c>
      <c r="DJ185" s="662">
        <f t="shared" si="80"/>
        <v>0</v>
      </c>
      <c r="DK185" s="662">
        <f t="shared" si="80"/>
        <v>26048</v>
      </c>
      <c r="DL185" s="662">
        <f t="shared" si="80"/>
        <v>1718788</v>
      </c>
      <c r="DM185" s="662">
        <f t="shared" si="80"/>
        <v>0</v>
      </c>
      <c r="DN185" s="662">
        <f t="shared" si="80"/>
        <v>0</v>
      </c>
      <c r="DO185" s="662">
        <f t="shared" si="80"/>
        <v>1664482</v>
      </c>
      <c r="DP185" s="662">
        <f t="shared" si="80"/>
        <v>9028</v>
      </c>
      <c r="DQ185" s="662">
        <f t="shared" si="80"/>
        <v>0</v>
      </c>
      <c r="DR185" s="662">
        <f t="shared" si="80"/>
        <v>8912</v>
      </c>
      <c r="DS185" s="662">
        <f t="shared" si="80"/>
        <v>1367871</v>
      </c>
      <c r="DT185" s="662">
        <f t="shared" si="80"/>
        <v>0</v>
      </c>
      <c r="DU185" s="662">
        <f t="shared" si="80"/>
        <v>0</v>
      </c>
      <c r="DV185" s="662">
        <f t="shared" si="80"/>
        <v>1352399</v>
      </c>
      <c r="DW185" s="662">
        <f t="shared" si="80"/>
        <v>6875</v>
      </c>
      <c r="DX185" s="662">
        <f t="shared" si="80"/>
        <v>0</v>
      </c>
      <c r="DY185" s="662">
        <f t="shared" si="80"/>
        <v>6846</v>
      </c>
      <c r="DZ185" s="662">
        <f t="shared" si="80"/>
        <v>1580214</v>
      </c>
      <c r="EA185" s="662">
        <f t="shared" ref="EA185:EQ185" si="81">EA186+EA207</f>
        <v>0</v>
      </c>
      <c r="EB185" s="662">
        <f t="shared" si="81"/>
        <v>0</v>
      </c>
      <c r="EC185" s="662">
        <f t="shared" si="81"/>
        <v>1402725</v>
      </c>
      <c r="ED185" s="662">
        <f t="shared" si="81"/>
        <v>23127</v>
      </c>
      <c r="EE185" s="662">
        <f t="shared" si="81"/>
        <v>0</v>
      </c>
      <c r="EF185" s="662">
        <f t="shared" si="81"/>
        <v>22046</v>
      </c>
      <c r="EG185" s="662">
        <f t="shared" si="81"/>
        <v>3909096</v>
      </c>
      <c r="EH185" s="662">
        <f t="shared" si="81"/>
        <v>0</v>
      </c>
      <c r="EI185" s="662">
        <f t="shared" si="81"/>
        <v>0</v>
      </c>
      <c r="EJ185" s="662">
        <f t="shared" si="81"/>
        <v>3727855</v>
      </c>
      <c r="EK185" s="662">
        <f t="shared" si="81"/>
        <v>2685</v>
      </c>
      <c r="EL185" s="662">
        <f t="shared" si="81"/>
        <v>0</v>
      </c>
      <c r="EM185" s="662">
        <f t="shared" si="81"/>
        <v>2637</v>
      </c>
      <c r="EN185" s="662">
        <f t="shared" si="81"/>
        <v>359376</v>
      </c>
      <c r="EO185" s="662">
        <f t="shared" si="81"/>
        <v>0</v>
      </c>
      <c r="EP185" s="662">
        <f t="shared" si="81"/>
        <v>0</v>
      </c>
      <c r="EQ185" s="662">
        <f t="shared" si="81"/>
        <v>335322</v>
      </c>
    </row>
    <row r="186" spans="1:147" s="663" customFormat="1" ht="20.7" customHeight="1" x14ac:dyDescent="0.3">
      <c r="A186" s="660" t="s">
        <v>1842</v>
      </c>
      <c r="B186" s="661" t="s">
        <v>269</v>
      </c>
      <c r="C186" s="662">
        <f t="shared" ref="C186:BN186" si="82">C187+C190+C191+C194+C197+C200+C201+C204+C205+C206</f>
        <v>213924</v>
      </c>
      <c r="D186" s="662">
        <f t="shared" si="82"/>
        <v>0</v>
      </c>
      <c r="E186" s="662">
        <f t="shared" si="82"/>
        <v>203797</v>
      </c>
      <c r="F186" s="662">
        <f t="shared" si="82"/>
        <v>47139690</v>
      </c>
      <c r="G186" s="662">
        <f t="shared" si="82"/>
        <v>0</v>
      </c>
      <c r="H186" s="662">
        <f t="shared" si="82"/>
        <v>0</v>
      </c>
      <c r="I186" s="662">
        <f t="shared" si="82"/>
        <v>45520317</v>
      </c>
      <c r="J186" s="802">
        <f t="shared" si="82"/>
        <v>13922</v>
      </c>
      <c r="K186" s="662">
        <f t="shared" si="82"/>
        <v>0</v>
      </c>
      <c r="L186" s="662">
        <f t="shared" si="82"/>
        <v>13398</v>
      </c>
      <c r="M186" s="662">
        <f t="shared" si="82"/>
        <v>3617675</v>
      </c>
      <c r="N186" s="662">
        <f t="shared" si="82"/>
        <v>0</v>
      </c>
      <c r="O186" s="662">
        <f t="shared" si="82"/>
        <v>0</v>
      </c>
      <c r="P186" s="662">
        <f t="shared" si="82"/>
        <v>3102694</v>
      </c>
      <c r="Q186" s="802">
        <f t="shared" si="82"/>
        <v>290</v>
      </c>
      <c r="R186" s="662">
        <f t="shared" si="82"/>
        <v>280</v>
      </c>
      <c r="S186" s="662">
        <f t="shared" si="82"/>
        <v>69500</v>
      </c>
      <c r="T186" s="662">
        <f t="shared" si="82"/>
        <v>0</v>
      </c>
      <c r="U186" s="662">
        <f t="shared" si="82"/>
        <v>0</v>
      </c>
      <c r="V186" s="662">
        <f t="shared" si="82"/>
        <v>69000</v>
      </c>
      <c r="W186" s="802">
        <f t="shared" si="82"/>
        <v>268</v>
      </c>
      <c r="X186" s="662">
        <f t="shared" si="82"/>
        <v>0</v>
      </c>
      <c r="Y186" s="662">
        <f t="shared" si="82"/>
        <v>266</v>
      </c>
      <c r="Z186" s="662">
        <f t="shared" si="82"/>
        <v>20367</v>
      </c>
      <c r="AA186" s="662">
        <f t="shared" si="82"/>
        <v>0</v>
      </c>
      <c r="AB186" s="662">
        <f t="shared" si="82"/>
        <v>0</v>
      </c>
      <c r="AC186" s="662">
        <f t="shared" si="82"/>
        <v>20027</v>
      </c>
      <c r="AD186" s="802">
        <f t="shared" si="82"/>
        <v>3332</v>
      </c>
      <c r="AE186" s="662">
        <f t="shared" si="82"/>
        <v>0</v>
      </c>
      <c r="AF186" s="662">
        <f t="shared" si="82"/>
        <v>2935</v>
      </c>
      <c r="AG186" s="662">
        <f t="shared" si="82"/>
        <v>707285</v>
      </c>
      <c r="AH186" s="662">
        <f t="shared" si="82"/>
        <v>0</v>
      </c>
      <c r="AI186" s="662">
        <f t="shared" si="82"/>
        <v>0</v>
      </c>
      <c r="AJ186" s="662">
        <f t="shared" si="82"/>
        <v>636437</v>
      </c>
      <c r="AK186" s="802">
        <f t="shared" si="82"/>
        <v>29180</v>
      </c>
      <c r="AL186" s="662">
        <f t="shared" si="82"/>
        <v>28126</v>
      </c>
      <c r="AM186" s="662">
        <f t="shared" si="82"/>
        <v>14978921</v>
      </c>
      <c r="AN186" s="662">
        <f t="shared" si="82"/>
        <v>0</v>
      </c>
      <c r="AO186" s="662">
        <f t="shared" si="82"/>
        <v>0</v>
      </c>
      <c r="AP186" s="662">
        <f t="shared" si="82"/>
        <v>14978921</v>
      </c>
      <c r="AQ186" s="802">
        <f t="shared" si="82"/>
        <v>14016</v>
      </c>
      <c r="AR186" s="662">
        <f t="shared" si="82"/>
        <v>0</v>
      </c>
      <c r="AS186" s="662">
        <f t="shared" si="82"/>
        <v>13523</v>
      </c>
      <c r="AT186" s="662">
        <f t="shared" si="82"/>
        <v>3265198</v>
      </c>
      <c r="AU186" s="662">
        <f t="shared" si="82"/>
        <v>0</v>
      </c>
      <c r="AV186" s="662">
        <f t="shared" si="82"/>
        <v>0</v>
      </c>
      <c r="AW186" s="662">
        <f t="shared" si="82"/>
        <v>2992471</v>
      </c>
      <c r="AX186" s="662">
        <f t="shared" si="82"/>
        <v>1628</v>
      </c>
      <c r="AY186" s="662">
        <f t="shared" si="82"/>
        <v>0</v>
      </c>
      <c r="AZ186" s="662">
        <f t="shared" si="82"/>
        <v>1616</v>
      </c>
      <c r="BA186" s="662">
        <f t="shared" si="82"/>
        <v>477265</v>
      </c>
      <c r="BB186" s="662">
        <f t="shared" si="82"/>
        <v>0</v>
      </c>
      <c r="BC186" s="662">
        <f t="shared" si="82"/>
        <v>0</v>
      </c>
      <c r="BD186" s="662">
        <f t="shared" si="82"/>
        <v>474809</v>
      </c>
      <c r="BE186" s="802">
        <f t="shared" si="82"/>
        <v>47673</v>
      </c>
      <c r="BF186" s="662">
        <f t="shared" si="82"/>
        <v>0</v>
      </c>
      <c r="BG186" s="662">
        <f t="shared" si="82"/>
        <v>42680</v>
      </c>
      <c r="BH186" s="662">
        <f t="shared" si="82"/>
        <v>8863259</v>
      </c>
      <c r="BI186" s="662">
        <f t="shared" si="82"/>
        <v>0</v>
      </c>
      <c r="BJ186" s="662">
        <f t="shared" si="82"/>
        <v>0</v>
      </c>
      <c r="BK186" s="662">
        <f t="shared" si="82"/>
        <v>8863169</v>
      </c>
      <c r="BL186" s="662">
        <f t="shared" si="82"/>
        <v>2627</v>
      </c>
      <c r="BM186" s="662">
        <f t="shared" si="82"/>
        <v>0</v>
      </c>
      <c r="BN186" s="662">
        <f t="shared" si="82"/>
        <v>2504</v>
      </c>
      <c r="BO186" s="662">
        <f t="shared" ref="BO186:DZ186" si="83">BO187+BO190+BO191+BO194+BO197+BO200+BO201+BO204+BO205+BO206</f>
        <v>332977</v>
      </c>
      <c r="BP186" s="662">
        <f t="shared" si="83"/>
        <v>0</v>
      </c>
      <c r="BQ186" s="662">
        <f t="shared" si="83"/>
        <v>0</v>
      </c>
      <c r="BR186" s="662">
        <f t="shared" si="83"/>
        <v>325637</v>
      </c>
      <c r="BS186" s="662">
        <f t="shared" si="83"/>
        <v>532</v>
      </c>
      <c r="BT186" s="662">
        <f t="shared" si="83"/>
        <v>0</v>
      </c>
      <c r="BU186" s="662">
        <f t="shared" si="83"/>
        <v>517</v>
      </c>
      <c r="BV186" s="662">
        <f t="shared" si="83"/>
        <v>65160</v>
      </c>
      <c r="BW186" s="662">
        <f t="shared" si="83"/>
        <v>0</v>
      </c>
      <c r="BX186" s="662">
        <f t="shared" si="83"/>
        <v>0</v>
      </c>
      <c r="BY186" s="662">
        <f t="shared" si="83"/>
        <v>65160</v>
      </c>
      <c r="BZ186" s="662">
        <f t="shared" si="83"/>
        <v>1529</v>
      </c>
      <c r="CA186" s="662">
        <f t="shared" si="83"/>
        <v>0</v>
      </c>
      <c r="CB186" s="662">
        <f t="shared" si="83"/>
        <v>1487</v>
      </c>
      <c r="CC186" s="662">
        <f t="shared" si="83"/>
        <v>239039</v>
      </c>
      <c r="CD186" s="662">
        <f t="shared" si="83"/>
        <v>0</v>
      </c>
      <c r="CE186" s="662">
        <f t="shared" si="83"/>
        <v>0</v>
      </c>
      <c r="CF186" s="662">
        <f t="shared" si="83"/>
        <v>232031</v>
      </c>
      <c r="CG186" s="662">
        <f t="shared" si="83"/>
        <v>4564</v>
      </c>
      <c r="CH186" s="662">
        <f t="shared" si="83"/>
        <v>0</v>
      </c>
      <c r="CI186" s="662">
        <f t="shared" si="83"/>
        <v>4404</v>
      </c>
      <c r="CJ186" s="662">
        <f t="shared" si="83"/>
        <v>604710</v>
      </c>
      <c r="CK186" s="662">
        <f t="shared" si="83"/>
        <v>0</v>
      </c>
      <c r="CL186" s="662">
        <f t="shared" si="83"/>
        <v>0</v>
      </c>
      <c r="CM186" s="662">
        <f t="shared" si="83"/>
        <v>542205</v>
      </c>
      <c r="CN186" s="662">
        <f t="shared" si="83"/>
        <v>3862</v>
      </c>
      <c r="CO186" s="662">
        <f t="shared" si="83"/>
        <v>0</v>
      </c>
      <c r="CP186" s="662">
        <f t="shared" si="83"/>
        <v>3835</v>
      </c>
      <c r="CQ186" s="662">
        <f t="shared" si="83"/>
        <v>631432</v>
      </c>
      <c r="CR186" s="662">
        <f t="shared" si="83"/>
        <v>0</v>
      </c>
      <c r="CS186" s="662">
        <f t="shared" si="83"/>
        <v>0</v>
      </c>
      <c r="CT186" s="662">
        <f t="shared" si="83"/>
        <v>627832</v>
      </c>
      <c r="CU186" s="662">
        <f t="shared" si="83"/>
        <v>893</v>
      </c>
      <c r="CV186" s="662">
        <f t="shared" si="83"/>
        <v>0</v>
      </c>
      <c r="CW186" s="662">
        <f t="shared" si="83"/>
        <v>893</v>
      </c>
      <c r="CX186" s="662">
        <f t="shared" si="83"/>
        <v>153920</v>
      </c>
      <c r="CY186" s="662">
        <f t="shared" si="83"/>
        <v>0</v>
      </c>
      <c r="CZ186" s="662">
        <f t="shared" si="83"/>
        <v>0</v>
      </c>
      <c r="DA186" s="662">
        <f t="shared" si="83"/>
        <v>153920</v>
      </c>
      <c r="DB186" s="662">
        <f t="shared" si="83"/>
        <v>34460</v>
      </c>
      <c r="DC186" s="662">
        <f t="shared" si="83"/>
        <v>0</v>
      </c>
      <c r="DD186" s="662">
        <f t="shared" si="83"/>
        <v>32899</v>
      </c>
      <c r="DE186" s="662">
        <f t="shared" si="83"/>
        <v>6428916</v>
      </c>
      <c r="DF186" s="662">
        <f t="shared" si="83"/>
        <v>0</v>
      </c>
      <c r="DG186" s="662">
        <f t="shared" si="83"/>
        <v>0</v>
      </c>
      <c r="DH186" s="662">
        <f t="shared" si="83"/>
        <v>6187234</v>
      </c>
      <c r="DI186" s="662">
        <f t="shared" si="83"/>
        <v>25135</v>
      </c>
      <c r="DJ186" s="662">
        <f t="shared" si="83"/>
        <v>0</v>
      </c>
      <c r="DK186" s="662">
        <f t="shared" si="83"/>
        <v>24864</v>
      </c>
      <c r="DL186" s="662">
        <f t="shared" si="83"/>
        <v>1594431</v>
      </c>
      <c r="DM186" s="662">
        <f t="shared" si="83"/>
        <v>0</v>
      </c>
      <c r="DN186" s="662">
        <f t="shared" si="83"/>
        <v>0</v>
      </c>
      <c r="DO186" s="662">
        <f t="shared" si="83"/>
        <v>1544225</v>
      </c>
      <c r="DP186" s="662">
        <f t="shared" si="83"/>
        <v>8499</v>
      </c>
      <c r="DQ186" s="662">
        <f t="shared" si="83"/>
        <v>0</v>
      </c>
      <c r="DR186" s="662">
        <f t="shared" si="83"/>
        <v>8410</v>
      </c>
      <c r="DS186" s="662">
        <f t="shared" si="83"/>
        <v>1281760</v>
      </c>
      <c r="DT186" s="662">
        <f t="shared" si="83"/>
        <v>0</v>
      </c>
      <c r="DU186" s="662">
        <f t="shared" si="83"/>
        <v>0</v>
      </c>
      <c r="DV186" s="662">
        <f t="shared" si="83"/>
        <v>1266549</v>
      </c>
      <c r="DW186" s="662">
        <f t="shared" si="83"/>
        <v>4822</v>
      </c>
      <c r="DX186" s="662">
        <f t="shared" si="83"/>
        <v>0</v>
      </c>
      <c r="DY186" s="662">
        <f t="shared" si="83"/>
        <v>4808</v>
      </c>
      <c r="DZ186" s="662">
        <f t="shared" si="83"/>
        <v>1118849</v>
      </c>
      <c r="EA186" s="662">
        <f t="shared" ref="EA186:EQ186" si="84">EA187+EA190+EA191+EA194+EA197+EA200+EA201+EA204+EA205+EA206</f>
        <v>0</v>
      </c>
      <c r="EB186" s="662">
        <f t="shared" si="84"/>
        <v>0</v>
      </c>
      <c r="EC186" s="662">
        <f t="shared" si="84"/>
        <v>943620</v>
      </c>
      <c r="ED186" s="662">
        <f t="shared" si="84"/>
        <v>14033</v>
      </c>
      <c r="EE186" s="662">
        <f t="shared" si="84"/>
        <v>0</v>
      </c>
      <c r="EF186" s="662">
        <f t="shared" si="84"/>
        <v>13741</v>
      </c>
      <c r="EG186" s="662">
        <f t="shared" si="84"/>
        <v>2334470</v>
      </c>
      <c r="EH186" s="662">
        <f t="shared" si="84"/>
        <v>0</v>
      </c>
      <c r="EI186" s="662">
        <f t="shared" si="84"/>
        <v>0</v>
      </c>
      <c r="EJ186" s="662">
        <f t="shared" si="84"/>
        <v>2163874</v>
      </c>
      <c r="EK186" s="662">
        <f t="shared" si="84"/>
        <v>2659</v>
      </c>
      <c r="EL186" s="662">
        <f t="shared" si="84"/>
        <v>0</v>
      </c>
      <c r="EM186" s="662">
        <f t="shared" si="84"/>
        <v>2611</v>
      </c>
      <c r="EN186" s="662">
        <f t="shared" si="84"/>
        <v>354556</v>
      </c>
      <c r="EO186" s="662">
        <f t="shared" si="84"/>
        <v>0</v>
      </c>
      <c r="EP186" s="662">
        <f t="shared" si="84"/>
        <v>0</v>
      </c>
      <c r="EQ186" s="662">
        <f t="shared" si="84"/>
        <v>330502</v>
      </c>
    </row>
    <row r="187" spans="1:147" ht="13.95" customHeight="1" x14ac:dyDescent="0.3">
      <c r="A187" s="660" t="s">
        <v>1843</v>
      </c>
      <c r="B187" s="661" t="s">
        <v>269</v>
      </c>
      <c r="C187" s="662">
        <v>57674</v>
      </c>
      <c r="D187" s="662">
        <v>0</v>
      </c>
      <c r="E187" s="662">
        <v>54996</v>
      </c>
      <c r="F187" s="662">
        <v>23529743</v>
      </c>
      <c r="G187" s="662">
        <v>0</v>
      </c>
      <c r="H187" s="662">
        <v>0</v>
      </c>
      <c r="I187" s="662">
        <v>23036936</v>
      </c>
      <c r="J187" s="802">
        <v>6482</v>
      </c>
      <c r="K187" s="662">
        <v>0</v>
      </c>
      <c r="L187" s="662">
        <v>6170</v>
      </c>
      <c r="M187" s="662">
        <v>2031075</v>
      </c>
      <c r="N187" s="662">
        <v>0</v>
      </c>
      <c r="O187" s="662">
        <v>0</v>
      </c>
      <c r="P187" s="662">
        <v>1703600</v>
      </c>
      <c r="Q187" s="802">
        <v>280</v>
      </c>
      <c r="R187" s="662">
        <v>270</v>
      </c>
      <c r="S187" s="662">
        <v>67500</v>
      </c>
      <c r="T187" s="662">
        <v>0</v>
      </c>
      <c r="U187" s="662">
        <v>0</v>
      </c>
      <c r="V187" s="662">
        <v>67000</v>
      </c>
      <c r="W187" s="802">
        <v>29</v>
      </c>
      <c r="X187" s="662">
        <v>0</v>
      </c>
      <c r="Y187" s="662">
        <v>29</v>
      </c>
      <c r="Z187" s="662">
        <v>3350</v>
      </c>
      <c r="AA187" s="662">
        <v>0</v>
      </c>
      <c r="AB187" s="662">
        <v>0</v>
      </c>
      <c r="AC187" s="662">
        <v>3330</v>
      </c>
      <c r="AD187" s="802">
        <v>1655</v>
      </c>
      <c r="AE187" s="662">
        <v>0</v>
      </c>
      <c r="AF187" s="662">
        <v>1549</v>
      </c>
      <c r="AG187" s="662">
        <v>464289</v>
      </c>
      <c r="AH187" s="662">
        <v>0</v>
      </c>
      <c r="AI187" s="662">
        <v>0</v>
      </c>
      <c r="AJ187" s="662">
        <v>464289</v>
      </c>
      <c r="AK187" s="802">
        <v>28570</v>
      </c>
      <c r="AL187" s="662">
        <v>27540</v>
      </c>
      <c r="AM187" s="662">
        <v>14928380</v>
      </c>
      <c r="AN187" s="662">
        <v>0</v>
      </c>
      <c r="AO187" s="662">
        <v>0</v>
      </c>
      <c r="AP187" s="662">
        <v>14928380</v>
      </c>
      <c r="AQ187" s="802">
        <v>6261</v>
      </c>
      <c r="AR187" s="662">
        <v>0</v>
      </c>
      <c r="AS187" s="662">
        <v>5925</v>
      </c>
      <c r="AT187" s="662">
        <v>2334610</v>
      </c>
      <c r="AU187" s="662">
        <v>0</v>
      </c>
      <c r="AV187" s="662">
        <v>0</v>
      </c>
      <c r="AW187" s="662">
        <v>2193510</v>
      </c>
      <c r="AX187" s="662">
        <v>1254</v>
      </c>
      <c r="AY187" s="662">
        <v>0</v>
      </c>
      <c r="AZ187" s="662">
        <v>1249</v>
      </c>
      <c r="BA187" s="662">
        <v>400640</v>
      </c>
      <c r="BB187" s="662">
        <v>0</v>
      </c>
      <c r="BC187" s="662">
        <v>0</v>
      </c>
      <c r="BD187" s="662">
        <v>399373</v>
      </c>
      <c r="BE187" s="802">
        <v>5079</v>
      </c>
      <c r="BF187" s="662">
        <v>0</v>
      </c>
      <c r="BG187" s="662">
        <v>4364</v>
      </c>
      <c r="BH187" s="662">
        <v>1749243</v>
      </c>
      <c r="BI187" s="662">
        <v>0</v>
      </c>
      <c r="BJ187" s="662">
        <v>0</v>
      </c>
      <c r="BK187" s="662">
        <v>1749243</v>
      </c>
      <c r="BL187" s="662">
        <v>815</v>
      </c>
      <c r="BM187" s="662">
        <v>0</v>
      </c>
      <c r="BN187" s="662">
        <v>795</v>
      </c>
      <c r="BO187" s="662">
        <v>120478</v>
      </c>
      <c r="BP187" s="662">
        <v>0</v>
      </c>
      <c r="BQ187" s="662">
        <v>0</v>
      </c>
      <c r="BR187" s="662">
        <v>118758</v>
      </c>
      <c r="BS187" s="662">
        <v>243</v>
      </c>
      <c r="BT187" s="662">
        <v>0</v>
      </c>
      <c r="BU187" s="662">
        <v>233</v>
      </c>
      <c r="BV187" s="662">
        <v>40600</v>
      </c>
      <c r="BW187" s="662">
        <v>0</v>
      </c>
      <c r="BX187" s="662">
        <v>0</v>
      </c>
      <c r="BY187" s="662">
        <v>40600</v>
      </c>
      <c r="BZ187" s="662">
        <v>187</v>
      </c>
      <c r="CA187" s="662">
        <v>0</v>
      </c>
      <c r="CB187" s="662">
        <v>181</v>
      </c>
      <c r="CC187" s="662">
        <v>36723</v>
      </c>
      <c r="CD187" s="662">
        <v>0</v>
      </c>
      <c r="CE187" s="662">
        <v>0</v>
      </c>
      <c r="CF187" s="662">
        <v>36039</v>
      </c>
      <c r="CG187" s="662">
        <v>440</v>
      </c>
      <c r="CH187" s="662">
        <v>0</v>
      </c>
      <c r="CI187" s="662">
        <v>436</v>
      </c>
      <c r="CJ187" s="662">
        <v>65880</v>
      </c>
      <c r="CK187" s="662">
        <v>0</v>
      </c>
      <c r="CL187" s="662">
        <v>0</v>
      </c>
      <c r="CM187" s="662">
        <v>61380</v>
      </c>
      <c r="CN187" s="662">
        <v>538</v>
      </c>
      <c r="CO187" s="662">
        <v>0</v>
      </c>
      <c r="CP187" s="662">
        <v>536</v>
      </c>
      <c r="CQ187" s="662">
        <v>132980</v>
      </c>
      <c r="CR187" s="662">
        <v>0</v>
      </c>
      <c r="CS187" s="662">
        <v>0</v>
      </c>
      <c r="CT187" s="662">
        <v>131930</v>
      </c>
      <c r="CU187" s="662">
        <v>240</v>
      </c>
      <c r="CV187" s="662">
        <v>0</v>
      </c>
      <c r="CW187" s="662">
        <v>240</v>
      </c>
      <c r="CX187" s="662">
        <v>42400</v>
      </c>
      <c r="CY187" s="662">
        <v>0</v>
      </c>
      <c r="CZ187" s="662">
        <v>0</v>
      </c>
      <c r="DA187" s="662">
        <v>42400</v>
      </c>
      <c r="DB187" s="662">
        <v>3527</v>
      </c>
      <c r="DC187" s="662">
        <v>0</v>
      </c>
      <c r="DD187" s="662">
        <v>3438</v>
      </c>
      <c r="DE187" s="662">
        <v>719930</v>
      </c>
      <c r="DF187" s="662">
        <v>0</v>
      </c>
      <c r="DG187" s="662">
        <v>0</v>
      </c>
      <c r="DH187" s="662">
        <v>713700</v>
      </c>
      <c r="DI187" s="662">
        <v>235</v>
      </c>
      <c r="DJ187" s="662">
        <v>0</v>
      </c>
      <c r="DK187" s="662">
        <v>235</v>
      </c>
      <c r="DL187" s="662">
        <v>44800</v>
      </c>
      <c r="DM187" s="662">
        <v>0</v>
      </c>
      <c r="DN187" s="662">
        <v>0</v>
      </c>
      <c r="DO187" s="662">
        <v>43510</v>
      </c>
      <c r="DP187" s="662">
        <v>425</v>
      </c>
      <c r="DQ187" s="662">
        <v>0</v>
      </c>
      <c r="DR187" s="662">
        <v>411</v>
      </c>
      <c r="DS187" s="662">
        <v>84108</v>
      </c>
      <c r="DT187" s="662">
        <v>0</v>
      </c>
      <c r="DU187" s="662">
        <v>0</v>
      </c>
      <c r="DV187" s="662">
        <v>83888</v>
      </c>
      <c r="DW187" s="662">
        <v>526</v>
      </c>
      <c r="DX187" s="662">
        <v>0</v>
      </c>
      <c r="DY187" s="662">
        <v>525</v>
      </c>
      <c r="DZ187" s="662">
        <v>84485</v>
      </c>
      <c r="EA187" s="662">
        <v>0</v>
      </c>
      <c r="EB187" s="662">
        <v>0</v>
      </c>
      <c r="EC187" s="662">
        <v>81615</v>
      </c>
      <c r="ED187" s="662">
        <v>699</v>
      </c>
      <c r="EE187" s="662">
        <v>0</v>
      </c>
      <c r="EF187" s="662">
        <v>686</v>
      </c>
      <c r="EG187" s="662">
        <v>144496</v>
      </c>
      <c r="EH187" s="662">
        <v>0</v>
      </c>
      <c r="EI187" s="662">
        <v>0</v>
      </c>
      <c r="EJ187" s="662">
        <v>141805</v>
      </c>
      <c r="EK187" s="662">
        <v>189</v>
      </c>
      <c r="EL187" s="662">
        <v>0</v>
      </c>
      <c r="EM187" s="662">
        <v>184</v>
      </c>
      <c r="EN187" s="662">
        <v>33776</v>
      </c>
      <c r="EO187" s="662">
        <v>0</v>
      </c>
      <c r="EP187" s="662">
        <v>0</v>
      </c>
      <c r="EQ187" s="662">
        <v>32586</v>
      </c>
    </row>
    <row r="188" spans="1:147" ht="20.7" customHeight="1" x14ac:dyDescent="0.3">
      <c r="A188" s="660" t="s">
        <v>1844</v>
      </c>
      <c r="B188" s="661" t="s">
        <v>269</v>
      </c>
      <c r="C188" s="662">
        <v>0</v>
      </c>
      <c r="D188" s="662">
        <v>0</v>
      </c>
      <c r="E188" s="662">
        <v>0</v>
      </c>
      <c r="F188" s="662">
        <v>0</v>
      </c>
      <c r="G188" s="662">
        <v>0</v>
      </c>
      <c r="H188" s="662">
        <v>0</v>
      </c>
      <c r="I188" s="662">
        <v>0</v>
      </c>
      <c r="J188" s="802">
        <v>0</v>
      </c>
      <c r="K188" s="662">
        <v>0</v>
      </c>
      <c r="L188" s="662">
        <v>0</v>
      </c>
      <c r="M188" s="662">
        <v>0</v>
      </c>
      <c r="N188" s="662">
        <v>0</v>
      </c>
      <c r="O188" s="662">
        <v>0</v>
      </c>
      <c r="P188" s="662">
        <v>0</v>
      </c>
      <c r="Q188" s="802">
        <v>0</v>
      </c>
      <c r="R188" s="662">
        <v>0</v>
      </c>
      <c r="S188" s="662">
        <v>0</v>
      </c>
      <c r="T188" s="662">
        <v>0</v>
      </c>
      <c r="U188" s="662">
        <v>0</v>
      </c>
      <c r="V188" s="662">
        <v>0</v>
      </c>
      <c r="W188" s="802">
        <v>0</v>
      </c>
      <c r="X188" s="662">
        <v>0</v>
      </c>
      <c r="Y188" s="662">
        <v>0</v>
      </c>
      <c r="Z188" s="662">
        <v>0</v>
      </c>
      <c r="AA188" s="662">
        <v>0</v>
      </c>
      <c r="AB188" s="662">
        <v>0</v>
      </c>
      <c r="AC188" s="662">
        <v>0</v>
      </c>
      <c r="AD188" s="802">
        <v>0</v>
      </c>
      <c r="AE188" s="662">
        <v>0</v>
      </c>
      <c r="AF188" s="662">
        <v>0</v>
      </c>
      <c r="AG188" s="662">
        <v>0</v>
      </c>
      <c r="AH188" s="662">
        <v>0</v>
      </c>
      <c r="AI188" s="662">
        <v>0</v>
      </c>
      <c r="AJ188" s="662">
        <v>0</v>
      </c>
      <c r="AK188" s="802">
        <v>0</v>
      </c>
      <c r="AL188" s="662">
        <v>0</v>
      </c>
      <c r="AM188" s="662">
        <v>0</v>
      </c>
      <c r="AN188" s="662">
        <v>0</v>
      </c>
      <c r="AO188" s="662">
        <v>0</v>
      </c>
      <c r="AP188" s="662">
        <v>0</v>
      </c>
      <c r="AQ188" s="802">
        <v>0</v>
      </c>
      <c r="AR188" s="662">
        <v>0</v>
      </c>
      <c r="AS188" s="662">
        <v>0</v>
      </c>
      <c r="AT188" s="662">
        <v>0</v>
      </c>
      <c r="AU188" s="662">
        <v>0</v>
      </c>
      <c r="AV188" s="662">
        <v>0</v>
      </c>
      <c r="AW188" s="662">
        <v>0</v>
      </c>
      <c r="AX188" s="662">
        <v>0</v>
      </c>
      <c r="AY188" s="662">
        <v>0</v>
      </c>
      <c r="AZ188" s="662">
        <v>0</v>
      </c>
      <c r="BA188" s="662">
        <v>0</v>
      </c>
      <c r="BB188" s="662">
        <v>0</v>
      </c>
      <c r="BC188" s="662">
        <v>0</v>
      </c>
      <c r="BD188" s="662">
        <v>0</v>
      </c>
      <c r="BE188" s="802">
        <v>0</v>
      </c>
      <c r="BF188" s="662">
        <v>0</v>
      </c>
      <c r="BG188" s="662">
        <v>0</v>
      </c>
      <c r="BH188" s="662">
        <v>0</v>
      </c>
      <c r="BI188" s="662">
        <v>0</v>
      </c>
      <c r="BJ188" s="662">
        <v>0</v>
      </c>
      <c r="BK188" s="662">
        <v>0</v>
      </c>
      <c r="BL188" s="662">
        <v>0</v>
      </c>
      <c r="BM188" s="662">
        <v>0</v>
      </c>
      <c r="BN188" s="662">
        <v>0</v>
      </c>
      <c r="BO188" s="662">
        <v>0</v>
      </c>
      <c r="BP188" s="662">
        <v>0</v>
      </c>
      <c r="BQ188" s="662">
        <v>0</v>
      </c>
      <c r="BR188" s="662">
        <v>0</v>
      </c>
      <c r="BS188" s="662">
        <v>0</v>
      </c>
      <c r="BT188" s="662">
        <v>0</v>
      </c>
      <c r="BU188" s="662">
        <v>0</v>
      </c>
      <c r="BV188" s="662">
        <v>0</v>
      </c>
      <c r="BW188" s="662">
        <v>0</v>
      </c>
      <c r="BX188" s="662">
        <v>0</v>
      </c>
      <c r="BY188" s="662">
        <v>0</v>
      </c>
      <c r="BZ188" s="662">
        <v>0</v>
      </c>
      <c r="CA188" s="662">
        <v>0</v>
      </c>
      <c r="CB188" s="662">
        <v>0</v>
      </c>
      <c r="CC188" s="662">
        <v>0</v>
      </c>
      <c r="CD188" s="662">
        <v>0</v>
      </c>
      <c r="CE188" s="662">
        <v>0</v>
      </c>
      <c r="CF188" s="662">
        <v>0</v>
      </c>
      <c r="CG188" s="662">
        <v>0</v>
      </c>
      <c r="CH188" s="662">
        <v>0</v>
      </c>
      <c r="CI188" s="662">
        <v>0</v>
      </c>
      <c r="CJ188" s="662">
        <v>0</v>
      </c>
      <c r="CK188" s="662">
        <v>0</v>
      </c>
      <c r="CL188" s="662">
        <v>0</v>
      </c>
      <c r="CM188" s="662">
        <v>0</v>
      </c>
      <c r="CN188" s="662">
        <v>0</v>
      </c>
      <c r="CO188" s="662">
        <v>0</v>
      </c>
      <c r="CP188" s="662">
        <v>0</v>
      </c>
      <c r="CQ188" s="662">
        <v>0</v>
      </c>
      <c r="CR188" s="662">
        <v>0</v>
      </c>
      <c r="CS188" s="662">
        <v>0</v>
      </c>
      <c r="CT188" s="662">
        <v>0</v>
      </c>
      <c r="CU188" s="662">
        <v>0</v>
      </c>
      <c r="CV188" s="662">
        <v>0</v>
      </c>
      <c r="CW188" s="662">
        <v>0</v>
      </c>
      <c r="CX188" s="662">
        <v>0</v>
      </c>
      <c r="CY188" s="662">
        <v>0</v>
      </c>
      <c r="CZ188" s="662">
        <v>0</v>
      </c>
      <c r="DA188" s="662">
        <v>0</v>
      </c>
      <c r="DB188" s="662">
        <v>0</v>
      </c>
      <c r="DC188" s="662">
        <v>0</v>
      </c>
      <c r="DD188" s="662">
        <v>0</v>
      </c>
      <c r="DE188" s="662">
        <v>0</v>
      </c>
      <c r="DF188" s="662">
        <v>0</v>
      </c>
      <c r="DG188" s="662">
        <v>0</v>
      </c>
      <c r="DH188" s="662">
        <v>0</v>
      </c>
      <c r="DI188" s="662">
        <v>0</v>
      </c>
      <c r="DJ188" s="662">
        <v>0</v>
      </c>
      <c r="DK188" s="662">
        <v>0</v>
      </c>
      <c r="DL188" s="662">
        <v>0</v>
      </c>
      <c r="DM188" s="662">
        <v>0</v>
      </c>
      <c r="DN188" s="662">
        <v>0</v>
      </c>
      <c r="DO188" s="662">
        <v>0</v>
      </c>
      <c r="DP188" s="662">
        <v>0</v>
      </c>
      <c r="DQ188" s="662">
        <v>0</v>
      </c>
      <c r="DR188" s="662">
        <v>0</v>
      </c>
      <c r="DS188" s="662">
        <v>0</v>
      </c>
      <c r="DT188" s="662">
        <v>0</v>
      </c>
      <c r="DU188" s="662">
        <v>0</v>
      </c>
      <c r="DV188" s="662">
        <v>0</v>
      </c>
      <c r="DW188" s="662">
        <v>0</v>
      </c>
      <c r="DX188" s="662">
        <v>0</v>
      </c>
      <c r="DY188" s="662">
        <v>0</v>
      </c>
      <c r="DZ188" s="662">
        <v>0</v>
      </c>
      <c r="EA188" s="662">
        <v>0</v>
      </c>
      <c r="EB188" s="662">
        <v>0</v>
      </c>
      <c r="EC188" s="662">
        <v>0</v>
      </c>
      <c r="ED188" s="662">
        <v>0</v>
      </c>
      <c r="EE188" s="662">
        <v>0</v>
      </c>
      <c r="EF188" s="662">
        <v>0</v>
      </c>
      <c r="EG188" s="662">
        <v>0</v>
      </c>
      <c r="EH188" s="662">
        <v>0</v>
      </c>
      <c r="EI188" s="662">
        <v>0</v>
      </c>
      <c r="EJ188" s="662">
        <v>0</v>
      </c>
      <c r="EK188" s="662">
        <v>0</v>
      </c>
      <c r="EL188" s="662">
        <v>0</v>
      </c>
      <c r="EM188" s="662">
        <v>0</v>
      </c>
      <c r="EN188" s="662">
        <v>0</v>
      </c>
      <c r="EO188" s="662">
        <v>0</v>
      </c>
      <c r="EP188" s="662">
        <v>0</v>
      </c>
      <c r="EQ188" s="662">
        <v>0</v>
      </c>
    </row>
    <row r="189" spans="1:147" ht="20.7" customHeight="1" x14ac:dyDescent="0.3">
      <c r="A189" s="660" t="s">
        <v>1845</v>
      </c>
      <c r="B189" s="661" t="s">
        <v>269</v>
      </c>
      <c r="C189" s="662">
        <v>0</v>
      </c>
      <c r="D189" s="662">
        <v>0</v>
      </c>
      <c r="E189" s="662">
        <v>0</v>
      </c>
      <c r="F189" s="662">
        <v>0</v>
      </c>
      <c r="G189" s="662">
        <v>0</v>
      </c>
      <c r="H189" s="662">
        <v>0</v>
      </c>
      <c r="I189" s="662">
        <v>0</v>
      </c>
      <c r="J189" s="802">
        <v>0</v>
      </c>
      <c r="K189" s="662">
        <v>0</v>
      </c>
      <c r="L189" s="662">
        <v>0</v>
      </c>
      <c r="M189" s="662">
        <v>0</v>
      </c>
      <c r="N189" s="662">
        <v>0</v>
      </c>
      <c r="O189" s="662">
        <v>0</v>
      </c>
      <c r="P189" s="662">
        <v>0</v>
      </c>
      <c r="Q189" s="802">
        <v>0</v>
      </c>
      <c r="R189" s="662">
        <v>0</v>
      </c>
      <c r="S189" s="662">
        <v>0</v>
      </c>
      <c r="T189" s="662">
        <v>0</v>
      </c>
      <c r="U189" s="662">
        <v>0</v>
      </c>
      <c r="V189" s="662">
        <v>0</v>
      </c>
      <c r="W189" s="802">
        <v>0</v>
      </c>
      <c r="X189" s="662">
        <v>0</v>
      </c>
      <c r="Y189" s="662">
        <v>0</v>
      </c>
      <c r="Z189" s="662">
        <v>0</v>
      </c>
      <c r="AA189" s="662">
        <v>0</v>
      </c>
      <c r="AB189" s="662">
        <v>0</v>
      </c>
      <c r="AC189" s="662">
        <v>0</v>
      </c>
      <c r="AD189" s="802">
        <v>0</v>
      </c>
      <c r="AE189" s="662">
        <v>0</v>
      </c>
      <c r="AF189" s="662">
        <v>0</v>
      </c>
      <c r="AG189" s="662">
        <v>0</v>
      </c>
      <c r="AH189" s="662">
        <v>0</v>
      </c>
      <c r="AI189" s="662">
        <v>0</v>
      </c>
      <c r="AJ189" s="662">
        <v>0</v>
      </c>
      <c r="AK189" s="802">
        <v>0</v>
      </c>
      <c r="AL189" s="662">
        <v>0</v>
      </c>
      <c r="AM189" s="662">
        <v>0</v>
      </c>
      <c r="AN189" s="662">
        <v>0</v>
      </c>
      <c r="AO189" s="662">
        <v>0</v>
      </c>
      <c r="AP189" s="662">
        <v>0</v>
      </c>
      <c r="AQ189" s="802">
        <v>0</v>
      </c>
      <c r="AR189" s="662">
        <v>0</v>
      </c>
      <c r="AS189" s="662">
        <v>0</v>
      </c>
      <c r="AT189" s="662">
        <v>0</v>
      </c>
      <c r="AU189" s="662">
        <v>0</v>
      </c>
      <c r="AV189" s="662">
        <v>0</v>
      </c>
      <c r="AW189" s="662">
        <v>0</v>
      </c>
      <c r="AX189" s="662">
        <v>0</v>
      </c>
      <c r="AY189" s="662">
        <v>0</v>
      </c>
      <c r="AZ189" s="662">
        <v>0</v>
      </c>
      <c r="BA189" s="662">
        <v>0</v>
      </c>
      <c r="BB189" s="662">
        <v>0</v>
      </c>
      <c r="BC189" s="662">
        <v>0</v>
      </c>
      <c r="BD189" s="662">
        <v>0</v>
      </c>
      <c r="BE189" s="802">
        <v>0</v>
      </c>
      <c r="BF189" s="662">
        <v>0</v>
      </c>
      <c r="BG189" s="662">
        <v>0</v>
      </c>
      <c r="BH189" s="662">
        <v>0</v>
      </c>
      <c r="BI189" s="662">
        <v>0</v>
      </c>
      <c r="BJ189" s="662">
        <v>0</v>
      </c>
      <c r="BK189" s="662">
        <v>0</v>
      </c>
      <c r="BL189" s="662">
        <v>0</v>
      </c>
      <c r="BM189" s="662">
        <v>0</v>
      </c>
      <c r="BN189" s="662">
        <v>0</v>
      </c>
      <c r="BO189" s="662">
        <v>0</v>
      </c>
      <c r="BP189" s="662">
        <v>0</v>
      </c>
      <c r="BQ189" s="662">
        <v>0</v>
      </c>
      <c r="BR189" s="662">
        <v>0</v>
      </c>
      <c r="BS189" s="662">
        <v>0</v>
      </c>
      <c r="BT189" s="662">
        <v>0</v>
      </c>
      <c r="BU189" s="662">
        <v>0</v>
      </c>
      <c r="BV189" s="662">
        <v>0</v>
      </c>
      <c r="BW189" s="662">
        <v>0</v>
      </c>
      <c r="BX189" s="662">
        <v>0</v>
      </c>
      <c r="BY189" s="662">
        <v>0</v>
      </c>
      <c r="BZ189" s="662">
        <v>0</v>
      </c>
      <c r="CA189" s="662">
        <v>0</v>
      </c>
      <c r="CB189" s="662">
        <v>0</v>
      </c>
      <c r="CC189" s="662">
        <v>0</v>
      </c>
      <c r="CD189" s="662">
        <v>0</v>
      </c>
      <c r="CE189" s="662">
        <v>0</v>
      </c>
      <c r="CF189" s="662">
        <v>0</v>
      </c>
      <c r="CG189" s="662">
        <v>0</v>
      </c>
      <c r="CH189" s="662">
        <v>0</v>
      </c>
      <c r="CI189" s="662">
        <v>0</v>
      </c>
      <c r="CJ189" s="662">
        <v>0</v>
      </c>
      <c r="CK189" s="662">
        <v>0</v>
      </c>
      <c r="CL189" s="662">
        <v>0</v>
      </c>
      <c r="CM189" s="662">
        <v>0</v>
      </c>
      <c r="CN189" s="662">
        <v>0</v>
      </c>
      <c r="CO189" s="662">
        <v>0</v>
      </c>
      <c r="CP189" s="662">
        <v>0</v>
      </c>
      <c r="CQ189" s="662">
        <v>0</v>
      </c>
      <c r="CR189" s="662">
        <v>0</v>
      </c>
      <c r="CS189" s="662">
        <v>0</v>
      </c>
      <c r="CT189" s="662">
        <v>0</v>
      </c>
      <c r="CU189" s="662">
        <v>0</v>
      </c>
      <c r="CV189" s="662">
        <v>0</v>
      </c>
      <c r="CW189" s="662">
        <v>0</v>
      </c>
      <c r="CX189" s="662">
        <v>0</v>
      </c>
      <c r="CY189" s="662">
        <v>0</v>
      </c>
      <c r="CZ189" s="662">
        <v>0</v>
      </c>
      <c r="DA189" s="662">
        <v>0</v>
      </c>
      <c r="DB189" s="662">
        <v>0</v>
      </c>
      <c r="DC189" s="662">
        <v>0</v>
      </c>
      <c r="DD189" s="662">
        <v>0</v>
      </c>
      <c r="DE189" s="662">
        <v>0</v>
      </c>
      <c r="DF189" s="662">
        <v>0</v>
      </c>
      <c r="DG189" s="662">
        <v>0</v>
      </c>
      <c r="DH189" s="662">
        <v>0</v>
      </c>
      <c r="DI189" s="662">
        <v>0</v>
      </c>
      <c r="DJ189" s="662">
        <v>0</v>
      </c>
      <c r="DK189" s="662">
        <v>0</v>
      </c>
      <c r="DL189" s="662">
        <v>0</v>
      </c>
      <c r="DM189" s="662">
        <v>0</v>
      </c>
      <c r="DN189" s="662">
        <v>0</v>
      </c>
      <c r="DO189" s="662">
        <v>0</v>
      </c>
      <c r="DP189" s="662">
        <v>0</v>
      </c>
      <c r="DQ189" s="662">
        <v>0</v>
      </c>
      <c r="DR189" s="662">
        <v>0</v>
      </c>
      <c r="DS189" s="662">
        <v>0</v>
      </c>
      <c r="DT189" s="662">
        <v>0</v>
      </c>
      <c r="DU189" s="662">
        <v>0</v>
      </c>
      <c r="DV189" s="662">
        <v>0</v>
      </c>
      <c r="DW189" s="662">
        <v>0</v>
      </c>
      <c r="DX189" s="662">
        <v>0</v>
      </c>
      <c r="DY189" s="662">
        <v>0</v>
      </c>
      <c r="DZ189" s="662">
        <v>0</v>
      </c>
      <c r="EA189" s="662">
        <v>0</v>
      </c>
      <c r="EB189" s="662">
        <v>0</v>
      </c>
      <c r="EC189" s="662">
        <v>0</v>
      </c>
      <c r="ED189" s="662">
        <v>0</v>
      </c>
      <c r="EE189" s="662">
        <v>0</v>
      </c>
      <c r="EF189" s="662">
        <v>0</v>
      </c>
      <c r="EG189" s="662">
        <v>0</v>
      </c>
      <c r="EH189" s="662">
        <v>0</v>
      </c>
      <c r="EI189" s="662">
        <v>0</v>
      </c>
      <c r="EJ189" s="662">
        <v>0</v>
      </c>
      <c r="EK189" s="662">
        <v>0</v>
      </c>
      <c r="EL189" s="662">
        <v>0</v>
      </c>
      <c r="EM189" s="662">
        <v>0</v>
      </c>
      <c r="EN189" s="662">
        <v>0</v>
      </c>
      <c r="EO189" s="662">
        <v>0</v>
      </c>
      <c r="EP189" s="662">
        <v>0</v>
      </c>
      <c r="EQ189" s="662">
        <v>0</v>
      </c>
    </row>
    <row r="190" spans="1:147" ht="13.95" customHeight="1" x14ac:dyDescent="0.3">
      <c r="A190" s="660" t="s">
        <v>1846</v>
      </c>
      <c r="B190" s="661" t="s">
        <v>269</v>
      </c>
      <c r="C190" s="662">
        <v>91</v>
      </c>
      <c r="D190" s="662">
        <v>0</v>
      </c>
      <c r="E190" s="662">
        <v>90</v>
      </c>
      <c r="F190" s="662">
        <v>11322</v>
      </c>
      <c r="G190" s="662">
        <v>0</v>
      </c>
      <c r="H190" s="662">
        <v>0</v>
      </c>
      <c r="I190" s="662">
        <v>11073</v>
      </c>
      <c r="J190" s="802">
        <v>0</v>
      </c>
      <c r="K190" s="662">
        <v>0</v>
      </c>
      <c r="L190" s="662">
        <v>0</v>
      </c>
      <c r="M190" s="662">
        <v>0</v>
      </c>
      <c r="N190" s="662">
        <v>0</v>
      </c>
      <c r="O190" s="662">
        <v>0</v>
      </c>
      <c r="P190" s="662">
        <v>0</v>
      </c>
      <c r="Q190" s="802">
        <v>0</v>
      </c>
      <c r="R190" s="662">
        <v>0</v>
      </c>
      <c r="S190" s="662">
        <v>0</v>
      </c>
      <c r="T190" s="662">
        <v>0</v>
      </c>
      <c r="U190" s="662">
        <v>0</v>
      </c>
      <c r="V190" s="662">
        <v>0</v>
      </c>
      <c r="W190" s="802">
        <v>0</v>
      </c>
      <c r="X190" s="662">
        <v>0</v>
      </c>
      <c r="Y190" s="662">
        <v>0</v>
      </c>
      <c r="Z190" s="662">
        <v>0</v>
      </c>
      <c r="AA190" s="662">
        <v>0</v>
      </c>
      <c r="AB190" s="662">
        <v>0</v>
      </c>
      <c r="AC190" s="662">
        <v>0</v>
      </c>
      <c r="AD190" s="802">
        <v>3</v>
      </c>
      <c r="AE190" s="662">
        <v>0</v>
      </c>
      <c r="AF190" s="662">
        <v>3</v>
      </c>
      <c r="AG190" s="662">
        <v>972</v>
      </c>
      <c r="AH190" s="662">
        <v>0</v>
      </c>
      <c r="AI190" s="662">
        <v>0</v>
      </c>
      <c r="AJ190" s="662">
        <v>972</v>
      </c>
      <c r="AK190" s="802">
        <v>24</v>
      </c>
      <c r="AL190" s="662">
        <v>24</v>
      </c>
      <c r="AM190" s="662">
        <v>2000</v>
      </c>
      <c r="AN190" s="662">
        <v>0</v>
      </c>
      <c r="AO190" s="662">
        <v>0</v>
      </c>
      <c r="AP190" s="662">
        <v>2000</v>
      </c>
      <c r="AQ190" s="802">
        <v>4</v>
      </c>
      <c r="AR190" s="662">
        <v>0</v>
      </c>
      <c r="AS190" s="662">
        <v>4</v>
      </c>
      <c r="AT190" s="662">
        <v>1680</v>
      </c>
      <c r="AU190" s="662">
        <v>0</v>
      </c>
      <c r="AV190" s="662">
        <v>0</v>
      </c>
      <c r="AW190" s="662">
        <v>1510</v>
      </c>
      <c r="AX190" s="662">
        <v>0</v>
      </c>
      <c r="AY190" s="662">
        <v>0</v>
      </c>
      <c r="AZ190" s="662">
        <v>0</v>
      </c>
      <c r="BA190" s="662">
        <v>0</v>
      </c>
      <c r="BB190" s="662">
        <v>0</v>
      </c>
      <c r="BC190" s="662">
        <v>0</v>
      </c>
      <c r="BD190" s="662">
        <v>0</v>
      </c>
      <c r="BE190" s="802">
        <v>2</v>
      </c>
      <c r="BF190" s="662">
        <v>0</v>
      </c>
      <c r="BG190" s="662">
        <v>2</v>
      </c>
      <c r="BH190" s="662">
        <v>600</v>
      </c>
      <c r="BI190" s="662">
        <v>0</v>
      </c>
      <c r="BJ190" s="662">
        <v>0</v>
      </c>
      <c r="BK190" s="662">
        <v>600</v>
      </c>
      <c r="BL190" s="662">
        <v>4</v>
      </c>
      <c r="BM190" s="662">
        <v>0</v>
      </c>
      <c r="BN190" s="662">
        <v>4</v>
      </c>
      <c r="BO190" s="662">
        <v>650</v>
      </c>
      <c r="BP190" s="662">
        <v>0</v>
      </c>
      <c r="BQ190" s="662">
        <v>0</v>
      </c>
      <c r="BR190" s="662">
        <v>648</v>
      </c>
      <c r="BS190" s="662">
        <v>0</v>
      </c>
      <c r="BT190" s="662">
        <v>0</v>
      </c>
      <c r="BU190" s="662">
        <v>0</v>
      </c>
      <c r="BV190" s="662">
        <v>0</v>
      </c>
      <c r="BW190" s="662">
        <v>0</v>
      </c>
      <c r="BX190" s="662">
        <v>0</v>
      </c>
      <c r="BY190" s="662">
        <v>0</v>
      </c>
      <c r="BZ190" s="662">
        <v>0</v>
      </c>
      <c r="CA190" s="662">
        <v>0</v>
      </c>
      <c r="CB190" s="662">
        <v>0</v>
      </c>
      <c r="CC190" s="662">
        <v>0</v>
      </c>
      <c r="CD190" s="662">
        <v>0</v>
      </c>
      <c r="CE190" s="662">
        <v>0</v>
      </c>
      <c r="CF190" s="662">
        <v>0</v>
      </c>
      <c r="CG190" s="662">
        <v>5</v>
      </c>
      <c r="CH190" s="662">
        <v>0</v>
      </c>
      <c r="CI190" s="662">
        <v>5</v>
      </c>
      <c r="CJ190" s="662">
        <v>200</v>
      </c>
      <c r="CK190" s="662">
        <v>0</v>
      </c>
      <c r="CL190" s="662">
        <v>0</v>
      </c>
      <c r="CM190" s="662">
        <v>200</v>
      </c>
      <c r="CN190" s="662">
        <v>0</v>
      </c>
      <c r="CO190" s="662">
        <v>0</v>
      </c>
      <c r="CP190" s="662">
        <v>0</v>
      </c>
      <c r="CQ190" s="662">
        <v>0</v>
      </c>
      <c r="CR190" s="662">
        <v>0</v>
      </c>
      <c r="CS190" s="662">
        <v>0</v>
      </c>
      <c r="CT190" s="662">
        <v>0</v>
      </c>
      <c r="CU190" s="662">
        <v>0</v>
      </c>
      <c r="CV190" s="662">
        <v>0</v>
      </c>
      <c r="CW190" s="662">
        <v>0</v>
      </c>
      <c r="CX190" s="662">
        <v>0</v>
      </c>
      <c r="CY190" s="662">
        <v>0</v>
      </c>
      <c r="CZ190" s="662">
        <v>0</v>
      </c>
      <c r="DA190" s="662">
        <v>0</v>
      </c>
      <c r="DB190" s="662">
        <v>0</v>
      </c>
      <c r="DC190" s="662">
        <v>0</v>
      </c>
      <c r="DD190" s="662">
        <v>0</v>
      </c>
      <c r="DE190" s="662">
        <v>0</v>
      </c>
      <c r="DF190" s="662">
        <v>0</v>
      </c>
      <c r="DG190" s="662">
        <v>0</v>
      </c>
      <c r="DH190" s="662">
        <v>0</v>
      </c>
      <c r="DI190" s="662">
        <v>17</v>
      </c>
      <c r="DJ190" s="662">
        <v>0</v>
      </c>
      <c r="DK190" s="662">
        <v>16</v>
      </c>
      <c r="DL190" s="662">
        <v>3050</v>
      </c>
      <c r="DM190" s="662">
        <v>0</v>
      </c>
      <c r="DN190" s="662">
        <v>0</v>
      </c>
      <c r="DO190" s="662">
        <v>2995</v>
      </c>
      <c r="DP190" s="662">
        <v>0</v>
      </c>
      <c r="DQ190" s="662">
        <v>0</v>
      </c>
      <c r="DR190" s="662">
        <v>0</v>
      </c>
      <c r="DS190" s="662">
        <v>0</v>
      </c>
      <c r="DT190" s="662">
        <v>0</v>
      </c>
      <c r="DU190" s="662">
        <v>0</v>
      </c>
      <c r="DV190" s="662">
        <v>0</v>
      </c>
      <c r="DW190" s="662">
        <v>1</v>
      </c>
      <c r="DX190" s="662">
        <v>0</v>
      </c>
      <c r="DY190" s="662">
        <v>1</v>
      </c>
      <c r="DZ190" s="662">
        <v>70</v>
      </c>
      <c r="EA190" s="662">
        <v>0</v>
      </c>
      <c r="EB190" s="662">
        <v>0</v>
      </c>
      <c r="EC190" s="662">
        <v>68</v>
      </c>
      <c r="ED190" s="662">
        <v>31</v>
      </c>
      <c r="EE190" s="662">
        <v>0</v>
      </c>
      <c r="EF190" s="662">
        <v>31</v>
      </c>
      <c r="EG190" s="662">
        <v>2100</v>
      </c>
      <c r="EH190" s="662">
        <v>0</v>
      </c>
      <c r="EI190" s="662">
        <v>0</v>
      </c>
      <c r="EJ190" s="662">
        <v>2080</v>
      </c>
      <c r="EK190" s="662">
        <v>0</v>
      </c>
      <c r="EL190" s="662">
        <v>0</v>
      </c>
      <c r="EM190" s="662">
        <v>0</v>
      </c>
      <c r="EN190" s="662">
        <v>0</v>
      </c>
      <c r="EO190" s="662">
        <v>0</v>
      </c>
      <c r="EP190" s="662">
        <v>0</v>
      </c>
      <c r="EQ190" s="662">
        <v>0</v>
      </c>
    </row>
    <row r="191" spans="1:147" ht="13.95" customHeight="1" x14ac:dyDescent="0.3">
      <c r="A191" s="660" t="s">
        <v>1847</v>
      </c>
      <c r="B191" s="661" t="s">
        <v>269</v>
      </c>
      <c r="C191" s="662">
        <v>30591</v>
      </c>
      <c r="D191" s="662">
        <v>0</v>
      </c>
      <c r="E191" s="662">
        <v>28705</v>
      </c>
      <c r="F191" s="662">
        <v>4590532</v>
      </c>
      <c r="G191" s="662">
        <v>0</v>
      </c>
      <c r="H191" s="662">
        <v>0</v>
      </c>
      <c r="I191" s="662">
        <v>4292873</v>
      </c>
      <c r="J191" s="802">
        <v>1410</v>
      </c>
      <c r="K191" s="662">
        <v>0</v>
      </c>
      <c r="L191" s="662">
        <v>1323</v>
      </c>
      <c r="M191" s="662">
        <v>353601</v>
      </c>
      <c r="N191" s="662">
        <v>0</v>
      </c>
      <c r="O191" s="662">
        <v>0</v>
      </c>
      <c r="P191" s="662">
        <v>224960</v>
      </c>
      <c r="Q191" s="802">
        <v>10</v>
      </c>
      <c r="R191" s="662">
        <v>10</v>
      </c>
      <c r="S191" s="662">
        <v>2000</v>
      </c>
      <c r="T191" s="662">
        <v>0</v>
      </c>
      <c r="U191" s="662">
        <v>0</v>
      </c>
      <c r="V191" s="662">
        <v>2000</v>
      </c>
      <c r="W191" s="802">
        <v>16</v>
      </c>
      <c r="X191" s="662">
        <v>0</v>
      </c>
      <c r="Y191" s="662">
        <v>16</v>
      </c>
      <c r="Z191" s="662">
        <v>1620</v>
      </c>
      <c r="AA191" s="662">
        <v>0</v>
      </c>
      <c r="AB191" s="662">
        <v>0</v>
      </c>
      <c r="AC191" s="662">
        <v>1600</v>
      </c>
      <c r="AD191" s="802">
        <v>888</v>
      </c>
      <c r="AE191" s="662">
        <v>0</v>
      </c>
      <c r="AF191" s="662">
        <v>755</v>
      </c>
      <c r="AG191" s="662">
        <v>164724</v>
      </c>
      <c r="AH191" s="662">
        <v>0</v>
      </c>
      <c r="AI191" s="662">
        <v>0</v>
      </c>
      <c r="AJ191" s="662">
        <v>98622</v>
      </c>
      <c r="AK191" s="802">
        <v>55</v>
      </c>
      <c r="AL191" s="662">
        <v>50</v>
      </c>
      <c r="AM191" s="662">
        <v>10370</v>
      </c>
      <c r="AN191" s="662">
        <v>0</v>
      </c>
      <c r="AO191" s="662">
        <v>0</v>
      </c>
      <c r="AP191" s="662">
        <v>10370</v>
      </c>
      <c r="AQ191" s="802">
        <v>2848</v>
      </c>
      <c r="AR191" s="662">
        <v>0</v>
      </c>
      <c r="AS191" s="662">
        <v>2837</v>
      </c>
      <c r="AT191" s="662">
        <v>278780</v>
      </c>
      <c r="AU191" s="662">
        <v>0</v>
      </c>
      <c r="AV191" s="662">
        <v>0</v>
      </c>
      <c r="AW191" s="662">
        <v>262040</v>
      </c>
      <c r="AX191" s="662">
        <v>154</v>
      </c>
      <c r="AY191" s="662">
        <v>0</v>
      </c>
      <c r="AZ191" s="662">
        <v>151</v>
      </c>
      <c r="BA191" s="662">
        <v>35049</v>
      </c>
      <c r="BB191" s="662">
        <v>0</v>
      </c>
      <c r="BC191" s="662">
        <v>0</v>
      </c>
      <c r="BD191" s="662">
        <v>34983</v>
      </c>
      <c r="BE191" s="802">
        <v>18808</v>
      </c>
      <c r="BF191" s="662">
        <v>0</v>
      </c>
      <c r="BG191" s="662">
        <v>17347</v>
      </c>
      <c r="BH191" s="662">
        <v>2599910</v>
      </c>
      <c r="BI191" s="662">
        <v>0</v>
      </c>
      <c r="BJ191" s="662">
        <v>0</v>
      </c>
      <c r="BK191" s="662">
        <v>2599910</v>
      </c>
      <c r="BL191" s="662">
        <v>439</v>
      </c>
      <c r="BM191" s="662">
        <v>0</v>
      </c>
      <c r="BN191" s="662">
        <v>421</v>
      </c>
      <c r="BO191" s="662">
        <v>50049</v>
      </c>
      <c r="BP191" s="662">
        <v>0</v>
      </c>
      <c r="BQ191" s="662">
        <v>0</v>
      </c>
      <c r="BR191" s="662">
        <v>48930</v>
      </c>
      <c r="BS191" s="662">
        <v>82</v>
      </c>
      <c r="BT191" s="662">
        <v>0</v>
      </c>
      <c r="BU191" s="662">
        <v>77</v>
      </c>
      <c r="BV191" s="662">
        <v>6300</v>
      </c>
      <c r="BW191" s="662">
        <v>0</v>
      </c>
      <c r="BX191" s="662">
        <v>0</v>
      </c>
      <c r="BY191" s="662">
        <v>6300</v>
      </c>
      <c r="BZ191" s="662">
        <v>64</v>
      </c>
      <c r="CA191" s="662">
        <v>0</v>
      </c>
      <c r="CB191" s="662">
        <v>61</v>
      </c>
      <c r="CC191" s="662">
        <v>10478</v>
      </c>
      <c r="CD191" s="662">
        <v>0</v>
      </c>
      <c r="CE191" s="662">
        <v>0</v>
      </c>
      <c r="CF191" s="662">
        <v>10006</v>
      </c>
      <c r="CG191" s="662">
        <v>213</v>
      </c>
      <c r="CH191" s="662">
        <v>0</v>
      </c>
      <c r="CI191" s="662">
        <v>209</v>
      </c>
      <c r="CJ191" s="662">
        <v>36230</v>
      </c>
      <c r="CK191" s="662">
        <v>0</v>
      </c>
      <c r="CL191" s="662">
        <v>0</v>
      </c>
      <c r="CM191" s="662">
        <v>30705</v>
      </c>
      <c r="CN191" s="662">
        <v>154</v>
      </c>
      <c r="CO191" s="662">
        <v>0</v>
      </c>
      <c r="CP191" s="662">
        <v>152</v>
      </c>
      <c r="CQ191" s="662">
        <v>27717</v>
      </c>
      <c r="CR191" s="662">
        <v>0</v>
      </c>
      <c r="CS191" s="662">
        <v>0</v>
      </c>
      <c r="CT191" s="662">
        <v>27437</v>
      </c>
      <c r="CU191" s="662">
        <v>65</v>
      </c>
      <c r="CV191" s="662">
        <v>0</v>
      </c>
      <c r="CW191" s="662">
        <v>65</v>
      </c>
      <c r="CX191" s="662">
        <v>10350</v>
      </c>
      <c r="CY191" s="662">
        <v>0</v>
      </c>
      <c r="CZ191" s="662">
        <v>0</v>
      </c>
      <c r="DA191" s="662">
        <v>10350</v>
      </c>
      <c r="DB191" s="662">
        <v>755</v>
      </c>
      <c r="DC191" s="662">
        <v>0</v>
      </c>
      <c r="DD191" s="662">
        <v>633</v>
      </c>
      <c r="DE191" s="662">
        <v>120245</v>
      </c>
      <c r="DF191" s="662">
        <v>0</v>
      </c>
      <c r="DG191" s="662">
        <v>0</v>
      </c>
      <c r="DH191" s="662">
        <v>117945</v>
      </c>
      <c r="DI191" s="662">
        <v>385</v>
      </c>
      <c r="DJ191" s="662">
        <v>0</v>
      </c>
      <c r="DK191" s="662">
        <v>385</v>
      </c>
      <c r="DL191" s="662">
        <v>60700</v>
      </c>
      <c r="DM191" s="662">
        <v>0</v>
      </c>
      <c r="DN191" s="662">
        <v>0</v>
      </c>
      <c r="DO191" s="662">
        <v>58000</v>
      </c>
      <c r="DP191" s="662">
        <v>455</v>
      </c>
      <c r="DQ191" s="662">
        <v>0</v>
      </c>
      <c r="DR191" s="662">
        <v>453</v>
      </c>
      <c r="DS191" s="662">
        <v>72688</v>
      </c>
      <c r="DT191" s="662">
        <v>0</v>
      </c>
      <c r="DU191" s="662">
        <v>0</v>
      </c>
      <c r="DV191" s="662">
        <v>72610</v>
      </c>
      <c r="DW191" s="662">
        <v>293</v>
      </c>
      <c r="DX191" s="662">
        <v>0</v>
      </c>
      <c r="DY191" s="662">
        <v>293</v>
      </c>
      <c r="DZ191" s="662">
        <v>45704</v>
      </c>
      <c r="EA191" s="662">
        <v>0</v>
      </c>
      <c r="EB191" s="662">
        <v>0</v>
      </c>
      <c r="EC191" s="662">
        <v>44260</v>
      </c>
      <c r="ED191" s="662">
        <v>3407</v>
      </c>
      <c r="EE191" s="662">
        <v>0</v>
      </c>
      <c r="EF191" s="662">
        <v>3377</v>
      </c>
      <c r="EG191" s="662">
        <v>692770</v>
      </c>
      <c r="EH191" s="662">
        <v>0</v>
      </c>
      <c r="EI191" s="662">
        <v>0</v>
      </c>
      <c r="EJ191" s="662">
        <v>620598</v>
      </c>
      <c r="EK191" s="662">
        <v>90</v>
      </c>
      <c r="EL191" s="662">
        <v>0</v>
      </c>
      <c r="EM191" s="662">
        <v>90</v>
      </c>
      <c r="EN191" s="662">
        <v>11247</v>
      </c>
      <c r="EO191" s="662">
        <v>0</v>
      </c>
      <c r="EP191" s="662">
        <v>0</v>
      </c>
      <c r="EQ191" s="662">
        <v>11247</v>
      </c>
    </row>
    <row r="192" spans="1:147" ht="20.7" customHeight="1" x14ac:dyDescent="0.3">
      <c r="A192" s="660" t="s">
        <v>1848</v>
      </c>
      <c r="B192" s="661" t="s">
        <v>269</v>
      </c>
      <c r="C192" s="662">
        <v>0</v>
      </c>
      <c r="D192" s="662">
        <v>0</v>
      </c>
      <c r="E192" s="662">
        <v>0</v>
      </c>
      <c r="F192" s="662">
        <v>0</v>
      </c>
      <c r="G192" s="662">
        <v>0</v>
      </c>
      <c r="H192" s="662">
        <v>0</v>
      </c>
      <c r="I192" s="662">
        <v>0</v>
      </c>
      <c r="J192" s="802">
        <v>0</v>
      </c>
      <c r="K192" s="662">
        <v>0</v>
      </c>
      <c r="L192" s="662">
        <v>0</v>
      </c>
      <c r="M192" s="662">
        <v>0</v>
      </c>
      <c r="N192" s="662">
        <v>0</v>
      </c>
      <c r="O192" s="662">
        <v>0</v>
      </c>
      <c r="P192" s="662">
        <v>0</v>
      </c>
      <c r="Q192" s="802">
        <v>0</v>
      </c>
      <c r="R192" s="662">
        <v>0</v>
      </c>
      <c r="S192" s="662">
        <v>0</v>
      </c>
      <c r="T192" s="662">
        <v>0</v>
      </c>
      <c r="U192" s="662">
        <v>0</v>
      </c>
      <c r="V192" s="662">
        <v>0</v>
      </c>
      <c r="W192" s="802">
        <v>0</v>
      </c>
      <c r="X192" s="662">
        <v>0</v>
      </c>
      <c r="Y192" s="662">
        <v>0</v>
      </c>
      <c r="Z192" s="662">
        <v>0</v>
      </c>
      <c r="AA192" s="662">
        <v>0</v>
      </c>
      <c r="AB192" s="662">
        <v>0</v>
      </c>
      <c r="AC192" s="662">
        <v>0</v>
      </c>
      <c r="AD192" s="802">
        <v>0</v>
      </c>
      <c r="AE192" s="662">
        <v>0</v>
      </c>
      <c r="AF192" s="662">
        <v>0</v>
      </c>
      <c r="AG192" s="662">
        <v>0</v>
      </c>
      <c r="AH192" s="662">
        <v>0</v>
      </c>
      <c r="AI192" s="662">
        <v>0</v>
      </c>
      <c r="AJ192" s="662">
        <v>0</v>
      </c>
      <c r="AK192" s="802">
        <v>0</v>
      </c>
      <c r="AL192" s="662">
        <v>0</v>
      </c>
      <c r="AM192" s="662">
        <v>0</v>
      </c>
      <c r="AN192" s="662">
        <v>0</v>
      </c>
      <c r="AO192" s="662">
        <v>0</v>
      </c>
      <c r="AP192" s="662">
        <v>0</v>
      </c>
      <c r="AQ192" s="802">
        <v>0</v>
      </c>
      <c r="AR192" s="662">
        <v>0</v>
      </c>
      <c r="AS192" s="662">
        <v>0</v>
      </c>
      <c r="AT192" s="662">
        <v>0</v>
      </c>
      <c r="AU192" s="662">
        <v>0</v>
      </c>
      <c r="AV192" s="662">
        <v>0</v>
      </c>
      <c r="AW192" s="662">
        <v>0</v>
      </c>
      <c r="AX192" s="662">
        <v>0</v>
      </c>
      <c r="AY192" s="662">
        <v>0</v>
      </c>
      <c r="AZ192" s="662">
        <v>0</v>
      </c>
      <c r="BA192" s="662">
        <v>0</v>
      </c>
      <c r="BB192" s="662">
        <v>0</v>
      </c>
      <c r="BC192" s="662">
        <v>0</v>
      </c>
      <c r="BD192" s="662">
        <v>0</v>
      </c>
      <c r="BE192" s="802">
        <v>0</v>
      </c>
      <c r="BF192" s="662">
        <v>0</v>
      </c>
      <c r="BG192" s="662">
        <v>0</v>
      </c>
      <c r="BH192" s="662">
        <v>0</v>
      </c>
      <c r="BI192" s="662">
        <v>0</v>
      </c>
      <c r="BJ192" s="662">
        <v>0</v>
      </c>
      <c r="BK192" s="662">
        <v>0</v>
      </c>
      <c r="BL192" s="662">
        <v>0</v>
      </c>
      <c r="BM192" s="662">
        <v>0</v>
      </c>
      <c r="BN192" s="662">
        <v>0</v>
      </c>
      <c r="BO192" s="662">
        <v>0</v>
      </c>
      <c r="BP192" s="662">
        <v>0</v>
      </c>
      <c r="BQ192" s="662">
        <v>0</v>
      </c>
      <c r="BR192" s="662">
        <v>0</v>
      </c>
      <c r="BS192" s="662">
        <v>0</v>
      </c>
      <c r="BT192" s="662">
        <v>0</v>
      </c>
      <c r="BU192" s="662">
        <v>0</v>
      </c>
      <c r="BV192" s="662">
        <v>0</v>
      </c>
      <c r="BW192" s="662">
        <v>0</v>
      </c>
      <c r="BX192" s="662">
        <v>0</v>
      </c>
      <c r="BY192" s="662">
        <v>0</v>
      </c>
      <c r="BZ192" s="662">
        <v>0</v>
      </c>
      <c r="CA192" s="662">
        <v>0</v>
      </c>
      <c r="CB192" s="662">
        <v>0</v>
      </c>
      <c r="CC192" s="662">
        <v>0</v>
      </c>
      <c r="CD192" s="662">
        <v>0</v>
      </c>
      <c r="CE192" s="662">
        <v>0</v>
      </c>
      <c r="CF192" s="662">
        <v>0</v>
      </c>
      <c r="CG192" s="662">
        <v>0</v>
      </c>
      <c r="CH192" s="662">
        <v>0</v>
      </c>
      <c r="CI192" s="662">
        <v>0</v>
      </c>
      <c r="CJ192" s="662">
        <v>0</v>
      </c>
      <c r="CK192" s="662">
        <v>0</v>
      </c>
      <c r="CL192" s="662">
        <v>0</v>
      </c>
      <c r="CM192" s="662">
        <v>0</v>
      </c>
      <c r="CN192" s="662">
        <v>0</v>
      </c>
      <c r="CO192" s="662">
        <v>0</v>
      </c>
      <c r="CP192" s="662">
        <v>0</v>
      </c>
      <c r="CQ192" s="662">
        <v>0</v>
      </c>
      <c r="CR192" s="662">
        <v>0</v>
      </c>
      <c r="CS192" s="662">
        <v>0</v>
      </c>
      <c r="CT192" s="662">
        <v>0</v>
      </c>
      <c r="CU192" s="662">
        <v>0</v>
      </c>
      <c r="CV192" s="662">
        <v>0</v>
      </c>
      <c r="CW192" s="662">
        <v>0</v>
      </c>
      <c r="CX192" s="662">
        <v>0</v>
      </c>
      <c r="CY192" s="662">
        <v>0</v>
      </c>
      <c r="CZ192" s="662">
        <v>0</v>
      </c>
      <c r="DA192" s="662">
        <v>0</v>
      </c>
      <c r="DB192" s="662">
        <v>0</v>
      </c>
      <c r="DC192" s="662">
        <v>0</v>
      </c>
      <c r="DD192" s="662">
        <v>0</v>
      </c>
      <c r="DE192" s="662">
        <v>0</v>
      </c>
      <c r="DF192" s="662">
        <v>0</v>
      </c>
      <c r="DG192" s="662">
        <v>0</v>
      </c>
      <c r="DH192" s="662">
        <v>0</v>
      </c>
      <c r="DI192" s="662">
        <v>0</v>
      </c>
      <c r="DJ192" s="662">
        <v>0</v>
      </c>
      <c r="DK192" s="662">
        <v>0</v>
      </c>
      <c r="DL192" s="662">
        <v>0</v>
      </c>
      <c r="DM192" s="662">
        <v>0</v>
      </c>
      <c r="DN192" s="662">
        <v>0</v>
      </c>
      <c r="DO192" s="662">
        <v>0</v>
      </c>
      <c r="DP192" s="662">
        <v>0</v>
      </c>
      <c r="DQ192" s="662">
        <v>0</v>
      </c>
      <c r="DR192" s="662">
        <v>0</v>
      </c>
      <c r="DS192" s="662">
        <v>0</v>
      </c>
      <c r="DT192" s="662">
        <v>0</v>
      </c>
      <c r="DU192" s="662">
        <v>0</v>
      </c>
      <c r="DV192" s="662">
        <v>0</v>
      </c>
      <c r="DW192" s="662">
        <v>0</v>
      </c>
      <c r="DX192" s="662">
        <v>0</v>
      </c>
      <c r="DY192" s="662">
        <v>0</v>
      </c>
      <c r="DZ192" s="662">
        <v>0</v>
      </c>
      <c r="EA192" s="662">
        <v>0</v>
      </c>
      <c r="EB192" s="662">
        <v>0</v>
      </c>
      <c r="EC192" s="662">
        <v>0</v>
      </c>
      <c r="ED192" s="662">
        <v>0</v>
      </c>
      <c r="EE192" s="662">
        <v>0</v>
      </c>
      <c r="EF192" s="662">
        <v>0</v>
      </c>
      <c r="EG192" s="662">
        <v>0</v>
      </c>
      <c r="EH192" s="662">
        <v>0</v>
      </c>
      <c r="EI192" s="662">
        <v>0</v>
      </c>
      <c r="EJ192" s="662">
        <v>0</v>
      </c>
      <c r="EK192" s="662">
        <v>0</v>
      </c>
      <c r="EL192" s="662">
        <v>0</v>
      </c>
      <c r="EM192" s="662">
        <v>0</v>
      </c>
      <c r="EN192" s="662">
        <v>0</v>
      </c>
      <c r="EO192" s="662">
        <v>0</v>
      </c>
      <c r="EP192" s="662">
        <v>0</v>
      </c>
      <c r="EQ192" s="662">
        <v>0</v>
      </c>
    </row>
    <row r="193" spans="1:147" ht="20.7" customHeight="1" x14ac:dyDescent="0.3">
      <c r="A193" s="660" t="s">
        <v>1849</v>
      </c>
      <c r="B193" s="661" t="s">
        <v>269</v>
      </c>
      <c r="C193" s="662">
        <v>0</v>
      </c>
      <c r="D193" s="662">
        <v>0</v>
      </c>
      <c r="E193" s="662">
        <v>0</v>
      </c>
      <c r="F193" s="662">
        <v>0</v>
      </c>
      <c r="G193" s="662">
        <v>0</v>
      </c>
      <c r="H193" s="662">
        <v>0</v>
      </c>
      <c r="I193" s="662">
        <v>0</v>
      </c>
      <c r="J193" s="802">
        <v>0</v>
      </c>
      <c r="K193" s="662">
        <v>0</v>
      </c>
      <c r="L193" s="662">
        <v>0</v>
      </c>
      <c r="M193" s="662">
        <v>0</v>
      </c>
      <c r="N193" s="662">
        <v>0</v>
      </c>
      <c r="O193" s="662">
        <v>0</v>
      </c>
      <c r="P193" s="662">
        <v>0</v>
      </c>
      <c r="Q193" s="802">
        <v>0</v>
      </c>
      <c r="R193" s="662">
        <v>0</v>
      </c>
      <c r="S193" s="662">
        <v>0</v>
      </c>
      <c r="T193" s="662">
        <v>0</v>
      </c>
      <c r="U193" s="662">
        <v>0</v>
      </c>
      <c r="V193" s="662">
        <v>0</v>
      </c>
      <c r="W193" s="802">
        <v>0</v>
      </c>
      <c r="X193" s="662">
        <v>0</v>
      </c>
      <c r="Y193" s="662">
        <v>0</v>
      </c>
      <c r="Z193" s="662">
        <v>0</v>
      </c>
      <c r="AA193" s="662">
        <v>0</v>
      </c>
      <c r="AB193" s="662">
        <v>0</v>
      </c>
      <c r="AC193" s="662">
        <v>0</v>
      </c>
      <c r="AD193" s="802">
        <v>0</v>
      </c>
      <c r="AE193" s="662">
        <v>0</v>
      </c>
      <c r="AF193" s="662">
        <v>0</v>
      </c>
      <c r="AG193" s="662">
        <v>0</v>
      </c>
      <c r="AH193" s="662">
        <v>0</v>
      </c>
      <c r="AI193" s="662">
        <v>0</v>
      </c>
      <c r="AJ193" s="662">
        <v>0</v>
      </c>
      <c r="AK193" s="802">
        <v>0</v>
      </c>
      <c r="AL193" s="662">
        <v>0</v>
      </c>
      <c r="AM193" s="662">
        <v>0</v>
      </c>
      <c r="AN193" s="662">
        <v>0</v>
      </c>
      <c r="AO193" s="662">
        <v>0</v>
      </c>
      <c r="AP193" s="662">
        <v>0</v>
      </c>
      <c r="AQ193" s="802">
        <v>0</v>
      </c>
      <c r="AR193" s="662">
        <v>0</v>
      </c>
      <c r="AS193" s="662">
        <v>0</v>
      </c>
      <c r="AT193" s="662">
        <v>0</v>
      </c>
      <c r="AU193" s="662">
        <v>0</v>
      </c>
      <c r="AV193" s="662">
        <v>0</v>
      </c>
      <c r="AW193" s="662">
        <v>0</v>
      </c>
      <c r="AX193" s="662">
        <v>0</v>
      </c>
      <c r="AY193" s="662">
        <v>0</v>
      </c>
      <c r="AZ193" s="662">
        <v>0</v>
      </c>
      <c r="BA193" s="662">
        <v>0</v>
      </c>
      <c r="BB193" s="662">
        <v>0</v>
      </c>
      <c r="BC193" s="662">
        <v>0</v>
      </c>
      <c r="BD193" s="662">
        <v>0</v>
      </c>
      <c r="BE193" s="802">
        <v>0</v>
      </c>
      <c r="BF193" s="662">
        <v>0</v>
      </c>
      <c r="BG193" s="662">
        <v>0</v>
      </c>
      <c r="BH193" s="662">
        <v>0</v>
      </c>
      <c r="BI193" s="662">
        <v>0</v>
      </c>
      <c r="BJ193" s="662">
        <v>0</v>
      </c>
      <c r="BK193" s="662">
        <v>0</v>
      </c>
      <c r="BL193" s="662">
        <v>0</v>
      </c>
      <c r="BM193" s="662">
        <v>0</v>
      </c>
      <c r="BN193" s="662">
        <v>0</v>
      </c>
      <c r="BO193" s="662">
        <v>0</v>
      </c>
      <c r="BP193" s="662">
        <v>0</v>
      </c>
      <c r="BQ193" s="662">
        <v>0</v>
      </c>
      <c r="BR193" s="662">
        <v>0</v>
      </c>
      <c r="BS193" s="662">
        <v>0</v>
      </c>
      <c r="BT193" s="662">
        <v>0</v>
      </c>
      <c r="BU193" s="662">
        <v>0</v>
      </c>
      <c r="BV193" s="662">
        <v>0</v>
      </c>
      <c r="BW193" s="662">
        <v>0</v>
      </c>
      <c r="BX193" s="662">
        <v>0</v>
      </c>
      <c r="BY193" s="662">
        <v>0</v>
      </c>
      <c r="BZ193" s="662">
        <v>0</v>
      </c>
      <c r="CA193" s="662">
        <v>0</v>
      </c>
      <c r="CB193" s="662">
        <v>0</v>
      </c>
      <c r="CC193" s="662">
        <v>0</v>
      </c>
      <c r="CD193" s="662">
        <v>0</v>
      </c>
      <c r="CE193" s="662">
        <v>0</v>
      </c>
      <c r="CF193" s="662">
        <v>0</v>
      </c>
      <c r="CG193" s="662">
        <v>0</v>
      </c>
      <c r="CH193" s="662">
        <v>0</v>
      </c>
      <c r="CI193" s="662">
        <v>0</v>
      </c>
      <c r="CJ193" s="662">
        <v>0</v>
      </c>
      <c r="CK193" s="662">
        <v>0</v>
      </c>
      <c r="CL193" s="662">
        <v>0</v>
      </c>
      <c r="CM193" s="662">
        <v>0</v>
      </c>
      <c r="CN193" s="662">
        <v>0</v>
      </c>
      <c r="CO193" s="662">
        <v>0</v>
      </c>
      <c r="CP193" s="662">
        <v>0</v>
      </c>
      <c r="CQ193" s="662">
        <v>0</v>
      </c>
      <c r="CR193" s="662">
        <v>0</v>
      </c>
      <c r="CS193" s="662">
        <v>0</v>
      </c>
      <c r="CT193" s="662">
        <v>0</v>
      </c>
      <c r="CU193" s="662">
        <v>0</v>
      </c>
      <c r="CV193" s="662">
        <v>0</v>
      </c>
      <c r="CW193" s="662">
        <v>0</v>
      </c>
      <c r="CX193" s="662">
        <v>0</v>
      </c>
      <c r="CY193" s="662">
        <v>0</v>
      </c>
      <c r="CZ193" s="662">
        <v>0</v>
      </c>
      <c r="DA193" s="662">
        <v>0</v>
      </c>
      <c r="DB193" s="662">
        <v>0</v>
      </c>
      <c r="DC193" s="662">
        <v>0</v>
      </c>
      <c r="DD193" s="662">
        <v>0</v>
      </c>
      <c r="DE193" s="662">
        <v>0</v>
      </c>
      <c r="DF193" s="662">
        <v>0</v>
      </c>
      <c r="DG193" s="662">
        <v>0</v>
      </c>
      <c r="DH193" s="662">
        <v>0</v>
      </c>
      <c r="DI193" s="662">
        <v>0</v>
      </c>
      <c r="DJ193" s="662">
        <v>0</v>
      </c>
      <c r="DK193" s="662">
        <v>0</v>
      </c>
      <c r="DL193" s="662">
        <v>0</v>
      </c>
      <c r="DM193" s="662">
        <v>0</v>
      </c>
      <c r="DN193" s="662">
        <v>0</v>
      </c>
      <c r="DO193" s="662">
        <v>0</v>
      </c>
      <c r="DP193" s="662">
        <v>0</v>
      </c>
      <c r="DQ193" s="662">
        <v>0</v>
      </c>
      <c r="DR193" s="662">
        <v>0</v>
      </c>
      <c r="DS193" s="662">
        <v>0</v>
      </c>
      <c r="DT193" s="662">
        <v>0</v>
      </c>
      <c r="DU193" s="662">
        <v>0</v>
      </c>
      <c r="DV193" s="662">
        <v>0</v>
      </c>
      <c r="DW193" s="662">
        <v>0</v>
      </c>
      <c r="DX193" s="662">
        <v>0</v>
      </c>
      <c r="DY193" s="662">
        <v>0</v>
      </c>
      <c r="DZ193" s="662">
        <v>0</v>
      </c>
      <c r="EA193" s="662">
        <v>0</v>
      </c>
      <c r="EB193" s="662">
        <v>0</v>
      </c>
      <c r="EC193" s="662">
        <v>0</v>
      </c>
      <c r="ED193" s="662">
        <v>0</v>
      </c>
      <c r="EE193" s="662">
        <v>0</v>
      </c>
      <c r="EF193" s="662">
        <v>0</v>
      </c>
      <c r="EG193" s="662">
        <v>0</v>
      </c>
      <c r="EH193" s="662">
        <v>0</v>
      </c>
      <c r="EI193" s="662">
        <v>0</v>
      </c>
      <c r="EJ193" s="662">
        <v>0</v>
      </c>
      <c r="EK193" s="662">
        <v>0</v>
      </c>
      <c r="EL193" s="662">
        <v>0</v>
      </c>
      <c r="EM193" s="662">
        <v>0</v>
      </c>
      <c r="EN193" s="662">
        <v>0</v>
      </c>
      <c r="EO193" s="662">
        <v>0</v>
      </c>
      <c r="EP193" s="662">
        <v>0</v>
      </c>
      <c r="EQ193" s="662">
        <v>0</v>
      </c>
    </row>
    <row r="194" spans="1:147" ht="13.95" customHeight="1" x14ac:dyDescent="0.3">
      <c r="A194" s="660" t="s">
        <v>1850</v>
      </c>
      <c r="B194" s="661" t="s">
        <v>269</v>
      </c>
      <c r="C194" s="662">
        <v>42835</v>
      </c>
      <c r="D194" s="662">
        <v>0</v>
      </c>
      <c r="E194" s="662">
        <v>41933</v>
      </c>
      <c r="F194" s="662">
        <v>8534722</v>
      </c>
      <c r="G194" s="662">
        <v>0</v>
      </c>
      <c r="H194" s="662">
        <v>0</v>
      </c>
      <c r="I194" s="662">
        <v>8098899</v>
      </c>
      <c r="J194" s="802">
        <v>1609</v>
      </c>
      <c r="K194" s="662">
        <v>0</v>
      </c>
      <c r="L194" s="662">
        <v>1585</v>
      </c>
      <c r="M194" s="662">
        <v>331265</v>
      </c>
      <c r="N194" s="662">
        <v>0</v>
      </c>
      <c r="O194" s="662">
        <v>0</v>
      </c>
      <c r="P194" s="662">
        <v>305400</v>
      </c>
      <c r="Q194" s="802">
        <v>0</v>
      </c>
      <c r="R194" s="662">
        <v>0</v>
      </c>
      <c r="S194" s="662">
        <v>0</v>
      </c>
      <c r="T194" s="662">
        <v>0</v>
      </c>
      <c r="U194" s="662">
        <v>0</v>
      </c>
      <c r="V194" s="662">
        <v>0</v>
      </c>
      <c r="W194" s="802">
        <v>109</v>
      </c>
      <c r="X194" s="662">
        <v>0</v>
      </c>
      <c r="Y194" s="662">
        <v>108</v>
      </c>
      <c r="Z194" s="662">
        <v>9240</v>
      </c>
      <c r="AA194" s="662">
        <v>0</v>
      </c>
      <c r="AB194" s="662">
        <v>0</v>
      </c>
      <c r="AC194" s="662">
        <v>9240</v>
      </c>
      <c r="AD194" s="802">
        <v>317</v>
      </c>
      <c r="AE194" s="662">
        <v>0</v>
      </c>
      <c r="AF194" s="662">
        <v>252</v>
      </c>
      <c r="AG194" s="662">
        <v>37236</v>
      </c>
      <c r="AH194" s="662">
        <v>0</v>
      </c>
      <c r="AI194" s="662">
        <v>0</v>
      </c>
      <c r="AJ194" s="662">
        <v>34439</v>
      </c>
      <c r="AK194" s="802">
        <v>5</v>
      </c>
      <c r="AL194" s="662">
        <v>5</v>
      </c>
      <c r="AM194" s="662">
        <v>500</v>
      </c>
      <c r="AN194" s="662">
        <v>0</v>
      </c>
      <c r="AO194" s="662">
        <v>0</v>
      </c>
      <c r="AP194" s="662">
        <v>500</v>
      </c>
      <c r="AQ194" s="802">
        <v>1333</v>
      </c>
      <c r="AR194" s="662">
        <v>0</v>
      </c>
      <c r="AS194" s="662">
        <v>1328</v>
      </c>
      <c r="AT194" s="662">
        <v>282535</v>
      </c>
      <c r="AU194" s="662">
        <v>0</v>
      </c>
      <c r="AV194" s="662">
        <v>0</v>
      </c>
      <c r="AW194" s="662">
        <v>243270</v>
      </c>
      <c r="AX194" s="662">
        <v>162</v>
      </c>
      <c r="AY194" s="662">
        <v>0</v>
      </c>
      <c r="AZ194" s="662">
        <v>158</v>
      </c>
      <c r="BA194" s="662">
        <v>33238</v>
      </c>
      <c r="BB194" s="662">
        <v>0</v>
      </c>
      <c r="BC194" s="662">
        <v>0</v>
      </c>
      <c r="BD194" s="662">
        <v>32323</v>
      </c>
      <c r="BE194" s="802">
        <v>4267</v>
      </c>
      <c r="BF194" s="662">
        <v>0</v>
      </c>
      <c r="BG194" s="662">
        <v>3924</v>
      </c>
      <c r="BH194" s="662">
        <v>933713</v>
      </c>
      <c r="BI194" s="662">
        <v>0</v>
      </c>
      <c r="BJ194" s="662">
        <v>0</v>
      </c>
      <c r="BK194" s="662">
        <v>933713</v>
      </c>
      <c r="BL194" s="662">
        <v>476</v>
      </c>
      <c r="BM194" s="662">
        <v>0</v>
      </c>
      <c r="BN194" s="662">
        <v>455</v>
      </c>
      <c r="BO194" s="662">
        <v>60758</v>
      </c>
      <c r="BP194" s="662">
        <v>0</v>
      </c>
      <c r="BQ194" s="662">
        <v>0</v>
      </c>
      <c r="BR194" s="662">
        <v>58263</v>
      </c>
      <c r="BS194" s="662">
        <v>116</v>
      </c>
      <c r="BT194" s="662">
        <v>0</v>
      </c>
      <c r="BU194" s="662">
        <v>116</v>
      </c>
      <c r="BV194" s="662">
        <v>12720</v>
      </c>
      <c r="BW194" s="662">
        <v>0</v>
      </c>
      <c r="BX194" s="662">
        <v>0</v>
      </c>
      <c r="BY194" s="662">
        <v>12720</v>
      </c>
      <c r="BZ194" s="662">
        <v>534</v>
      </c>
      <c r="CA194" s="662">
        <v>0</v>
      </c>
      <c r="CB194" s="662">
        <v>531</v>
      </c>
      <c r="CC194" s="662">
        <v>83663</v>
      </c>
      <c r="CD194" s="662">
        <v>0</v>
      </c>
      <c r="CE194" s="662">
        <v>0</v>
      </c>
      <c r="CF194" s="662">
        <v>80287</v>
      </c>
      <c r="CG194" s="662">
        <v>1675</v>
      </c>
      <c r="CH194" s="662">
        <v>0</v>
      </c>
      <c r="CI194" s="662">
        <v>1562</v>
      </c>
      <c r="CJ194" s="662">
        <v>206900</v>
      </c>
      <c r="CK194" s="662">
        <v>0</v>
      </c>
      <c r="CL194" s="662">
        <v>0</v>
      </c>
      <c r="CM194" s="662">
        <v>180900</v>
      </c>
      <c r="CN194" s="662">
        <v>1819</v>
      </c>
      <c r="CO194" s="662">
        <v>0</v>
      </c>
      <c r="CP194" s="662">
        <v>1814</v>
      </c>
      <c r="CQ194" s="662">
        <v>265892</v>
      </c>
      <c r="CR194" s="662">
        <v>0</v>
      </c>
      <c r="CS194" s="662">
        <v>0</v>
      </c>
      <c r="CT194" s="662">
        <v>265882</v>
      </c>
      <c r="CU194" s="662">
        <v>210</v>
      </c>
      <c r="CV194" s="662">
        <v>0</v>
      </c>
      <c r="CW194" s="662">
        <v>210</v>
      </c>
      <c r="CX194" s="662">
        <v>28500</v>
      </c>
      <c r="CY194" s="662">
        <v>0</v>
      </c>
      <c r="CZ194" s="662">
        <v>0</v>
      </c>
      <c r="DA194" s="662">
        <v>28500</v>
      </c>
      <c r="DB194" s="662">
        <v>15551</v>
      </c>
      <c r="DC194" s="662">
        <v>0</v>
      </c>
      <c r="DD194" s="662">
        <v>15404</v>
      </c>
      <c r="DE194" s="662">
        <v>3347100</v>
      </c>
      <c r="DF194" s="662">
        <v>0</v>
      </c>
      <c r="DG194" s="662">
        <v>0</v>
      </c>
      <c r="DH194" s="662">
        <v>3241733</v>
      </c>
      <c r="DI194" s="662">
        <v>3250</v>
      </c>
      <c r="DJ194" s="662">
        <v>0</v>
      </c>
      <c r="DK194" s="662">
        <v>3200</v>
      </c>
      <c r="DL194" s="662">
        <v>706000</v>
      </c>
      <c r="DM194" s="662">
        <v>0</v>
      </c>
      <c r="DN194" s="662">
        <v>0</v>
      </c>
      <c r="DO194" s="662">
        <v>675400</v>
      </c>
      <c r="DP194" s="662">
        <v>1862</v>
      </c>
      <c r="DQ194" s="662">
        <v>0</v>
      </c>
      <c r="DR194" s="662">
        <v>1856</v>
      </c>
      <c r="DS194" s="662">
        <v>345702</v>
      </c>
      <c r="DT194" s="662">
        <v>0</v>
      </c>
      <c r="DU194" s="662">
        <v>0</v>
      </c>
      <c r="DV194" s="662">
        <v>335700</v>
      </c>
      <c r="DW194" s="662">
        <v>1739</v>
      </c>
      <c r="DX194" s="662">
        <v>0</v>
      </c>
      <c r="DY194" s="662">
        <v>1734</v>
      </c>
      <c r="DZ194" s="662">
        <v>511080</v>
      </c>
      <c r="EA194" s="662">
        <v>0</v>
      </c>
      <c r="EB194" s="662">
        <v>0</v>
      </c>
      <c r="EC194" s="662">
        <v>424149</v>
      </c>
      <c r="ED194" s="662">
        <v>6254</v>
      </c>
      <c r="EE194" s="662">
        <v>0</v>
      </c>
      <c r="EF194" s="662">
        <v>6144</v>
      </c>
      <c r="EG194" s="662">
        <v>1103650</v>
      </c>
      <c r="EH194" s="662">
        <v>0</v>
      </c>
      <c r="EI194" s="662">
        <v>0</v>
      </c>
      <c r="EJ194" s="662">
        <v>1018400</v>
      </c>
      <c r="EK194" s="662">
        <v>1547</v>
      </c>
      <c r="EL194" s="662">
        <v>0</v>
      </c>
      <c r="EM194" s="662">
        <v>1547</v>
      </c>
      <c r="EN194" s="662">
        <v>235030</v>
      </c>
      <c r="EO194" s="662">
        <v>0</v>
      </c>
      <c r="EP194" s="662">
        <v>0</v>
      </c>
      <c r="EQ194" s="662">
        <v>218080</v>
      </c>
    </row>
    <row r="195" spans="1:147" ht="20.7" customHeight="1" x14ac:dyDescent="0.3">
      <c r="A195" s="660" t="s">
        <v>1851</v>
      </c>
      <c r="B195" s="661" t="s">
        <v>269</v>
      </c>
      <c r="C195" s="662">
        <v>0</v>
      </c>
      <c r="D195" s="662">
        <v>0</v>
      </c>
      <c r="E195" s="662">
        <v>0</v>
      </c>
      <c r="F195" s="662">
        <v>0</v>
      </c>
      <c r="G195" s="662">
        <v>0</v>
      </c>
      <c r="H195" s="662">
        <v>0</v>
      </c>
      <c r="I195" s="662">
        <v>0</v>
      </c>
      <c r="J195" s="802">
        <v>0</v>
      </c>
      <c r="K195" s="662">
        <v>0</v>
      </c>
      <c r="L195" s="662">
        <v>0</v>
      </c>
      <c r="M195" s="662">
        <v>0</v>
      </c>
      <c r="N195" s="662">
        <v>0</v>
      </c>
      <c r="O195" s="662">
        <v>0</v>
      </c>
      <c r="P195" s="662">
        <v>0</v>
      </c>
      <c r="Q195" s="802">
        <v>0</v>
      </c>
      <c r="R195" s="662">
        <v>0</v>
      </c>
      <c r="S195" s="662">
        <v>0</v>
      </c>
      <c r="T195" s="662">
        <v>0</v>
      </c>
      <c r="U195" s="662">
        <v>0</v>
      </c>
      <c r="V195" s="662">
        <v>0</v>
      </c>
      <c r="W195" s="802">
        <v>0</v>
      </c>
      <c r="X195" s="662">
        <v>0</v>
      </c>
      <c r="Y195" s="662">
        <v>0</v>
      </c>
      <c r="Z195" s="662">
        <v>0</v>
      </c>
      <c r="AA195" s="662">
        <v>0</v>
      </c>
      <c r="AB195" s="662">
        <v>0</v>
      </c>
      <c r="AC195" s="662">
        <v>0</v>
      </c>
      <c r="AD195" s="802">
        <v>0</v>
      </c>
      <c r="AE195" s="662">
        <v>0</v>
      </c>
      <c r="AF195" s="662">
        <v>0</v>
      </c>
      <c r="AG195" s="662">
        <v>0</v>
      </c>
      <c r="AH195" s="662">
        <v>0</v>
      </c>
      <c r="AI195" s="662">
        <v>0</v>
      </c>
      <c r="AJ195" s="662">
        <v>0</v>
      </c>
      <c r="AK195" s="802">
        <v>0</v>
      </c>
      <c r="AL195" s="662">
        <v>0</v>
      </c>
      <c r="AM195" s="662">
        <v>0</v>
      </c>
      <c r="AN195" s="662">
        <v>0</v>
      </c>
      <c r="AO195" s="662">
        <v>0</v>
      </c>
      <c r="AP195" s="662">
        <v>0</v>
      </c>
      <c r="AQ195" s="802">
        <v>0</v>
      </c>
      <c r="AR195" s="662">
        <v>0</v>
      </c>
      <c r="AS195" s="662">
        <v>0</v>
      </c>
      <c r="AT195" s="662">
        <v>0</v>
      </c>
      <c r="AU195" s="662">
        <v>0</v>
      </c>
      <c r="AV195" s="662">
        <v>0</v>
      </c>
      <c r="AW195" s="662">
        <v>0</v>
      </c>
      <c r="AX195" s="662">
        <v>0</v>
      </c>
      <c r="AY195" s="662">
        <v>0</v>
      </c>
      <c r="AZ195" s="662">
        <v>0</v>
      </c>
      <c r="BA195" s="662">
        <v>0</v>
      </c>
      <c r="BB195" s="662">
        <v>0</v>
      </c>
      <c r="BC195" s="662">
        <v>0</v>
      </c>
      <c r="BD195" s="662">
        <v>0</v>
      </c>
      <c r="BE195" s="802">
        <v>0</v>
      </c>
      <c r="BF195" s="662">
        <v>0</v>
      </c>
      <c r="BG195" s="662">
        <v>0</v>
      </c>
      <c r="BH195" s="662">
        <v>0</v>
      </c>
      <c r="BI195" s="662">
        <v>0</v>
      </c>
      <c r="BJ195" s="662">
        <v>0</v>
      </c>
      <c r="BK195" s="662">
        <v>0</v>
      </c>
      <c r="BL195" s="662">
        <v>0</v>
      </c>
      <c r="BM195" s="662">
        <v>0</v>
      </c>
      <c r="BN195" s="662">
        <v>0</v>
      </c>
      <c r="BO195" s="662">
        <v>0</v>
      </c>
      <c r="BP195" s="662">
        <v>0</v>
      </c>
      <c r="BQ195" s="662">
        <v>0</v>
      </c>
      <c r="BR195" s="662">
        <v>0</v>
      </c>
      <c r="BS195" s="662">
        <v>0</v>
      </c>
      <c r="BT195" s="662">
        <v>0</v>
      </c>
      <c r="BU195" s="662">
        <v>0</v>
      </c>
      <c r="BV195" s="662">
        <v>0</v>
      </c>
      <c r="BW195" s="662">
        <v>0</v>
      </c>
      <c r="BX195" s="662">
        <v>0</v>
      </c>
      <c r="BY195" s="662">
        <v>0</v>
      </c>
      <c r="BZ195" s="662">
        <v>0</v>
      </c>
      <c r="CA195" s="662">
        <v>0</v>
      </c>
      <c r="CB195" s="662">
        <v>0</v>
      </c>
      <c r="CC195" s="662">
        <v>0</v>
      </c>
      <c r="CD195" s="662">
        <v>0</v>
      </c>
      <c r="CE195" s="662">
        <v>0</v>
      </c>
      <c r="CF195" s="662">
        <v>0</v>
      </c>
      <c r="CG195" s="662">
        <v>0</v>
      </c>
      <c r="CH195" s="662">
        <v>0</v>
      </c>
      <c r="CI195" s="662">
        <v>0</v>
      </c>
      <c r="CJ195" s="662">
        <v>0</v>
      </c>
      <c r="CK195" s="662">
        <v>0</v>
      </c>
      <c r="CL195" s="662">
        <v>0</v>
      </c>
      <c r="CM195" s="662">
        <v>0</v>
      </c>
      <c r="CN195" s="662">
        <v>0</v>
      </c>
      <c r="CO195" s="662">
        <v>0</v>
      </c>
      <c r="CP195" s="662">
        <v>0</v>
      </c>
      <c r="CQ195" s="662">
        <v>0</v>
      </c>
      <c r="CR195" s="662">
        <v>0</v>
      </c>
      <c r="CS195" s="662">
        <v>0</v>
      </c>
      <c r="CT195" s="662">
        <v>0</v>
      </c>
      <c r="CU195" s="662">
        <v>0</v>
      </c>
      <c r="CV195" s="662">
        <v>0</v>
      </c>
      <c r="CW195" s="662">
        <v>0</v>
      </c>
      <c r="CX195" s="662">
        <v>0</v>
      </c>
      <c r="CY195" s="662">
        <v>0</v>
      </c>
      <c r="CZ195" s="662">
        <v>0</v>
      </c>
      <c r="DA195" s="662">
        <v>0</v>
      </c>
      <c r="DB195" s="662">
        <v>0</v>
      </c>
      <c r="DC195" s="662">
        <v>0</v>
      </c>
      <c r="DD195" s="662">
        <v>0</v>
      </c>
      <c r="DE195" s="662">
        <v>0</v>
      </c>
      <c r="DF195" s="662">
        <v>0</v>
      </c>
      <c r="DG195" s="662">
        <v>0</v>
      </c>
      <c r="DH195" s="662">
        <v>0</v>
      </c>
      <c r="DI195" s="662">
        <v>0</v>
      </c>
      <c r="DJ195" s="662">
        <v>0</v>
      </c>
      <c r="DK195" s="662">
        <v>0</v>
      </c>
      <c r="DL195" s="662">
        <v>0</v>
      </c>
      <c r="DM195" s="662">
        <v>0</v>
      </c>
      <c r="DN195" s="662">
        <v>0</v>
      </c>
      <c r="DO195" s="662">
        <v>0</v>
      </c>
      <c r="DP195" s="662">
        <v>0</v>
      </c>
      <c r="DQ195" s="662">
        <v>0</v>
      </c>
      <c r="DR195" s="662">
        <v>0</v>
      </c>
      <c r="DS195" s="662">
        <v>0</v>
      </c>
      <c r="DT195" s="662">
        <v>0</v>
      </c>
      <c r="DU195" s="662">
        <v>0</v>
      </c>
      <c r="DV195" s="662">
        <v>0</v>
      </c>
      <c r="DW195" s="662">
        <v>0</v>
      </c>
      <c r="DX195" s="662">
        <v>0</v>
      </c>
      <c r="DY195" s="662">
        <v>0</v>
      </c>
      <c r="DZ195" s="662">
        <v>0</v>
      </c>
      <c r="EA195" s="662">
        <v>0</v>
      </c>
      <c r="EB195" s="662">
        <v>0</v>
      </c>
      <c r="EC195" s="662">
        <v>0</v>
      </c>
      <c r="ED195" s="662">
        <v>0</v>
      </c>
      <c r="EE195" s="662">
        <v>0</v>
      </c>
      <c r="EF195" s="662">
        <v>0</v>
      </c>
      <c r="EG195" s="662">
        <v>0</v>
      </c>
      <c r="EH195" s="662">
        <v>0</v>
      </c>
      <c r="EI195" s="662">
        <v>0</v>
      </c>
      <c r="EJ195" s="662">
        <v>0</v>
      </c>
      <c r="EK195" s="662">
        <v>0</v>
      </c>
      <c r="EL195" s="662">
        <v>0</v>
      </c>
      <c r="EM195" s="662">
        <v>0</v>
      </c>
      <c r="EN195" s="662">
        <v>0</v>
      </c>
      <c r="EO195" s="662">
        <v>0</v>
      </c>
      <c r="EP195" s="662">
        <v>0</v>
      </c>
      <c r="EQ195" s="662">
        <v>0</v>
      </c>
    </row>
    <row r="196" spans="1:147" ht="20.7" customHeight="1" x14ac:dyDescent="0.3">
      <c r="A196" s="660" t="s">
        <v>1852</v>
      </c>
      <c r="B196" s="661" t="s">
        <v>269</v>
      </c>
      <c r="C196" s="662">
        <v>0</v>
      </c>
      <c r="D196" s="662">
        <v>0</v>
      </c>
      <c r="E196" s="662">
        <v>0</v>
      </c>
      <c r="F196" s="662">
        <v>0</v>
      </c>
      <c r="G196" s="662">
        <v>0</v>
      </c>
      <c r="H196" s="662">
        <v>0</v>
      </c>
      <c r="I196" s="662">
        <v>0</v>
      </c>
      <c r="J196" s="802">
        <v>0</v>
      </c>
      <c r="K196" s="662">
        <v>0</v>
      </c>
      <c r="L196" s="662">
        <v>0</v>
      </c>
      <c r="M196" s="662">
        <v>0</v>
      </c>
      <c r="N196" s="662">
        <v>0</v>
      </c>
      <c r="O196" s="662">
        <v>0</v>
      </c>
      <c r="P196" s="662">
        <v>0</v>
      </c>
      <c r="Q196" s="802">
        <v>0</v>
      </c>
      <c r="R196" s="662">
        <v>0</v>
      </c>
      <c r="S196" s="662">
        <v>0</v>
      </c>
      <c r="T196" s="662">
        <v>0</v>
      </c>
      <c r="U196" s="662">
        <v>0</v>
      </c>
      <c r="V196" s="662">
        <v>0</v>
      </c>
      <c r="W196" s="802">
        <v>0</v>
      </c>
      <c r="X196" s="662">
        <v>0</v>
      </c>
      <c r="Y196" s="662">
        <v>0</v>
      </c>
      <c r="Z196" s="662">
        <v>0</v>
      </c>
      <c r="AA196" s="662">
        <v>0</v>
      </c>
      <c r="AB196" s="662">
        <v>0</v>
      </c>
      <c r="AC196" s="662">
        <v>0</v>
      </c>
      <c r="AD196" s="802">
        <v>0</v>
      </c>
      <c r="AE196" s="662">
        <v>0</v>
      </c>
      <c r="AF196" s="662">
        <v>0</v>
      </c>
      <c r="AG196" s="662">
        <v>0</v>
      </c>
      <c r="AH196" s="662">
        <v>0</v>
      </c>
      <c r="AI196" s="662">
        <v>0</v>
      </c>
      <c r="AJ196" s="662">
        <v>0</v>
      </c>
      <c r="AK196" s="802">
        <v>0</v>
      </c>
      <c r="AL196" s="662">
        <v>0</v>
      </c>
      <c r="AM196" s="662">
        <v>0</v>
      </c>
      <c r="AN196" s="662">
        <v>0</v>
      </c>
      <c r="AO196" s="662">
        <v>0</v>
      </c>
      <c r="AP196" s="662">
        <v>0</v>
      </c>
      <c r="AQ196" s="802">
        <v>0</v>
      </c>
      <c r="AR196" s="662">
        <v>0</v>
      </c>
      <c r="AS196" s="662">
        <v>0</v>
      </c>
      <c r="AT196" s="662">
        <v>0</v>
      </c>
      <c r="AU196" s="662">
        <v>0</v>
      </c>
      <c r="AV196" s="662">
        <v>0</v>
      </c>
      <c r="AW196" s="662">
        <v>0</v>
      </c>
      <c r="AX196" s="662">
        <v>0</v>
      </c>
      <c r="AY196" s="662">
        <v>0</v>
      </c>
      <c r="AZ196" s="662">
        <v>0</v>
      </c>
      <c r="BA196" s="662">
        <v>0</v>
      </c>
      <c r="BB196" s="662">
        <v>0</v>
      </c>
      <c r="BC196" s="662">
        <v>0</v>
      </c>
      <c r="BD196" s="662">
        <v>0</v>
      </c>
      <c r="BE196" s="802">
        <v>0</v>
      </c>
      <c r="BF196" s="662">
        <v>0</v>
      </c>
      <c r="BG196" s="662">
        <v>0</v>
      </c>
      <c r="BH196" s="662">
        <v>0</v>
      </c>
      <c r="BI196" s="662">
        <v>0</v>
      </c>
      <c r="BJ196" s="662">
        <v>0</v>
      </c>
      <c r="BK196" s="662">
        <v>0</v>
      </c>
      <c r="BL196" s="662">
        <v>0</v>
      </c>
      <c r="BM196" s="662">
        <v>0</v>
      </c>
      <c r="BN196" s="662">
        <v>0</v>
      </c>
      <c r="BO196" s="662">
        <v>0</v>
      </c>
      <c r="BP196" s="662">
        <v>0</v>
      </c>
      <c r="BQ196" s="662">
        <v>0</v>
      </c>
      <c r="BR196" s="662">
        <v>0</v>
      </c>
      <c r="BS196" s="662">
        <v>0</v>
      </c>
      <c r="BT196" s="662">
        <v>0</v>
      </c>
      <c r="BU196" s="662">
        <v>0</v>
      </c>
      <c r="BV196" s="662">
        <v>0</v>
      </c>
      <c r="BW196" s="662">
        <v>0</v>
      </c>
      <c r="BX196" s="662">
        <v>0</v>
      </c>
      <c r="BY196" s="662">
        <v>0</v>
      </c>
      <c r="BZ196" s="662">
        <v>0</v>
      </c>
      <c r="CA196" s="662">
        <v>0</v>
      </c>
      <c r="CB196" s="662">
        <v>0</v>
      </c>
      <c r="CC196" s="662">
        <v>0</v>
      </c>
      <c r="CD196" s="662">
        <v>0</v>
      </c>
      <c r="CE196" s="662">
        <v>0</v>
      </c>
      <c r="CF196" s="662">
        <v>0</v>
      </c>
      <c r="CG196" s="662">
        <v>0</v>
      </c>
      <c r="CH196" s="662">
        <v>0</v>
      </c>
      <c r="CI196" s="662">
        <v>0</v>
      </c>
      <c r="CJ196" s="662">
        <v>0</v>
      </c>
      <c r="CK196" s="662">
        <v>0</v>
      </c>
      <c r="CL196" s="662">
        <v>0</v>
      </c>
      <c r="CM196" s="662">
        <v>0</v>
      </c>
      <c r="CN196" s="662">
        <v>0</v>
      </c>
      <c r="CO196" s="662">
        <v>0</v>
      </c>
      <c r="CP196" s="662">
        <v>0</v>
      </c>
      <c r="CQ196" s="662">
        <v>0</v>
      </c>
      <c r="CR196" s="662">
        <v>0</v>
      </c>
      <c r="CS196" s="662">
        <v>0</v>
      </c>
      <c r="CT196" s="662">
        <v>0</v>
      </c>
      <c r="CU196" s="662">
        <v>0</v>
      </c>
      <c r="CV196" s="662">
        <v>0</v>
      </c>
      <c r="CW196" s="662">
        <v>0</v>
      </c>
      <c r="CX196" s="662">
        <v>0</v>
      </c>
      <c r="CY196" s="662">
        <v>0</v>
      </c>
      <c r="CZ196" s="662">
        <v>0</v>
      </c>
      <c r="DA196" s="662">
        <v>0</v>
      </c>
      <c r="DB196" s="662">
        <v>0</v>
      </c>
      <c r="DC196" s="662">
        <v>0</v>
      </c>
      <c r="DD196" s="662">
        <v>0</v>
      </c>
      <c r="DE196" s="662">
        <v>0</v>
      </c>
      <c r="DF196" s="662">
        <v>0</v>
      </c>
      <c r="DG196" s="662">
        <v>0</v>
      </c>
      <c r="DH196" s="662">
        <v>0</v>
      </c>
      <c r="DI196" s="662">
        <v>0</v>
      </c>
      <c r="DJ196" s="662">
        <v>0</v>
      </c>
      <c r="DK196" s="662">
        <v>0</v>
      </c>
      <c r="DL196" s="662">
        <v>0</v>
      </c>
      <c r="DM196" s="662">
        <v>0</v>
      </c>
      <c r="DN196" s="662">
        <v>0</v>
      </c>
      <c r="DO196" s="662">
        <v>0</v>
      </c>
      <c r="DP196" s="662">
        <v>0</v>
      </c>
      <c r="DQ196" s="662">
        <v>0</v>
      </c>
      <c r="DR196" s="662">
        <v>0</v>
      </c>
      <c r="DS196" s="662">
        <v>0</v>
      </c>
      <c r="DT196" s="662">
        <v>0</v>
      </c>
      <c r="DU196" s="662">
        <v>0</v>
      </c>
      <c r="DV196" s="662">
        <v>0</v>
      </c>
      <c r="DW196" s="662">
        <v>0</v>
      </c>
      <c r="DX196" s="662">
        <v>0</v>
      </c>
      <c r="DY196" s="662">
        <v>0</v>
      </c>
      <c r="DZ196" s="662">
        <v>0</v>
      </c>
      <c r="EA196" s="662">
        <v>0</v>
      </c>
      <c r="EB196" s="662">
        <v>0</v>
      </c>
      <c r="EC196" s="662">
        <v>0</v>
      </c>
      <c r="ED196" s="662">
        <v>0</v>
      </c>
      <c r="EE196" s="662">
        <v>0</v>
      </c>
      <c r="EF196" s="662">
        <v>0</v>
      </c>
      <c r="EG196" s="662">
        <v>0</v>
      </c>
      <c r="EH196" s="662">
        <v>0</v>
      </c>
      <c r="EI196" s="662">
        <v>0</v>
      </c>
      <c r="EJ196" s="662">
        <v>0</v>
      </c>
      <c r="EK196" s="662">
        <v>0</v>
      </c>
      <c r="EL196" s="662">
        <v>0</v>
      </c>
      <c r="EM196" s="662">
        <v>0</v>
      </c>
      <c r="EN196" s="662">
        <v>0</v>
      </c>
      <c r="EO196" s="662">
        <v>0</v>
      </c>
      <c r="EP196" s="662">
        <v>0</v>
      </c>
      <c r="EQ196" s="662">
        <v>0</v>
      </c>
    </row>
    <row r="197" spans="1:147" ht="13.95" customHeight="1" x14ac:dyDescent="0.3">
      <c r="A197" s="660" t="s">
        <v>1853</v>
      </c>
      <c r="B197" s="661" t="s">
        <v>269</v>
      </c>
      <c r="C197" s="662">
        <v>19267</v>
      </c>
      <c r="D197" s="662">
        <v>0</v>
      </c>
      <c r="E197" s="662">
        <v>18503</v>
      </c>
      <c r="F197" s="662">
        <v>4329960</v>
      </c>
      <c r="G197" s="662">
        <v>0</v>
      </c>
      <c r="H197" s="662">
        <v>0</v>
      </c>
      <c r="I197" s="662">
        <v>4150516</v>
      </c>
      <c r="J197" s="802">
        <v>2119</v>
      </c>
      <c r="K197" s="662">
        <v>0</v>
      </c>
      <c r="L197" s="662">
        <v>2090</v>
      </c>
      <c r="M197" s="662">
        <v>539530</v>
      </c>
      <c r="N197" s="662">
        <v>0</v>
      </c>
      <c r="O197" s="662">
        <v>0</v>
      </c>
      <c r="P197" s="662">
        <v>506530</v>
      </c>
      <c r="Q197" s="802">
        <v>0</v>
      </c>
      <c r="R197" s="662">
        <v>0</v>
      </c>
      <c r="S197" s="662">
        <v>0</v>
      </c>
      <c r="T197" s="662">
        <v>0</v>
      </c>
      <c r="U197" s="662">
        <v>0</v>
      </c>
      <c r="V197" s="662">
        <v>0</v>
      </c>
      <c r="W197" s="802">
        <v>6</v>
      </c>
      <c r="X197" s="662">
        <v>0</v>
      </c>
      <c r="Y197" s="662">
        <v>6</v>
      </c>
      <c r="Z197" s="662">
        <v>260</v>
      </c>
      <c r="AA197" s="662">
        <v>0</v>
      </c>
      <c r="AB197" s="662">
        <v>0</v>
      </c>
      <c r="AC197" s="662">
        <v>260</v>
      </c>
      <c r="AD197" s="802">
        <v>84</v>
      </c>
      <c r="AE197" s="662">
        <v>0</v>
      </c>
      <c r="AF197" s="662">
        <v>66</v>
      </c>
      <c r="AG197" s="662">
        <v>11095</v>
      </c>
      <c r="AH197" s="662">
        <v>0</v>
      </c>
      <c r="AI197" s="662">
        <v>0</v>
      </c>
      <c r="AJ197" s="662">
        <v>9616</v>
      </c>
      <c r="AK197" s="802">
        <v>2</v>
      </c>
      <c r="AL197" s="662">
        <v>2</v>
      </c>
      <c r="AM197" s="662">
        <v>100</v>
      </c>
      <c r="AN197" s="662">
        <v>0</v>
      </c>
      <c r="AO197" s="662">
        <v>0</v>
      </c>
      <c r="AP197" s="662">
        <v>100</v>
      </c>
      <c r="AQ197" s="802">
        <v>736</v>
      </c>
      <c r="AR197" s="662">
        <v>0</v>
      </c>
      <c r="AS197" s="662">
        <v>703</v>
      </c>
      <c r="AT197" s="662">
        <v>141490</v>
      </c>
      <c r="AU197" s="662">
        <v>0</v>
      </c>
      <c r="AV197" s="662">
        <v>0</v>
      </c>
      <c r="AW197" s="662">
        <v>121485</v>
      </c>
      <c r="AX197" s="662">
        <v>14</v>
      </c>
      <c r="AY197" s="662">
        <v>0</v>
      </c>
      <c r="AZ197" s="662">
        <v>14</v>
      </c>
      <c r="BA197" s="662">
        <v>3047</v>
      </c>
      <c r="BB197" s="662">
        <v>0</v>
      </c>
      <c r="BC197" s="662">
        <v>0</v>
      </c>
      <c r="BD197" s="662">
        <v>2914</v>
      </c>
      <c r="BE197" s="802">
        <v>6802</v>
      </c>
      <c r="BF197" s="662">
        <v>0</v>
      </c>
      <c r="BG197" s="662">
        <v>6331</v>
      </c>
      <c r="BH197" s="662">
        <v>1649973</v>
      </c>
      <c r="BI197" s="662">
        <v>0</v>
      </c>
      <c r="BJ197" s="662">
        <v>0</v>
      </c>
      <c r="BK197" s="662">
        <v>1649973</v>
      </c>
      <c r="BL197" s="662">
        <v>119</v>
      </c>
      <c r="BM197" s="662">
        <v>0</v>
      </c>
      <c r="BN197" s="662">
        <v>112</v>
      </c>
      <c r="BO197" s="662">
        <v>14295</v>
      </c>
      <c r="BP197" s="662">
        <v>0</v>
      </c>
      <c r="BQ197" s="662">
        <v>0</v>
      </c>
      <c r="BR197" s="662">
        <v>14130</v>
      </c>
      <c r="BS197" s="662">
        <v>22</v>
      </c>
      <c r="BT197" s="662">
        <v>0</v>
      </c>
      <c r="BU197" s="662">
        <v>22</v>
      </c>
      <c r="BV197" s="662">
        <v>2000</v>
      </c>
      <c r="BW197" s="662">
        <v>0</v>
      </c>
      <c r="BX197" s="662">
        <v>0</v>
      </c>
      <c r="BY197" s="662">
        <v>2000</v>
      </c>
      <c r="BZ197" s="662">
        <v>253</v>
      </c>
      <c r="CA197" s="662">
        <v>0</v>
      </c>
      <c r="CB197" s="662">
        <v>242</v>
      </c>
      <c r="CC197" s="662">
        <v>45811</v>
      </c>
      <c r="CD197" s="662">
        <v>0</v>
      </c>
      <c r="CE197" s="662">
        <v>0</v>
      </c>
      <c r="CF197" s="662">
        <v>44354</v>
      </c>
      <c r="CG197" s="662">
        <v>315</v>
      </c>
      <c r="CH197" s="662">
        <v>0</v>
      </c>
      <c r="CI197" s="662">
        <v>308</v>
      </c>
      <c r="CJ197" s="662">
        <v>40870</v>
      </c>
      <c r="CK197" s="662">
        <v>0</v>
      </c>
      <c r="CL197" s="662">
        <v>0</v>
      </c>
      <c r="CM197" s="662">
        <v>36060</v>
      </c>
      <c r="CN197" s="662">
        <v>521</v>
      </c>
      <c r="CO197" s="662">
        <v>0</v>
      </c>
      <c r="CP197" s="662">
        <v>519</v>
      </c>
      <c r="CQ197" s="662">
        <v>89560</v>
      </c>
      <c r="CR197" s="662">
        <v>0</v>
      </c>
      <c r="CS197" s="662">
        <v>0</v>
      </c>
      <c r="CT197" s="662">
        <v>89550</v>
      </c>
      <c r="CU197" s="662">
        <v>95</v>
      </c>
      <c r="CV197" s="662">
        <v>0</v>
      </c>
      <c r="CW197" s="662">
        <v>95</v>
      </c>
      <c r="CX197" s="662">
        <v>13500</v>
      </c>
      <c r="CY197" s="662">
        <v>0</v>
      </c>
      <c r="CZ197" s="662">
        <v>0</v>
      </c>
      <c r="DA197" s="662">
        <v>13500</v>
      </c>
      <c r="DB197" s="662">
        <v>4134</v>
      </c>
      <c r="DC197" s="662">
        <v>0</v>
      </c>
      <c r="DD197" s="662">
        <v>4040</v>
      </c>
      <c r="DE197" s="662">
        <v>884155</v>
      </c>
      <c r="DF197" s="662">
        <v>0</v>
      </c>
      <c r="DG197" s="662">
        <v>0</v>
      </c>
      <c r="DH197" s="662">
        <v>844916</v>
      </c>
      <c r="DI197" s="662">
        <v>860</v>
      </c>
      <c r="DJ197" s="662">
        <v>0</v>
      </c>
      <c r="DK197" s="662">
        <v>860</v>
      </c>
      <c r="DL197" s="662">
        <v>221300</v>
      </c>
      <c r="DM197" s="662">
        <v>0</v>
      </c>
      <c r="DN197" s="662">
        <v>0</v>
      </c>
      <c r="DO197" s="662">
        <v>216550</v>
      </c>
      <c r="DP197" s="662">
        <v>1011</v>
      </c>
      <c r="DQ197" s="662">
        <v>0</v>
      </c>
      <c r="DR197" s="662">
        <v>1007</v>
      </c>
      <c r="DS197" s="662">
        <v>241258</v>
      </c>
      <c r="DT197" s="662">
        <v>0</v>
      </c>
      <c r="DU197" s="662">
        <v>0</v>
      </c>
      <c r="DV197" s="662">
        <v>241200</v>
      </c>
      <c r="DW197" s="662">
        <v>1083</v>
      </c>
      <c r="DX197" s="662">
        <v>0</v>
      </c>
      <c r="DY197" s="662">
        <v>1078</v>
      </c>
      <c r="DZ197" s="662">
        <v>298530</v>
      </c>
      <c r="EA197" s="662">
        <v>0</v>
      </c>
      <c r="EB197" s="662">
        <v>0</v>
      </c>
      <c r="EC197" s="662">
        <v>230010</v>
      </c>
      <c r="ED197" s="662">
        <v>916</v>
      </c>
      <c r="EE197" s="662">
        <v>0</v>
      </c>
      <c r="EF197" s="662">
        <v>833</v>
      </c>
      <c r="EG197" s="662">
        <v>112408</v>
      </c>
      <c r="EH197" s="662">
        <v>0</v>
      </c>
      <c r="EI197" s="662">
        <v>0</v>
      </c>
      <c r="EJ197" s="662">
        <v>108130</v>
      </c>
      <c r="EK197" s="662">
        <v>175</v>
      </c>
      <c r="EL197" s="662">
        <v>0</v>
      </c>
      <c r="EM197" s="662">
        <v>175</v>
      </c>
      <c r="EN197" s="662">
        <v>20778</v>
      </c>
      <c r="EO197" s="662">
        <v>0</v>
      </c>
      <c r="EP197" s="662">
        <v>0</v>
      </c>
      <c r="EQ197" s="662">
        <v>19238</v>
      </c>
    </row>
    <row r="198" spans="1:147" ht="20.7" customHeight="1" x14ac:dyDescent="0.3">
      <c r="A198" s="660" t="s">
        <v>1854</v>
      </c>
      <c r="B198" s="661" t="s">
        <v>269</v>
      </c>
      <c r="C198" s="662">
        <v>0</v>
      </c>
      <c r="D198" s="662">
        <v>0</v>
      </c>
      <c r="E198" s="662">
        <v>0</v>
      </c>
      <c r="F198" s="662">
        <v>0</v>
      </c>
      <c r="G198" s="662">
        <v>0</v>
      </c>
      <c r="H198" s="662">
        <v>0</v>
      </c>
      <c r="I198" s="662">
        <v>0</v>
      </c>
      <c r="J198" s="802">
        <v>0</v>
      </c>
      <c r="K198" s="662">
        <v>0</v>
      </c>
      <c r="L198" s="662">
        <v>0</v>
      </c>
      <c r="M198" s="662">
        <v>0</v>
      </c>
      <c r="N198" s="662">
        <v>0</v>
      </c>
      <c r="O198" s="662">
        <v>0</v>
      </c>
      <c r="P198" s="662">
        <v>0</v>
      </c>
      <c r="Q198" s="802">
        <v>0</v>
      </c>
      <c r="R198" s="662">
        <v>0</v>
      </c>
      <c r="S198" s="662">
        <v>0</v>
      </c>
      <c r="T198" s="662">
        <v>0</v>
      </c>
      <c r="U198" s="662">
        <v>0</v>
      </c>
      <c r="V198" s="662">
        <v>0</v>
      </c>
      <c r="W198" s="802">
        <v>0</v>
      </c>
      <c r="X198" s="662">
        <v>0</v>
      </c>
      <c r="Y198" s="662">
        <v>0</v>
      </c>
      <c r="Z198" s="662">
        <v>0</v>
      </c>
      <c r="AA198" s="662">
        <v>0</v>
      </c>
      <c r="AB198" s="662">
        <v>0</v>
      </c>
      <c r="AC198" s="662">
        <v>0</v>
      </c>
      <c r="AD198" s="802">
        <v>0</v>
      </c>
      <c r="AE198" s="662">
        <v>0</v>
      </c>
      <c r="AF198" s="662">
        <v>0</v>
      </c>
      <c r="AG198" s="662">
        <v>0</v>
      </c>
      <c r="AH198" s="662">
        <v>0</v>
      </c>
      <c r="AI198" s="662">
        <v>0</v>
      </c>
      <c r="AJ198" s="662">
        <v>0</v>
      </c>
      <c r="AK198" s="802">
        <v>0</v>
      </c>
      <c r="AL198" s="662">
        <v>0</v>
      </c>
      <c r="AM198" s="662">
        <v>0</v>
      </c>
      <c r="AN198" s="662">
        <v>0</v>
      </c>
      <c r="AO198" s="662">
        <v>0</v>
      </c>
      <c r="AP198" s="662">
        <v>0</v>
      </c>
      <c r="AQ198" s="802">
        <v>0</v>
      </c>
      <c r="AR198" s="662">
        <v>0</v>
      </c>
      <c r="AS198" s="662">
        <v>0</v>
      </c>
      <c r="AT198" s="662">
        <v>0</v>
      </c>
      <c r="AU198" s="662">
        <v>0</v>
      </c>
      <c r="AV198" s="662">
        <v>0</v>
      </c>
      <c r="AW198" s="662">
        <v>0</v>
      </c>
      <c r="AX198" s="662">
        <v>0</v>
      </c>
      <c r="AY198" s="662">
        <v>0</v>
      </c>
      <c r="AZ198" s="662">
        <v>0</v>
      </c>
      <c r="BA198" s="662">
        <v>0</v>
      </c>
      <c r="BB198" s="662">
        <v>0</v>
      </c>
      <c r="BC198" s="662">
        <v>0</v>
      </c>
      <c r="BD198" s="662">
        <v>0</v>
      </c>
      <c r="BE198" s="802">
        <v>0</v>
      </c>
      <c r="BF198" s="662">
        <v>0</v>
      </c>
      <c r="BG198" s="662">
        <v>0</v>
      </c>
      <c r="BH198" s="662">
        <v>0</v>
      </c>
      <c r="BI198" s="662">
        <v>0</v>
      </c>
      <c r="BJ198" s="662">
        <v>0</v>
      </c>
      <c r="BK198" s="662">
        <v>0</v>
      </c>
      <c r="BL198" s="662">
        <v>0</v>
      </c>
      <c r="BM198" s="662">
        <v>0</v>
      </c>
      <c r="BN198" s="662">
        <v>0</v>
      </c>
      <c r="BO198" s="662">
        <v>0</v>
      </c>
      <c r="BP198" s="662">
        <v>0</v>
      </c>
      <c r="BQ198" s="662">
        <v>0</v>
      </c>
      <c r="BR198" s="662">
        <v>0</v>
      </c>
      <c r="BS198" s="662">
        <v>0</v>
      </c>
      <c r="BT198" s="662">
        <v>0</v>
      </c>
      <c r="BU198" s="662">
        <v>0</v>
      </c>
      <c r="BV198" s="662">
        <v>0</v>
      </c>
      <c r="BW198" s="662">
        <v>0</v>
      </c>
      <c r="BX198" s="662">
        <v>0</v>
      </c>
      <c r="BY198" s="662">
        <v>0</v>
      </c>
      <c r="BZ198" s="662">
        <v>0</v>
      </c>
      <c r="CA198" s="662">
        <v>0</v>
      </c>
      <c r="CB198" s="662">
        <v>0</v>
      </c>
      <c r="CC198" s="662">
        <v>0</v>
      </c>
      <c r="CD198" s="662">
        <v>0</v>
      </c>
      <c r="CE198" s="662">
        <v>0</v>
      </c>
      <c r="CF198" s="662">
        <v>0</v>
      </c>
      <c r="CG198" s="662">
        <v>0</v>
      </c>
      <c r="CH198" s="662">
        <v>0</v>
      </c>
      <c r="CI198" s="662">
        <v>0</v>
      </c>
      <c r="CJ198" s="662">
        <v>0</v>
      </c>
      <c r="CK198" s="662">
        <v>0</v>
      </c>
      <c r="CL198" s="662">
        <v>0</v>
      </c>
      <c r="CM198" s="662">
        <v>0</v>
      </c>
      <c r="CN198" s="662">
        <v>0</v>
      </c>
      <c r="CO198" s="662">
        <v>0</v>
      </c>
      <c r="CP198" s="662">
        <v>0</v>
      </c>
      <c r="CQ198" s="662">
        <v>0</v>
      </c>
      <c r="CR198" s="662">
        <v>0</v>
      </c>
      <c r="CS198" s="662">
        <v>0</v>
      </c>
      <c r="CT198" s="662">
        <v>0</v>
      </c>
      <c r="CU198" s="662">
        <v>0</v>
      </c>
      <c r="CV198" s="662">
        <v>0</v>
      </c>
      <c r="CW198" s="662">
        <v>0</v>
      </c>
      <c r="CX198" s="662">
        <v>0</v>
      </c>
      <c r="CY198" s="662">
        <v>0</v>
      </c>
      <c r="CZ198" s="662">
        <v>0</v>
      </c>
      <c r="DA198" s="662">
        <v>0</v>
      </c>
      <c r="DB198" s="662">
        <v>0</v>
      </c>
      <c r="DC198" s="662">
        <v>0</v>
      </c>
      <c r="DD198" s="662">
        <v>0</v>
      </c>
      <c r="DE198" s="662">
        <v>0</v>
      </c>
      <c r="DF198" s="662">
        <v>0</v>
      </c>
      <c r="DG198" s="662">
        <v>0</v>
      </c>
      <c r="DH198" s="662">
        <v>0</v>
      </c>
      <c r="DI198" s="662">
        <v>0</v>
      </c>
      <c r="DJ198" s="662">
        <v>0</v>
      </c>
      <c r="DK198" s="662">
        <v>0</v>
      </c>
      <c r="DL198" s="662">
        <v>0</v>
      </c>
      <c r="DM198" s="662">
        <v>0</v>
      </c>
      <c r="DN198" s="662">
        <v>0</v>
      </c>
      <c r="DO198" s="662">
        <v>0</v>
      </c>
      <c r="DP198" s="662">
        <v>0</v>
      </c>
      <c r="DQ198" s="662">
        <v>0</v>
      </c>
      <c r="DR198" s="662">
        <v>0</v>
      </c>
      <c r="DS198" s="662">
        <v>0</v>
      </c>
      <c r="DT198" s="662">
        <v>0</v>
      </c>
      <c r="DU198" s="662">
        <v>0</v>
      </c>
      <c r="DV198" s="662">
        <v>0</v>
      </c>
      <c r="DW198" s="662">
        <v>0</v>
      </c>
      <c r="DX198" s="662">
        <v>0</v>
      </c>
      <c r="DY198" s="662">
        <v>0</v>
      </c>
      <c r="DZ198" s="662">
        <v>0</v>
      </c>
      <c r="EA198" s="662">
        <v>0</v>
      </c>
      <c r="EB198" s="662">
        <v>0</v>
      </c>
      <c r="EC198" s="662">
        <v>0</v>
      </c>
      <c r="ED198" s="662">
        <v>0</v>
      </c>
      <c r="EE198" s="662">
        <v>0</v>
      </c>
      <c r="EF198" s="662">
        <v>0</v>
      </c>
      <c r="EG198" s="662">
        <v>0</v>
      </c>
      <c r="EH198" s="662">
        <v>0</v>
      </c>
      <c r="EI198" s="662">
        <v>0</v>
      </c>
      <c r="EJ198" s="662">
        <v>0</v>
      </c>
      <c r="EK198" s="662">
        <v>0</v>
      </c>
      <c r="EL198" s="662">
        <v>0</v>
      </c>
      <c r="EM198" s="662">
        <v>0</v>
      </c>
      <c r="EN198" s="662">
        <v>0</v>
      </c>
      <c r="EO198" s="662">
        <v>0</v>
      </c>
      <c r="EP198" s="662">
        <v>0</v>
      </c>
      <c r="EQ198" s="662">
        <v>0</v>
      </c>
    </row>
    <row r="199" spans="1:147" ht="20.7" customHeight="1" x14ac:dyDescent="0.3">
      <c r="A199" s="660" t="s">
        <v>1855</v>
      </c>
      <c r="B199" s="661" t="s">
        <v>269</v>
      </c>
      <c r="C199" s="662">
        <v>0</v>
      </c>
      <c r="D199" s="662">
        <v>0</v>
      </c>
      <c r="E199" s="662">
        <v>0</v>
      </c>
      <c r="F199" s="662">
        <v>0</v>
      </c>
      <c r="G199" s="662">
        <v>0</v>
      </c>
      <c r="H199" s="662">
        <v>0</v>
      </c>
      <c r="I199" s="662">
        <v>0</v>
      </c>
      <c r="J199" s="802">
        <v>0</v>
      </c>
      <c r="K199" s="662">
        <v>0</v>
      </c>
      <c r="L199" s="662">
        <v>0</v>
      </c>
      <c r="M199" s="662">
        <v>0</v>
      </c>
      <c r="N199" s="662">
        <v>0</v>
      </c>
      <c r="O199" s="662">
        <v>0</v>
      </c>
      <c r="P199" s="662">
        <v>0</v>
      </c>
      <c r="Q199" s="802">
        <v>0</v>
      </c>
      <c r="R199" s="662">
        <v>0</v>
      </c>
      <c r="S199" s="662">
        <v>0</v>
      </c>
      <c r="T199" s="662">
        <v>0</v>
      </c>
      <c r="U199" s="662">
        <v>0</v>
      </c>
      <c r="V199" s="662">
        <v>0</v>
      </c>
      <c r="W199" s="802">
        <v>0</v>
      </c>
      <c r="X199" s="662">
        <v>0</v>
      </c>
      <c r="Y199" s="662">
        <v>0</v>
      </c>
      <c r="Z199" s="662">
        <v>0</v>
      </c>
      <c r="AA199" s="662">
        <v>0</v>
      </c>
      <c r="AB199" s="662">
        <v>0</v>
      </c>
      <c r="AC199" s="662">
        <v>0</v>
      </c>
      <c r="AD199" s="802">
        <v>0</v>
      </c>
      <c r="AE199" s="662">
        <v>0</v>
      </c>
      <c r="AF199" s="662">
        <v>0</v>
      </c>
      <c r="AG199" s="662">
        <v>0</v>
      </c>
      <c r="AH199" s="662">
        <v>0</v>
      </c>
      <c r="AI199" s="662">
        <v>0</v>
      </c>
      <c r="AJ199" s="662">
        <v>0</v>
      </c>
      <c r="AK199" s="802">
        <v>0</v>
      </c>
      <c r="AL199" s="662">
        <v>0</v>
      </c>
      <c r="AM199" s="662">
        <v>0</v>
      </c>
      <c r="AN199" s="662">
        <v>0</v>
      </c>
      <c r="AO199" s="662">
        <v>0</v>
      </c>
      <c r="AP199" s="662">
        <v>0</v>
      </c>
      <c r="AQ199" s="802">
        <v>0</v>
      </c>
      <c r="AR199" s="662">
        <v>0</v>
      </c>
      <c r="AS199" s="662">
        <v>0</v>
      </c>
      <c r="AT199" s="662">
        <v>0</v>
      </c>
      <c r="AU199" s="662">
        <v>0</v>
      </c>
      <c r="AV199" s="662">
        <v>0</v>
      </c>
      <c r="AW199" s="662">
        <v>0</v>
      </c>
      <c r="AX199" s="662">
        <v>0</v>
      </c>
      <c r="AY199" s="662">
        <v>0</v>
      </c>
      <c r="AZ199" s="662">
        <v>0</v>
      </c>
      <c r="BA199" s="662">
        <v>0</v>
      </c>
      <c r="BB199" s="662">
        <v>0</v>
      </c>
      <c r="BC199" s="662">
        <v>0</v>
      </c>
      <c r="BD199" s="662">
        <v>0</v>
      </c>
      <c r="BE199" s="802">
        <v>0</v>
      </c>
      <c r="BF199" s="662">
        <v>0</v>
      </c>
      <c r="BG199" s="662">
        <v>0</v>
      </c>
      <c r="BH199" s="662">
        <v>0</v>
      </c>
      <c r="BI199" s="662">
        <v>0</v>
      </c>
      <c r="BJ199" s="662">
        <v>0</v>
      </c>
      <c r="BK199" s="662">
        <v>0</v>
      </c>
      <c r="BL199" s="662">
        <v>0</v>
      </c>
      <c r="BM199" s="662">
        <v>0</v>
      </c>
      <c r="BN199" s="662">
        <v>0</v>
      </c>
      <c r="BO199" s="662">
        <v>0</v>
      </c>
      <c r="BP199" s="662">
        <v>0</v>
      </c>
      <c r="BQ199" s="662">
        <v>0</v>
      </c>
      <c r="BR199" s="662">
        <v>0</v>
      </c>
      <c r="BS199" s="662">
        <v>0</v>
      </c>
      <c r="BT199" s="662">
        <v>0</v>
      </c>
      <c r="BU199" s="662">
        <v>0</v>
      </c>
      <c r="BV199" s="662">
        <v>0</v>
      </c>
      <c r="BW199" s="662">
        <v>0</v>
      </c>
      <c r="BX199" s="662">
        <v>0</v>
      </c>
      <c r="BY199" s="662">
        <v>0</v>
      </c>
      <c r="BZ199" s="662">
        <v>0</v>
      </c>
      <c r="CA199" s="662">
        <v>0</v>
      </c>
      <c r="CB199" s="662">
        <v>0</v>
      </c>
      <c r="CC199" s="662">
        <v>0</v>
      </c>
      <c r="CD199" s="662">
        <v>0</v>
      </c>
      <c r="CE199" s="662">
        <v>0</v>
      </c>
      <c r="CF199" s="662">
        <v>0</v>
      </c>
      <c r="CG199" s="662">
        <v>0</v>
      </c>
      <c r="CH199" s="662">
        <v>0</v>
      </c>
      <c r="CI199" s="662">
        <v>0</v>
      </c>
      <c r="CJ199" s="662">
        <v>0</v>
      </c>
      <c r="CK199" s="662">
        <v>0</v>
      </c>
      <c r="CL199" s="662">
        <v>0</v>
      </c>
      <c r="CM199" s="662">
        <v>0</v>
      </c>
      <c r="CN199" s="662">
        <v>0</v>
      </c>
      <c r="CO199" s="662">
        <v>0</v>
      </c>
      <c r="CP199" s="662">
        <v>0</v>
      </c>
      <c r="CQ199" s="662">
        <v>0</v>
      </c>
      <c r="CR199" s="662">
        <v>0</v>
      </c>
      <c r="CS199" s="662">
        <v>0</v>
      </c>
      <c r="CT199" s="662">
        <v>0</v>
      </c>
      <c r="CU199" s="662">
        <v>0</v>
      </c>
      <c r="CV199" s="662">
        <v>0</v>
      </c>
      <c r="CW199" s="662">
        <v>0</v>
      </c>
      <c r="CX199" s="662">
        <v>0</v>
      </c>
      <c r="CY199" s="662">
        <v>0</v>
      </c>
      <c r="CZ199" s="662">
        <v>0</v>
      </c>
      <c r="DA199" s="662">
        <v>0</v>
      </c>
      <c r="DB199" s="662">
        <v>0</v>
      </c>
      <c r="DC199" s="662">
        <v>0</v>
      </c>
      <c r="DD199" s="662">
        <v>0</v>
      </c>
      <c r="DE199" s="662">
        <v>0</v>
      </c>
      <c r="DF199" s="662">
        <v>0</v>
      </c>
      <c r="DG199" s="662">
        <v>0</v>
      </c>
      <c r="DH199" s="662">
        <v>0</v>
      </c>
      <c r="DI199" s="662">
        <v>0</v>
      </c>
      <c r="DJ199" s="662">
        <v>0</v>
      </c>
      <c r="DK199" s="662">
        <v>0</v>
      </c>
      <c r="DL199" s="662">
        <v>0</v>
      </c>
      <c r="DM199" s="662">
        <v>0</v>
      </c>
      <c r="DN199" s="662">
        <v>0</v>
      </c>
      <c r="DO199" s="662">
        <v>0</v>
      </c>
      <c r="DP199" s="662">
        <v>0</v>
      </c>
      <c r="DQ199" s="662">
        <v>0</v>
      </c>
      <c r="DR199" s="662">
        <v>0</v>
      </c>
      <c r="DS199" s="662">
        <v>0</v>
      </c>
      <c r="DT199" s="662">
        <v>0</v>
      </c>
      <c r="DU199" s="662">
        <v>0</v>
      </c>
      <c r="DV199" s="662">
        <v>0</v>
      </c>
      <c r="DW199" s="662">
        <v>0</v>
      </c>
      <c r="DX199" s="662">
        <v>0</v>
      </c>
      <c r="DY199" s="662">
        <v>0</v>
      </c>
      <c r="DZ199" s="662">
        <v>0</v>
      </c>
      <c r="EA199" s="662">
        <v>0</v>
      </c>
      <c r="EB199" s="662">
        <v>0</v>
      </c>
      <c r="EC199" s="662">
        <v>0</v>
      </c>
      <c r="ED199" s="662">
        <v>0</v>
      </c>
      <c r="EE199" s="662">
        <v>0</v>
      </c>
      <c r="EF199" s="662">
        <v>0</v>
      </c>
      <c r="EG199" s="662">
        <v>0</v>
      </c>
      <c r="EH199" s="662">
        <v>0</v>
      </c>
      <c r="EI199" s="662">
        <v>0</v>
      </c>
      <c r="EJ199" s="662">
        <v>0</v>
      </c>
      <c r="EK199" s="662">
        <v>0</v>
      </c>
      <c r="EL199" s="662">
        <v>0</v>
      </c>
      <c r="EM199" s="662">
        <v>0</v>
      </c>
      <c r="EN199" s="662">
        <v>0</v>
      </c>
      <c r="EO199" s="662">
        <v>0</v>
      </c>
      <c r="EP199" s="662">
        <v>0</v>
      </c>
      <c r="EQ199" s="662">
        <v>0</v>
      </c>
    </row>
    <row r="200" spans="1:147" ht="13.95" customHeight="1" x14ac:dyDescent="0.3">
      <c r="A200" s="660" t="s">
        <v>1856</v>
      </c>
      <c r="B200" s="661" t="s">
        <v>269</v>
      </c>
      <c r="C200" s="662">
        <v>20089</v>
      </c>
      <c r="D200" s="662">
        <v>0</v>
      </c>
      <c r="E200" s="662">
        <v>17912</v>
      </c>
      <c r="F200" s="662">
        <v>2826350</v>
      </c>
      <c r="G200" s="662">
        <v>0</v>
      </c>
      <c r="H200" s="662">
        <v>0</v>
      </c>
      <c r="I200" s="662">
        <v>2729860</v>
      </c>
      <c r="J200" s="802">
        <v>706</v>
      </c>
      <c r="K200" s="662">
        <v>0</v>
      </c>
      <c r="L200" s="662">
        <v>687</v>
      </c>
      <c r="M200" s="662">
        <v>110169</v>
      </c>
      <c r="N200" s="662">
        <v>0</v>
      </c>
      <c r="O200" s="662">
        <v>0</v>
      </c>
      <c r="P200" s="662">
        <v>110169</v>
      </c>
      <c r="Q200" s="802">
        <v>0</v>
      </c>
      <c r="R200" s="662">
        <v>0</v>
      </c>
      <c r="S200" s="662">
        <v>0</v>
      </c>
      <c r="T200" s="662">
        <v>0</v>
      </c>
      <c r="U200" s="662">
        <v>0</v>
      </c>
      <c r="V200" s="662">
        <v>0</v>
      </c>
      <c r="W200" s="802">
        <v>65</v>
      </c>
      <c r="X200" s="662">
        <v>0</v>
      </c>
      <c r="Y200" s="662">
        <v>65</v>
      </c>
      <c r="Z200" s="662">
        <v>3195</v>
      </c>
      <c r="AA200" s="662">
        <v>0</v>
      </c>
      <c r="AB200" s="662">
        <v>0</v>
      </c>
      <c r="AC200" s="662">
        <v>3045</v>
      </c>
      <c r="AD200" s="802">
        <v>103</v>
      </c>
      <c r="AE200" s="662">
        <v>0</v>
      </c>
      <c r="AF200" s="662">
        <v>78</v>
      </c>
      <c r="AG200" s="662">
        <v>9191</v>
      </c>
      <c r="AH200" s="662">
        <v>0</v>
      </c>
      <c r="AI200" s="662">
        <v>0</v>
      </c>
      <c r="AJ200" s="662">
        <v>9191</v>
      </c>
      <c r="AK200" s="802">
        <v>94</v>
      </c>
      <c r="AL200" s="662">
        <v>89</v>
      </c>
      <c r="AM200" s="662">
        <v>4846</v>
      </c>
      <c r="AN200" s="662">
        <v>0</v>
      </c>
      <c r="AO200" s="662">
        <v>0</v>
      </c>
      <c r="AP200" s="662">
        <v>4846</v>
      </c>
      <c r="AQ200" s="802">
        <v>390</v>
      </c>
      <c r="AR200" s="662">
        <v>0</v>
      </c>
      <c r="AS200" s="662">
        <v>379</v>
      </c>
      <c r="AT200" s="662">
        <v>69699</v>
      </c>
      <c r="AU200" s="662">
        <v>0</v>
      </c>
      <c r="AV200" s="662">
        <v>0</v>
      </c>
      <c r="AW200" s="662">
        <v>48035</v>
      </c>
      <c r="AX200" s="662">
        <v>10</v>
      </c>
      <c r="AY200" s="662">
        <v>0</v>
      </c>
      <c r="AZ200" s="662">
        <v>10</v>
      </c>
      <c r="BA200" s="662">
        <v>1749</v>
      </c>
      <c r="BB200" s="662">
        <v>0</v>
      </c>
      <c r="BC200" s="662">
        <v>0</v>
      </c>
      <c r="BD200" s="662">
        <v>1713</v>
      </c>
      <c r="BE200" s="802">
        <v>6303</v>
      </c>
      <c r="BF200" s="662">
        <v>0</v>
      </c>
      <c r="BG200" s="662">
        <v>5238</v>
      </c>
      <c r="BH200" s="662">
        <v>1001948</v>
      </c>
      <c r="BI200" s="662">
        <v>0</v>
      </c>
      <c r="BJ200" s="662">
        <v>0</v>
      </c>
      <c r="BK200" s="662">
        <v>1001948</v>
      </c>
      <c r="BL200" s="662">
        <v>191</v>
      </c>
      <c r="BM200" s="662">
        <v>0</v>
      </c>
      <c r="BN200" s="662">
        <v>183</v>
      </c>
      <c r="BO200" s="662">
        <v>23350</v>
      </c>
      <c r="BP200" s="662">
        <v>0</v>
      </c>
      <c r="BQ200" s="662">
        <v>0</v>
      </c>
      <c r="BR200" s="662">
        <v>22540</v>
      </c>
      <c r="BS200" s="662">
        <v>24</v>
      </c>
      <c r="BT200" s="662">
        <v>0</v>
      </c>
      <c r="BU200" s="662">
        <v>24</v>
      </c>
      <c r="BV200" s="662">
        <v>1500</v>
      </c>
      <c r="BW200" s="662">
        <v>0</v>
      </c>
      <c r="BX200" s="662">
        <v>0</v>
      </c>
      <c r="BY200" s="662">
        <v>1500</v>
      </c>
      <c r="BZ200" s="662">
        <v>180</v>
      </c>
      <c r="CA200" s="662">
        <v>0</v>
      </c>
      <c r="CB200" s="662">
        <v>173</v>
      </c>
      <c r="CC200" s="662">
        <v>21848</v>
      </c>
      <c r="CD200" s="662">
        <v>0</v>
      </c>
      <c r="CE200" s="662">
        <v>0</v>
      </c>
      <c r="CF200" s="662">
        <v>21181</v>
      </c>
      <c r="CG200" s="662">
        <v>147</v>
      </c>
      <c r="CH200" s="662">
        <v>0</v>
      </c>
      <c r="CI200" s="662">
        <v>144</v>
      </c>
      <c r="CJ200" s="662">
        <v>14840</v>
      </c>
      <c r="CK200" s="662">
        <v>0</v>
      </c>
      <c r="CL200" s="662">
        <v>0</v>
      </c>
      <c r="CM200" s="662">
        <v>13210</v>
      </c>
      <c r="CN200" s="662">
        <v>299</v>
      </c>
      <c r="CO200" s="662">
        <v>0</v>
      </c>
      <c r="CP200" s="662">
        <v>287</v>
      </c>
      <c r="CQ200" s="662">
        <v>39398</v>
      </c>
      <c r="CR200" s="662">
        <v>0</v>
      </c>
      <c r="CS200" s="662">
        <v>0</v>
      </c>
      <c r="CT200" s="662">
        <v>38898</v>
      </c>
      <c r="CU200" s="662">
        <v>140</v>
      </c>
      <c r="CV200" s="662">
        <v>0</v>
      </c>
      <c r="CW200" s="662">
        <v>140</v>
      </c>
      <c r="CX200" s="662">
        <v>20600</v>
      </c>
      <c r="CY200" s="662">
        <v>0</v>
      </c>
      <c r="CZ200" s="662">
        <v>0</v>
      </c>
      <c r="DA200" s="662">
        <v>20600</v>
      </c>
      <c r="DB200" s="662">
        <v>4757</v>
      </c>
      <c r="DC200" s="662">
        <v>0</v>
      </c>
      <c r="DD200" s="662">
        <v>3856</v>
      </c>
      <c r="DE200" s="662">
        <v>647060</v>
      </c>
      <c r="DF200" s="662">
        <v>0</v>
      </c>
      <c r="DG200" s="662">
        <v>0</v>
      </c>
      <c r="DH200" s="662">
        <v>603110</v>
      </c>
      <c r="DI200" s="662">
        <v>1155</v>
      </c>
      <c r="DJ200" s="662">
        <v>0</v>
      </c>
      <c r="DK200" s="662">
        <v>1120</v>
      </c>
      <c r="DL200" s="662">
        <v>170600</v>
      </c>
      <c r="DM200" s="662">
        <v>0</v>
      </c>
      <c r="DN200" s="662">
        <v>0</v>
      </c>
      <c r="DO200" s="662">
        <v>166050</v>
      </c>
      <c r="DP200" s="662">
        <v>3765</v>
      </c>
      <c r="DQ200" s="662">
        <v>0</v>
      </c>
      <c r="DR200" s="662">
        <v>3716</v>
      </c>
      <c r="DS200" s="662">
        <v>437370</v>
      </c>
      <c r="DT200" s="662">
        <v>0</v>
      </c>
      <c r="DU200" s="662">
        <v>0</v>
      </c>
      <c r="DV200" s="662">
        <v>432934</v>
      </c>
      <c r="DW200" s="662">
        <v>626</v>
      </c>
      <c r="DX200" s="662">
        <v>0</v>
      </c>
      <c r="DY200" s="662">
        <v>623</v>
      </c>
      <c r="DZ200" s="662">
        <v>113420</v>
      </c>
      <c r="EA200" s="662">
        <v>0</v>
      </c>
      <c r="EB200" s="662">
        <v>0</v>
      </c>
      <c r="EC200" s="662">
        <v>100973</v>
      </c>
      <c r="ED200" s="662">
        <v>996</v>
      </c>
      <c r="EE200" s="662">
        <v>0</v>
      </c>
      <c r="EF200" s="662">
        <v>966</v>
      </c>
      <c r="EG200" s="662">
        <v>121527</v>
      </c>
      <c r="EH200" s="662">
        <v>0</v>
      </c>
      <c r="EI200" s="662">
        <v>0</v>
      </c>
      <c r="EJ200" s="662">
        <v>117767</v>
      </c>
      <c r="EK200" s="662">
        <v>138</v>
      </c>
      <c r="EL200" s="662">
        <v>0</v>
      </c>
      <c r="EM200" s="662">
        <v>134</v>
      </c>
      <c r="EN200" s="662">
        <v>14040</v>
      </c>
      <c r="EO200" s="662">
        <v>0</v>
      </c>
      <c r="EP200" s="662">
        <v>0</v>
      </c>
      <c r="EQ200" s="662">
        <v>12150</v>
      </c>
    </row>
    <row r="201" spans="1:147" ht="13.95" customHeight="1" x14ac:dyDescent="0.3">
      <c r="A201" s="660" t="s">
        <v>1857</v>
      </c>
      <c r="B201" s="661" t="s">
        <v>269</v>
      </c>
      <c r="C201" s="662">
        <v>30011</v>
      </c>
      <c r="D201" s="662">
        <v>0</v>
      </c>
      <c r="E201" s="662">
        <v>29210</v>
      </c>
      <c r="F201" s="662">
        <v>1046727</v>
      </c>
      <c r="G201" s="662">
        <v>0</v>
      </c>
      <c r="H201" s="662">
        <v>0</v>
      </c>
      <c r="I201" s="662">
        <v>986024</v>
      </c>
      <c r="J201" s="802">
        <v>353</v>
      </c>
      <c r="K201" s="662">
        <v>0</v>
      </c>
      <c r="L201" s="662">
        <v>311</v>
      </c>
      <c r="M201" s="662">
        <v>23781</v>
      </c>
      <c r="N201" s="662">
        <v>0</v>
      </c>
      <c r="O201" s="662">
        <v>0</v>
      </c>
      <c r="P201" s="662">
        <v>23781</v>
      </c>
      <c r="Q201" s="802">
        <v>0</v>
      </c>
      <c r="R201" s="662">
        <v>0</v>
      </c>
      <c r="S201" s="662">
        <v>0</v>
      </c>
      <c r="T201" s="662">
        <v>0</v>
      </c>
      <c r="U201" s="662">
        <v>0</v>
      </c>
      <c r="V201" s="662">
        <v>0</v>
      </c>
      <c r="W201" s="802">
        <v>24</v>
      </c>
      <c r="X201" s="662">
        <v>0</v>
      </c>
      <c r="Y201" s="662">
        <v>24</v>
      </c>
      <c r="Z201" s="662">
        <v>1226</v>
      </c>
      <c r="AA201" s="662">
        <v>0</v>
      </c>
      <c r="AB201" s="662">
        <v>0</v>
      </c>
      <c r="AC201" s="662">
        <v>1076</v>
      </c>
      <c r="AD201" s="802">
        <v>189</v>
      </c>
      <c r="AE201" s="662">
        <v>0</v>
      </c>
      <c r="AF201" s="662">
        <v>159</v>
      </c>
      <c r="AG201" s="662">
        <v>10869</v>
      </c>
      <c r="AH201" s="662">
        <v>0</v>
      </c>
      <c r="AI201" s="662">
        <v>0</v>
      </c>
      <c r="AJ201" s="662">
        <v>10869</v>
      </c>
      <c r="AK201" s="802">
        <v>389</v>
      </c>
      <c r="AL201" s="662">
        <v>375</v>
      </c>
      <c r="AM201" s="662">
        <v>29150</v>
      </c>
      <c r="AN201" s="662">
        <v>0</v>
      </c>
      <c r="AO201" s="662">
        <v>0</v>
      </c>
      <c r="AP201" s="662">
        <v>29150</v>
      </c>
      <c r="AQ201" s="802">
        <v>2105</v>
      </c>
      <c r="AR201" s="662">
        <v>0</v>
      </c>
      <c r="AS201" s="662">
        <v>2096</v>
      </c>
      <c r="AT201" s="662">
        <v>104714</v>
      </c>
      <c r="AU201" s="662">
        <v>0</v>
      </c>
      <c r="AV201" s="662">
        <v>0</v>
      </c>
      <c r="AW201" s="662">
        <v>74970</v>
      </c>
      <c r="AX201" s="662">
        <v>24</v>
      </c>
      <c r="AY201" s="662">
        <v>0</v>
      </c>
      <c r="AZ201" s="662">
        <v>24</v>
      </c>
      <c r="BA201" s="662">
        <v>1035</v>
      </c>
      <c r="BB201" s="662">
        <v>0</v>
      </c>
      <c r="BC201" s="662">
        <v>0</v>
      </c>
      <c r="BD201" s="662">
        <v>1009</v>
      </c>
      <c r="BE201" s="802">
        <v>2142</v>
      </c>
      <c r="BF201" s="662">
        <v>0</v>
      </c>
      <c r="BG201" s="662">
        <v>1732</v>
      </c>
      <c r="BH201" s="662">
        <v>96704</v>
      </c>
      <c r="BI201" s="662">
        <v>0</v>
      </c>
      <c r="BJ201" s="662">
        <v>0</v>
      </c>
      <c r="BK201" s="662">
        <v>96614</v>
      </c>
      <c r="BL201" s="662">
        <v>146</v>
      </c>
      <c r="BM201" s="662">
        <v>0</v>
      </c>
      <c r="BN201" s="662">
        <v>139</v>
      </c>
      <c r="BO201" s="662">
        <v>10102</v>
      </c>
      <c r="BP201" s="662">
        <v>0</v>
      </c>
      <c r="BQ201" s="662">
        <v>0</v>
      </c>
      <c r="BR201" s="662">
        <v>9835</v>
      </c>
      <c r="BS201" s="662">
        <v>20</v>
      </c>
      <c r="BT201" s="662">
        <v>0</v>
      </c>
      <c r="BU201" s="662">
        <v>20</v>
      </c>
      <c r="BV201" s="662">
        <v>1140</v>
      </c>
      <c r="BW201" s="662">
        <v>0</v>
      </c>
      <c r="BX201" s="662">
        <v>0</v>
      </c>
      <c r="BY201" s="662">
        <v>1140</v>
      </c>
      <c r="BZ201" s="662">
        <v>84</v>
      </c>
      <c r="CA201" s="662">
        <v>0</v>
      </c>
      <c r="CB201" s="662">
        <v>80</v>
      </c>
      <c r="CC201" s="662">
        <v>2983</v>
      </c>
      <c r="CD201" s="662">
        <v>0</v>
      </c>
      <c r="CE201" s="662">
        <v>0</v>
      </c>
      <c r="CF201" s="662">
        <v>2869</v>
      </c>
      <c r="CG201" s="662">
        <v>860</v>
      </c>
      <c r="CH201" s="662">
        <v>0</v>
      </c>
      <c r="CI201" s="662">
        <v>853</v>
      </c>
      <c r="CJ201" s="662">
        <v>28460</v>
      </c>
      <c r="CK201" s="662">
        <v>0</v>
      </c>
      <c r="CL201" s="662">
        <v>0</v>
      </c>
      <c r="CM201" s="662">
        <v>26500</v>
      </c>
      <c r="CN201" s="662">
        <v>182</v>
      </c>
      <c r="CO201" s="662">
        <v>0</v>
      </c>
      <c r="CP201" s="662">
        <v>180</v>
      </c>
      <c r="CQ201" s="662">
        <v>16100</v>
      </c>
      <c r="CR201" s="662">
        <v>0</v>
      </c>
      <c r="CS201" s="662">
        <v>0</v>
      </c>
      <c r="CT201" s="662">
        <v>15700</v>
      </c>
      <c r="CU201" s="662">
        <v>8</v>
      </c>
      <c r="CV201" s="662">
        <v>0</v>
      </c>
      <c r="CW201" s="662">
        <v>8</v>
      </c>
      <c r="CX201" s="662">
        <v>770</v>
      </c>
      <c r="CY201" s="662">
        <v>0</v>
      </c>
      <c r="CZ201" s="662">
        <v>0</v>
      </c>
      <c r="DA201" s="662">
        <v>770</v>
      </c>
      <c r="DB201" s="662">
        <v>3181</v>
      </c>
      <c r="DC201" s="662">
        <v>0</v>
      </c>
      <c r="DD201" s="662">
        <v>3090</v>
      </c>
      <c r="DE201" s="662">
        <v>301140</v>
      </c>
      <c r="DF201" s="662">
        <v>0</v>
      </c>
      <c r="DG201" s="662">
        <v>0</v>
      </c>
      <c r="DH201" s="662">
        <v>281468</v>
      </c>
      <c r="DI201" s="662">
        <v>18709</v>
      </c>
      <c r="DJ201" s="662">
        <v>0</v>
      </c>
      <c r="DK201" s="662">
        <v>18549</v>
      </c>
      <c r="DL201" s="662">
        <v>323990</v>
      </c>
      <c r="DM201" s="662">
        <v>0</v>
      </c>
      <c r="DN201" s="662">
        <v>0</v>
      </c>
      <c r="DO201" s="662">
        <v>320195</v>
      </c>
      <c r="DP201" s="662">
        <v>176</v>
      </c>
      <c r="DQ201" s="662">
        <v>0</v>
      </c>
      <c r="DR201" s="662">
        <v>174</v>
      </c>
      <c r="DS201" s="662">
        <v>9663</v>
      </c>
      <c r="DT201" s="662">
        <v>0</v>
      </c>
      <c r="DU201" s="662">
        <v>0</v>
      </c>
      <c r="DV201" s="662">
        <v>9246</v>
      </c>
      <c r="DW201" s="662">
        <v>386</v>
      </c>
      <c r="DX201" s="662">
        <v>0</v>
      </c>
      <c r="DY201" s="662">
        <v>386</v>
      </c>
      <c r="DZ201" s="662">
        <v>40617</v>
      </c>
      <c r="EA201" s="662">
        <v>0</v>
      </c>
      <c r="EB201" s="662">
        <v>0</v>
      </c>
      <c r="EC201" s="662">
        <v>38429</v>
      </c>
      <c r="ED201" s="662">
        <v>744</v>
      </c>
      <c r="EE201" s="662">
        <v>0</v>
      </c>
      <c r="EF201" s="662">
        <v>736</v>
      </c>
      <c r="EG201" s="662">
        <v>30138</v>
      </c>
      <c r="EH201" s="662">
        <v>0</v>
      </c>
      <c r="EI201" s="662">
        <v>0</v>
      </c>
      <c r="EJ201" s="662">
        <v>29328</v>
      </c>
      <c r="EK201" s="662">
        <v>289</v>
      </c>
      <c r="EL201" s="662">
        <v>0</v>
      </c>
      <c r="EM201" s="662">
        <v>274</v>
      </c>
      <c r="EN201" s="662">
        <v>14145</v>
      </c>
      <c r="EO201" s="662">
        <v>0</v>
      </c>
      <c r="EP201" s="662">
        <v>0</v>
      </c>
      <c r="EQ201" s="662">
        <v>13075</v>
      </c>
    </row>
    <row r="202" spans="1:147" ht="13.95" customHeight="1" x14ac:dyDescent="0.3">
      <c r="A202" s="660" t="s">
        <v>1858</v>
      </c>
      <c r="B202" s="661" t="s">
        <v>269</v>
      </c>
      <c r="C202" s="662">
        <v>0</v>
      </c>
      <c r="D202" s="662">
        <v>0</v>
      </c>
      <c r="E202" s="662">
        <v>0</v>
      </c>
      <c r="F202" s="662">
        <v>0</v>
      </c>
      <c r="G202" s="662">
        <v>0</v>
      </c>
      <c r="H202" s="662">
        <v>0</v>
      </c>
      <c r="I202" s="662">
        <v>0</v>
      </c>
      <c r="J202" s="802">
        <v>0</v>
      </c>
      <c r="K202" s="662">
        <v>0</v>
      </c>
      <c r="L202" s="662">
        <v>0</v>
      </c>
      <c r="M202" s="662">
        <v>0</v>
      </c>
      <c r="N202" s="662">
        <v>0</v>
      </c>
      <c r="O202" s="662">
        <v>0</v>
      </c>
      <c r="P202" s="662">
        <v>0</v>
      </c>
      <c r="Q202" s="802">
        <v>0</v>
      </c>
      <c r="R202" s="662">
        <v>0</v>
      </c>
      <c r="S202" s="662">
        <v>0</v>
      </c>
      <c r="T202" s="662">
        <v>0</v>
      </c>
      <c r="U202" s="662">
        <v>0</v>
      </c>
      <c r="V202" s="662">
        <v>0</v>
      </c>
      <c r="W202" s="802">
        <v>0</v>
      </c>
      <c r="X202" s="662">
        <v>0</v>
      </c>
      <c r="Y202" s="662">
        <v>0</v>
      </c>
      <c r="Z202" s="662">
        <v>0</v>
      </c>
      <c r="AA202" s="662">
        <v>0</v>
      </c>
      <c r="AB202" s="662">
        <v>0</v>
      </c>
      <c r="AC202" s="662">
        <v>0</v>
      </c>
      <c r="AD202" s="802">
        <v>0</v>
      </c>
      <c r="AE202" s="662">
        <v>0</v>
      </c>
      <c r="AF202" s="662">
        <v>0</v>
      </c>
      <c r="AG202" s="662">
        <v>0</v>
      </c>
      <c r="AH202" s="662">
        <v>0</v>
      </c>
      <c r="AI202" s="662">
        <v>0</v>
      </c>
      <c r="AJ202" s="662">
        <v>0</v>
      </c>
      <c r="AK202" s="802">
        <v>0</v>
      </c>
      <c r="AL202" s="662">
        <v>0</v>
      </c>
      <c r="AM202" s="662">
        <v>0</v>
      </c>
      <c r="AN202" s="662">
        <v>0</v>
      </c>
      <c r="AO202" s="662">
        <v>0</v>
      </c>
      <c r="AP202" s="662">
        <v>0</v>
      </c>
      <c r="AQ202" s="802">
        <v>0</v>
      </c>
      <c r="AR202" s="662">
        <v>0</v>
      </c>
      <c r="AS202" s="662">
        <v>0</v>
      </c>
      <c r="AT202" s="662">
        <v>0</v>
      </c>
      <c r="AU202" s="662">
        <v>0</v>
      </c>
      <c r="AV202" s="662">
        <v>0</v>
      </c>
      <c r="AW202" s="662">
        <v>0</v>
      </c>
      <c r="AX202" s="662">
        <v>0</v>
      </c>
      <c r="AY202" s="662">
        <v>0</v>
      </c>
      <c r="AZ202" s="662">
        <v>0</v>
      </c>
      <c r="BA202" s="662">
        <v>0</v>
      </c>
      <c r="BB202" s="662">
        <v>0</v>
      </c>
      <c r="BC202" s="662">
        <v>0</v>
      </c>
      <c r="BD202" s="662">
        <v>0</v>
      </c>
      <c r="BE202" s="802">
        <v>0</v>
      </c>
      <c r="BF202" s="662">
        <v>0</v>
      </c>
      <c r="BG202" s="662">
        <v>0</v>
      </c>
      <c r="BH202" s="662">
        <v>0</v>
      </c>
      <c r="BI202" s="662">
        <v>0</v>
      </c>
      <c r="BJ202" s="662">
        <v>0</v>
      </c>
      <c r="BK202" s="662">
        <v>0</v>
      </c>
      <c r="BL202" s="662">
        <v>0</v>
      </c>
      <c r="BM202" s="662">
        <v>0</v>
      </c>
      <c r="BN202" s="662">
        <v>0</v>
      </c>
      <c r="BO202" s="662">
        <v>0</v>
      </c>
      <c r="BP202" s="662">
        <v>0</v>
      </c>
      <c r="BQ202" s="662">
        <v>0</v>
      </c>
      <c r="BR202" s="662">
        <v>0</v>
      </c>
      <c r="BS202" s="662">
        <v>0</v>
      </c>
      <c r="BT202" s="662">
        <v>0</v>
      </c>
      <c r="BU202" s="662">
        <v>0</v>
      </c>
      <c r="BV202" s="662">
        <v>0</v>
      </c>
      <c r="BW202" s="662">
        <v>0</v>
      </c>
      <c r="BX202" s="662">
        <v>0</v>
      </c>
      <c r="BY202" s="662">
        <v>0</v>
      </c>
      <c r="BZ202" s="662">
        <v>0</v>
      </c>
      <c r="CA202" s="662">
        <v>0</v>
      </c>
      <c r="CB202" s="662">
        <v>0</v>
      </c>
      <c r="CC202" s="662">
        <v>0</v>
      </c>
      <c r="CD202" s="662">
        <v>0</v>
      </c>
      <c r="CE202" s="662">
        <v>0</v>
      </c>
      <c r="CF202" s="662">
        <v>0</v>
      </c>
      <c r="CG202" s="662">
        <v>0</v>
      </c>
      <c r="CH202" s="662">
        <v>0</v>
      </c>
      <c r="CI202" s="662">
        <v>0</v>
      </c>
      <c r="CJ202" s="662">
        <v>0</v>
      </c>
      <c r="CK202" s="662">
        <v>0</v>
      </c>
      <c r="CL202" s="662">
        <v>0</v>
      </c>
      <c r="CM202" s="662">
        <v>0</v>
      </c>
      <c r="CN202" s="662">
        <v>0</v>
      </c>
      <c r="CO202" s="662">
        <v>0</v>
      </c>
      <c r="CP202" s="662">
        <v>0</v>
      </c>
      <c r="CQ202" s="662">
        <v>0</v>
      </c>
      <c r="CR202" s="662">
        <v>0</v>
      </c>
      <c r="CS202" s="662">
        <v>0</v>
      </c>
      <c r="CT202" s="662">
        <v>0</v>
      </c>
      <c r="CU202" s="662">
        <v>0</v>
      </c>
      <c r="CV202" s="662">
        <v>0</v>
      </c>
      <c r="CW202" s="662">
        <v>0</v>
      </c>
      <c r="CX202" s="662">
        <v>0</v>
      </c>
      <c r="CY202" s="662">
        <v>0</v>
      </c>
      <c r="CZ202" s="662">
        <v>0</v>
      </c>
      <c r="DA202" s="662">
        <v>0</v>
      </c>
      <c r="DB202" s="662">
        <v>0</v>
      </c>
      <c r="DC202" s="662">
        <v>0</v>
      </c>
      <c r="DD202" s="662">
        <v>0</v>
      </c>
      <c r="DE202" s="662">
        <v>0</v>
      </c>
      <c r="DF202" s="662">
        <v>0</v>
      </c>
      <c r="DG202" s="662">
        <v>0</v>
      </c>
      <c r="DH202" s="662">
        <v>0</v>
      </c>
      <c r="DI202" s="662">
        <v>0</v>
      </c>
      <c r="DJ202" s="662">
        <v>0</v>
      </c>
      <c r="DK202" s="662">
        <v>0</v>
      </c>
      <c r="DL202" s="662">
        <v>0</v>
      </c>
      <c r="DM202" s="662">
        <v>0</v>
      </c>
      <c r="DN202" s="662">
        <v>0</v>
      </c>
      <c r="DO202" s="662">
        <v>0</v>
      </c>
      <c r="DP202" s="662">
        <v>0</v>
      </c>
      <c r="DQ202" s="662">
        <v>0</v>
      </c>
      <c r="DR202" s="662">
        <v>0</v>
      </c>
      <c r="DS202" s="662">
        <v>0</v>
      </c>
      <c r="DT202" s="662">
        <v>0</v>
      </c>
      <c r="DU202" s="662">
        <v>0</v>
      </c>
      <c r="DV202" s="662">
        <v>0</v>
      </c>
      <c r="DW202" s="662">
        <v>0</v>
      </c>
      <c r="DX202" s="662">
        <v>0</v>
      </c>
      <c r="DY202" s="662">
        <v>0</v>
      </c>
      <c r="DZ202" s="662">
        <v>0</v>
      </c>
      <c r="EA202" s="662">
        <v>0</v>
      </c>
      <c r="EB202" s="662">
        <v>0</v>
      </c>
      <c r="EC202" s="662">
        <v>0</v>
      </c>
      <c r="ED202" s="662">
        <v>0</v>
      </c>
      <c r="EE202" s="662">
        <v>0</v>
      </c>
      <c r="EF202" s="662">
        <v>0</v>
      </c>
      <c r="EG202" s="662">
        <v>0</v>
      </c>
      <c r="EH202" s="662">
        <v>0</v>
      </c>
      <c r="EI202" s="662">
        <v>0</v>
      </c>
      <c r="EJ202" s="662">
        <v>0</v>
      </c>
      <c r="EK202" s="662">
        <v>0</v>
      </c>
      <c r="EL202" s="662">
        <v>0</v>
      </c>
      <c r="EM202" s="662">
        <v>0</v>
      </c>
      <c r="EN202" s="662">
        <v>0</v>
      </c>
      <c r="EO202" s="662">
        <v>0</v>
      </c>
      <c r="EP202" s="662">
        <v>0</v>
      </c>
      <c r="EQ202" s="662">
        <v>0</v>
      </c>
    </row>
    <row r="203" spans="1:147" ht="13.95" customHeight="1" x14ac:dyDescent="0.3">
      <c r="A203" s="660" t="s">
        <v>1859</v>
      </c>
      <c r="B203" s="661" t="s">
        <v>269</v>
      </c>
      <c r="C203" s="662">
        <v>0</v>
      </c>
      <c r="D203" s="662">
        <v>0</v>
      </c>
      <c r="E203" s="662">
        <v>0</v>
      </c>
      <c r="F203" s="662">
        <v>0</v>
      </c>
      <c r="G203" s="662">
        <v>0</v>
      </c>
      <c r="H203" s="662">
        <v>0</v>
      </c>
      <c r="I203" s="662">
        <v>0</v>
      </c>
      <c r="J203" s="802">
        <v>0</v>
      </c>
      <c r="K203" s="662">
        <v>0</v>
      </c>
      <c r="L203" s="662">
        <v>0</v>
      </c>
      <c r="M203" s="662">
        <v>0</v>
      </c>
      <c r="N203" s="662">
        <v>0</v>
      </c>
      <c r="O203" s="662">
        <v>0</v>
      </c>
      <c r="P203" s="662">
        <v>0</v>
      </c>
      <c r="Q203" s="802">
        <v>0</v>
      </c>
      <c r="R203" s="662">
        <v>0</v>
      </c>
      <c r="S203" s="662">
        <v>0</v>
      </c>
      <c r="T203" s="662">
        <v>0</v>
      </c>
      <c r="U203" s="662">
        <v>0</v>
      </c>
      <c r="V203" s="662">
        <v>0</v>
      </c>
      <c r="W203" s="802">
        <v>0</v>
      </c>
      <c r="X203" s="662">
        <v>0</v>
      </c>
      <c r="Y203" s="662">
        <v>0</v>
      </c>
      <c r="Z203" s="662">
        <v>0</v>
      </c>
      <c r="AA203" s="662">
        <v>0</v>
      </c>
      <c r="AB203" s="662">
        <v>0</v>
      </c>
      <c r="AC203" s="662">
        <v>0</v>
      </c>
      <c r="AD203" s="802">
        <v>0</v>
      </c>
      <c r="AE203" s="662">
        <v>0</v>
      </c>
      <c r="AF203" s="662">
        <v>0</v>
      </c>
      <c r="AG203" s="662">
        <v>0</v>
      </c>
      <c r="AH203" s="662">
        <v>0</v>
      </c>
      <c r="AI203" s="662">
        <v>0</v>
      </c>
      <c r="AJ203" s="662">
        <v>0</v>
      </c>
      <c r="AK203" s="802">
        <v>0</v>
      </c>
      <c r="AL203" s="662">
        <v>0</v>
      </c>
      <c r="AM203" s="662">
        <v>0</v>
      </c>
      <c r="AN203" s="662">
        <v>0</v>
      </c>
      <c r="AO203" s="662">
        <v>0</v>
      </c>
      <c r="AP203" s="662">
        <v>0</v>
      </c>
      <c r="AQ203" s="802">
        <v>0</v>
      </c>
      <c r="AR203" s="662">
        <v>0</v>
      </c>
      <c r="AS203" s="662">
        <v>0</v>
      </c>
      <c r="AT203" s="662">
        <v>0</v>
      </c>
      <c r="AU203" s="662">
        <v>0</v>
      </c>
      <c r="AV203" s="662">
        <v>0</v>
      </c>
      <c r="AW203" s="662">
        <v>0</v>
      </c>
      <c r="AX203" s="662">
        <v>0</v>
      </c>
      <c r="AY203" s="662">
        <v>0</v>
      </c>
      <c r="AZ203" s="662">
        <v>0</v>
      </c>
      <c r="BA203" s="662">
        <v>0</v>
      </c>
      <c r="BB203" s="662">
        <v>0</v>
      </c>
      <c r="BC203" s="662">
        <v>0</v>
      </c>
      <c r="BD203" s="662">
        <v>0</v>
      </c>
      <c r="BE203" s="802">
        <v>0</v>
      </c>
      <c r="BF203" s="662">
        <v>0</v>
      </c>
      <c r="BG203" s="662">
        <v>0</v>
      </c>
      <c r="BH203" s="662">
        <v>0</v>
      </c>
      <c r="BI203" s="662">
        <v>0</v>
      </c>
      <c r="BJ203" s="662">
        <v>0</v>
      </c>
      <c r="BK203" s="662">
        <v>0</v>
      </c>
      <c r="BL203" s="662">
        <v>0</v>
      </c>
      <c r="BM203" s="662">
        <v>0</v>
      </c>
      <c r="BN203" s="662">
        <v>0</v>
      </c>
      <c r="BO203" s="662">
        <v>0</v>
      </c>
      <c r="BP203" s="662">
        <v>0</v>
      </c>
      <c r="BQ203" s="662">
        <v>0</v>
      </c>
      <c r="BR203" s="662">
        <v>0</v>
      </c>
      <c r="BS203" s="662">
        <v>0</v>
      </c>
      <c r="BT203" s="662">
        <v>0</v>
      </c>
      <c r="BU203" s="662">
        <v>0</v>
      </c>
      <c r="BV203" s="662">
        <v>0</v>
      </c>
      <c r="BW203" s="662">
        <v>0</v>
      </c>
      <c r="BX203" s="662">
        <v>0</v>
      </c>
      <c r="BY203" s="662">
        <v>0</v>
      </c>
      <c r="BZ203" s="662">
        <v>0</v>
      </c>
      <c r="CA203" s="662">
        <v>0</v>
      </c>
      <c r="CB203" s="662">
        <v>0</v>
      </c>
      <c r="CC203" s="662">
        <v>0</v>
      </c>
      <c r="CD203" s="662">
        <v>0</v>
      </c>
      <c r="CE203" s="662">
        <v>0</v>
      </c>
      <c r="CF203" s="662">
        <v>0</v>
      </c>
      <c r="CG203" s="662">
        <v>0</v>
      </c>
      <c r="CH203" s="662">
        <v>0</v>
      </c>
      <c r="CI203" s="662">
        <v>0</v>
      </c>
      <c r="CJ203" s="662">
        <v>0</v>
      </c>
      <c r="CK203" s="662">
        <v>0</v>
      </c>
      <c r="CL203" s="662">
        <v>0</v>
      </c>
      <c r="CM203" s="662">
        <v>0</v>
      </c>
      <c r="CN203" s="662">
        <v>0</v>
      </c>
      <c r="CO203" s="662">
        <v>0</v>
      </c>
      <c r="CP203" s="662">
        <v>0</v>
      </c>
      <c r="CQ203" s="662">
        <v>0</v>
      </c>
      <c r="CR203" s="662">
        <v>0</v>
      </c>
      <c r="CS203" s="662">
        <v>0</v>
      </c>
      <c r="CT203" s="662">
        <v>0</v>
      </c>
      <c r="CU203" s="662">
        <v>0</v>
      </c>
      <c r="CV203" s="662">
        <v>0</v>
      </c>
      <c r="CW203" s="662">
        <v>0</v>
      </c>
      <c r="CX203" s="662">
        <v>0</v>
      </c>
      <c r="CY203" s="662">
        <v>0</v>
      </c>
      <c r="CZ203" s="662">
        <v>0</v>
      </c>
      <c r="DA203" s="662">
        <v>0</v>
      </c>
      <c r="DB203" s="662">
        <v>0</v>
      </c>
      <c r="DC203" s="662">
        <v>0</v>
      </c>
      <c r="DD203" s="662">
        <v>0</v>
      </c>
      <c r="DE203" s="662">
        <v>0</v>
      </c>
      <c r="DF203" s="662">
        <v>0</v>
      </c>
      <c r="DG203" s="662">
        <v>0</v>
      </c>
      <c r="DH203" s="662">
        <v>0</v>
      </c>
      <c r="DI203" s="662">
        <v>0</v>
      </c>
      <c r="DJ203" s="662">
        <v>0</v>
      </c>
      <c r="DK203" s="662">
        <v>0</v>
      </c>
      <c r="DL203" s="662">
        <v>0</v>
      </c>
      <c r="DM203" s="662">
        <v>0</v>
      </c>
      <c r="DN203" s="662">
        <v>0</v>
      </c>
      <c r="DO203" s="662">
        <v>0</v>
      </c>
      <c r="DP203" s="662">
        <v>0</v>
      </c>
      <c r="DQ203" s="662">
        <v>0</v>
      </c>
      <c r="DR203" s="662">
        <v>0</v>
      </c>
      <c r="DS203" s="662">
        <v>0</v>
      </c>
      <c r="DT203" s="662">
        <v>0</v>
      </c>
      <c r="DU203" s="662">
        <v>0</v>
      </c>
      <c r="DV203" s="662">
        <v>0</v>
      </c>
      <c r="DW203" s="662">
        <v>0</v>
      </c>
      <c r="DX203" s="662">
        <v>0</v>
      </c>
      <c r="DY203" s="662">
        <v>0</v>
      </c>
      <c r="DZ203" s="662">
        <v>0</v>
      </c>
      <c r="EA203" s="662">
        <v>0</v>
      </c>
      <c r="EB203" s="662">
        <v>0</v>
      </c>
      <c r="EC203" s="662">
        <v>0</v>
      </c>
      <c r="ED203" s="662">
        <v>0</v>
      </c>
      <c r="EE203" s="662">
        <v>0</v>
      </c>
      <c r="EF203" s="662">
        <v>0</v>
      </c>
      <c r="EG203" s="662">
        <v>0</v>
      </c>
      <c r="EH203" s="662">
        <v>0</v>
      </c>
      <c r="EI203" s="662">
        <v>0</v>
      </c>
      <c r="EJ203" s="662">
        <v>0</v>
      </c>
      <c r="EK203" s="662">
        <v>0</v>
      </c>
      <c r="EL203" s="662">
        <v>0</v>
      </c>
      <c r="EM203" s="662">
        <v>0</v>
      </c>
      <c r="EN203" s="662">
        <v>0</v>
      </c>
      <c r="EO203" s="662">
        <v>0</v>
      </c>
      <c r="EP203" s="662">
        <v>0</v>
      </c>
      <c r="EQ203" s="662">
        <v>0</v>
      </c>
    </row>
    <row r="204" spans="1:147" ht="13.95" customHeight="1" x14ac:dyDescent="0.3">
      <c r="A204" s="660" t="s">
        <v>1860</v>
      </c>
      <c r="B204" s="661" t="s">
        <v>269</v>
      </c>
      <c r="C204" s="662">
        <v>12846</v>
      </c>
      <c r="D204" s="662">
        <v>0</v>
      </c>
      <c r="E204" s="662">
        <v>11944</v>
      </c>
      <c r="F204" s="662">
        <v>2205746</v>
      </c>
      <c r="G204" s="662">
        <v>0</v>
      </c>
      <c r="H204" s="662">
        <v>0</v>
      </c>
      <c r="I204" s="662">
        <v>2150211</v>
      </c>
      <c r="J204" s="802">
        <v>1243</v>
      </c>
      <c r="K204" s="662">
        <v>0</v>
      </c>
      <c r="L204" s="662">
        <v>1232</v>
      </c>
      <c r="M204" s="662">
        <v>228254</v>
      </c>
      <c r="N204" s="662">
        <v>0</v>
      </c>
      <c r="O204" s="662">
        <v>0</v>
      </c>
      <c r="P204" s="662">
        <v>228254</v>
      </c>
      <c r="Q204" s="802">
        <v>0</v>
      </c>
      <c r="R204" s="662">
        <v>0</v>
      </c>
      <c r="S204" s="662">
        <v>0</v>
      </c>
      <c r="T204" s="662">
        <v>0</v>
      </c>
      <c r="U204" s="662">
        <v>0</v>
      </c>
      <c r="V204" s="662">
        <v>0</v>
      </c>
      <c r="W204" s="802">
        <v>14</v>
      </c>
      <c r="X204" s="662">
        <v>0</v>
      </c>
      <c r="Y204" s="662">
        <v>14</v>
      </c>
      <c r="Z204" s="662">
        <v>1400</v>
      </c>
      <c r="AA204" s="662">
        <v>0</v>
      </c>
      <c r="AB204" s="662">
        <v>0</v>
      </c>
      <c r="AC204" s="662">
        <v>1400</v>
      </c>
      <c r="AD204" s="802">
        <v>93</v>
      </c>
      <c r="AE204" s="662">
        <v>0</v>
      </c>
      <c r="AF204" s="662">
        <v>73</v>
      </c>
      <c r="AG204" s="662">
        <v>8909</v>
      </c>
      <c r="AH204" s="662">
        <v>0</v>
      </c>
      <c r="AI204" s="662">
        <v>0</v>
      </c>
      <c r="AJ204" s="662">
        <v>8439</v>
      </c>
      <c r="AK204" s="802">
        <v>41</v>
      </c>
      <c r="AL204" s="662">
        <v>41</v>
      </c>
      <c r="AM204" s="662">
        <v>3575</v>
      </c>
      <c r="AN204" s="662">
        <v>0</v>
      </c>
      <c r="AO204" s="662">
        <v>0</v>
      </c>
      <c r="AP204" s="662">
        <v>3575</v>
      </c>
      <c r="AQ204" s="802">
        <v>336</v>
      </c>
      <c r="AR204" s="662">
        <v>0</v>
      </c>
      <c r="AS204" s="662">
        <v>248</v>
      </c>
      <c r="AT204" s="662">
        <v>51240</v>
      </c>
      <c r="AU204" s="662">
        <v>0</v>
      </c>
      <c r="AV204" s="662">
        <v>0</v>
      </c>
      <c r="AW204" s="662">
        <v>47210</v>
      </c>
      <c r="AX204" s="662">
        <v>10</v>
      </c>
      <c r="AY204" s="662">
        <v>0</v>
      </c>
      <c r="AZ204" s="662">
        <v>10</v>
      </c>
      <c r="BA204" s="662">
        <v>2507</v>
      </c>
      <c r="BB204" s="662">
        <v>0</v>
      </c>
      <c r="BC204" s="662">
        <v>0</v>
      </c>
      <c r="BD204" s="662">
        <v>2494</v>
      </c>
      <c r="BE204" s="802">
        <v>4270</v>
      </c>
      <c r="BF204" s="662">
        <v>0</v>
      </c>
      <c r="BG204" s="662">
        <v>3742</v>
      </c>
      <c r="BH204" s="662">
        <v>831168</v>
      </c>
      <c r="BI204" s="662">
        <v>0</v>
      </c>
      <c r="BJ204" s="662">
        <v>0</v>
      </c>
      <c r="BK204" s="662">
        <v>831168</v>
      </c>
      <c r="BL204" s="662">
        <v>436</v>
      </c>
      <c r="BM204" s="662">
        <v>0</v>
      </c>
      <c r="BN204" s="662">
        <v>394</v>
      </c>
      <c r="BO204" s="662">
        <v>53225</v>
      </c>
      <c r="BP204" s="662">
        <v>0</v>
      </c>
      <c r="BQ204" s="662">
        <v>0</v>
      </c>
      <c r="BR204" s="662">
        <v>52463</v>
      </c>
      <c r="BS204" s="662">
        <v>25</v>
      </c>
      <c r="BT204" s="662">
        <v>0</v>
      </c>
      <c r="BU204" s="662">
        <v>25</v>
      </c>
      <c r="BV204" s="662">
        <v>900</v>
      </c>
      <c r="BW204" s="662">
        <v>0</v>
      </c>
      <c r="BX204" s="662">
        <v>0</v>
      </c>
      <c r="BY204" s="662">
        <v>900</v>
      </c>
      <c r="BZ204" s="662">
        <v>227</v>
      </c>
      <c r="CA204" s="662">
        <v>0</v>
      </c>
      <c r="CB204" s="662">
        <v>219</v>
      </c>
      <c r="CC204" s="662">
        <v>37533</v>
      </c>
      <c r="CD204" s="662">
        <v>0</v>
      </c>
      <c r="CE204" s="662">
        <v>0</v>
      </c>
      <c r="CF204" s="662">
        <v>37295</v>
      </c>
      <c r="CG204" s="662">
        <v>906</v>
      </c>
      <c r="CH204" s="662">
        <v>0</v>
      </c>
      <c r="CI204" s="662">
        <v>884</v>
      </c>
      <c r="CJ204" s="662">
        <v>211080</v>
      </c>
      <c r="CK204" s="662">
        <v>0</v>
      </c>
      <c r="CL204" s="662">
        <v>0</v>
      </c>
      <c r="CM204" s="662">
        <v>193000</v>
      </c>
      <c r="CN204" s="662">
        <v>349</v>
      </c>
      <c r="CO204" s="662">
        <v>0</v>
      </c>
      <c r="CP204" s="662">
        <v>347</v>
      </c>
      <c r="CQ204" s="662">
        <v>59785</v>
      </c>
      <c r="CR204" s="662">
        <v>0</v>
      </c>
      <c r="CS204" s="662">
        <v>0</v>
      </c>
      <c r="CT204" s="662">
        <v>58435</v>
      </c>
      <c r="CU204" s="662">
        <v>135</v>
      </c>
      <c r="CV204" s="662">
        <v>0</v>
      </c>
      <c r="CW204" s="662">
        <v>135</v>
      </c>
      <c r="CX204" s="662">
        <v>37800</v>
      </c>
      <c r="CY204" s="662">
        <v>0</v>
      </c>
      <c r="CZ204" s="662">
        <v>0</v>
      </c>
      <c r="DA204" s="662">
        <v>37800</v>
      </c>
      <c r="DB204" s="662">
        <v>2555</v>
      </c>
      <c r="DC204" s="662">
        <v>0</v>
      </c>
      <c r="DD204" s="662">
        <v>2438</v>
      </c>
      <c r="DE204" s="662">
        <v>409286</v>
      </c>
      <c r="DF204" s="662">
        <v>0</v>
      </c>
      <c r="DG204" s="662">
        <v>0</v>
      </c>
      <c r="DH204" s="662">
        <v>384362</v>
      </c>
      <c r="DI204" s="662">
        <v>520</v>
      </c>
      <c r="DJ204" s="662">
        <v>0</v>
      </c>
      <c r="DK204" s="662">
        <v>495</v>
      </c>
      <c r="DL204" s="662">
        <v>63775</v>
      </c>
      <c r="DM204" s="662">
        <v>0</v>
      </c>
      <c r="DN204" s="662">
        <v>0</v>
      </c>
      <c r="DO204" s="662">
        <v>61313</v>
      </c>
      <c r="DP204" s="662">
        <v>805</v>
      </c>
      <c r="DQ204" s="662">
        <v>0</v>
      </c>
      <c r="DR204" s="662">
        <v>793</v>
      </c>
      <c r="DS204" s="662">
        <v>90971</v>
      </c>
      <c r="DT204" s="662">
        <v>0</v>
      </c>
      <c r="DU204" s="662">
        <v>0</v>
      </c>
      <c r="DV204" s="662">
        <v>90971</v>
      </c>
      <c r="DW204" s="662">
        <v>127</v>
      </c>
      <c r="DX204" s="662">
        <v>0</v>
      </c>
      <c r="DY204" s="662">
        <v>127</v>
      </c>
      <c r="DZ204" s="662">
        <v>22093</v>
      </c>
      <c r="EA204" s="662">
        <v>0</v>
      </c>
      <c r="EB204" s="662">
        <v>0</v>
      </c>
      <c r="EC204" s="662">
        <v>21416</v>
      </c>
      <c r="ED204" s="662">
        <v>523</v>
      </c>
      <c r="EE204" s="662">
        <v>0</v>
      </c>
      <c r="EF204" s="662">
        <v>520</v>
      </c>
      <c r="EG204" s="662">
        <v>66705</v>
      </c>
      <c r="EH204" s="662">
        <v>0</v>
      </c>
      <c r="EI204" s="662">
        <v>0</v>
      </c>
      <c r="EJ204" s="662">
        <v>65590</v>
      </c>
      <c r="EK204" s="662">
        <v>231</v>
      </c>
      <c r="EL204" s="662">
        <v>0</v>
      </c>
      <c r="EM204" s="662">
        <v>207</v>
      </c>
      <c r="EN204" s="662">
        <v>25540</v>
      </c>
      <c r="EO204" s="662">
        <v>0</v>
      </c>
      <c r="EP204" s="662">
        <v>0</v>
      </c>
      <c r="EQ204" s="662">
        <v>24126</v>
      </c>
    </row>
    <row r="205" spans="1:147" ht="13.95" customHeight="1" x14ac:dyDescent="0.3">
      <c r="A205" s="660" t="s">
        <v>1861</v>
      </c>
      <c r="B205" s="661" t="s">
        <v>269</v>
      </c>
      <c r="C205" s="662">
        <v>55</v>
      </c>
      <c r="D205" s="662">
        <v>0</v>
      </c>
      <c r="E205" s="662">
        <v>54</v>
      </c>
      <c r="F205" s="662">
        <v>3892</v>
      </c>
      <c r="G205" s="662">
        <v>0</v>
      </c>
      <c r="H205" s="662">
        <v>0</v>
      </c>
      <c r="I205" s="662">
        <v>3779</v>
      </c>
      <c r="J205" s="802">
        <v>0</v>
      </c>
      <c r="K205" s="662">
        <v>0</v>
      </c>
      <c r="L205" s="662">
        <v>0</v>
      </c>
      <c r="M205" s="662">
        <v>0</v>
      </c>
      <c r="N205" s="662">
        <v>0</v>
      </c>
      <c r="O205" s="662">
        <v>0</v>
      </c>
      <c r="P205" s="662">
        <v>0</v>
      </c>
      <c r="Q205" s="802">
        <v>0</v>
      </c>
      <c r="R205" s="662">
        <v>0</v>
      </c>
      <c r="S205" s="662">
        <v>0</v>
      </c>
      <c r="T205" s="662">
        <v>0</v>
      </c>
      <c r="U205" s="662">
        <v>0</v>
      </c>
      <c r="V205" s="662">
        <v>0</v>
      </c>
      <c r="W205" s="802">
        <v>5</v>
      </c>
      <c r="X205" s="662">
        <v>0</v>
      </c>
      <c r="Y205" s="662">
        <v>4</v>
      </c>
      <c r="Z205" s="662">
        <v>76</v>
      </c>
      <c r="AA205" s="662">
        <v>0</v>
      </c>
      <c r="AB205" s="662">
        <v>0</v>
      </c>
      <c r="AC205" s="662">
        <v>76</v>
      </c>
      <c r="AD205" s="802">
        <v>0</v>
      </c>
      <c r="AE205" s="662">
        <v>0</v>
      </c>
      <c r="AF205" s="662">
        <v>0</v>
      </c>
      <c r="AG205" s="662">
        <v>0</v>
      </c>
      <c r="AH205" s="662">
        <v>0</v>
      </c>
      <c r="AI205" s="662">
        <v>0</v>
      </c>
      <c r="AJ205" s="662">
        <v>0</v>
      </c>
      <c r="AK205" s="802">
        <v>0</v>
      </c>
      <c r="AL205" s="662">
        <v>0</v>
      </c>
      <c r="AM205" s="662">
        <v>0</v>
      </c>
      <c r="AN205" s="662">
        <v>0</v>
      </c>
      <c r="AO205" s="662">
        <v>0</v>
      </c>
      <c r="AP205" s="662">
        <v>0</v>
      </c>
      <c r="AQ205" s="802">
        <v>3</v>
      </c>
      <c r="AR205" s="662">
        <v>0</v>
      </c>
      <c r="AS205" s="662">
        <v>3</v>
      </c>
      <c r="AT205" s="662">
        <v>450</v>
      </c>
      <c r="AU205" s="662">
        <v>0</v>
      </c>
      <c r="AV205" s="662">
        <v>0</v>
      </c>
      <c r="AW205" s="662">
        <v>441</v>
      </c>
      <c r="AX205" s="662">
        <v>0</v>
      </c>
      <c r="AY205" s="662">
        <v>0</v>
      </c>
      <c r="AZ205" s="662">
        <v>0</v>
      </c>
      <c r="BA205" s="662">
        <v>0</v>
      </c>
      <c r="BB205" s="662">
        <v>0</v>
      </c>
      <c r="BC205" s="662">
        <v>0</v>
      </c>
      <c r="BD205" s="662">
        <v>0</v>
      </c>
      <c r="BE205" s="802">
        <v>0</v>
      </c>
      <c r="BF205" s="662">
        <v>0</v>
      </c>
      <c r="BG205" s="662">
        <v>0</v>
      </c>
      <c r="BH205" s="662">
        <v>0</v>
      </c>
      <c r="BI205" s="662">
        <v>0</v>
      </c>
      <c r="BJ205" s="662">
        <v>0</v>
      </c>
      <c r="BK205" s="662">
        <v>0</v>
      </c>
      <c r="BL205" s="662">
        <v>1</v>
      </c>
      <c r="BM205" s="662">
        <v>0</v>
      </c>
      <c r="BN205" s="662">
        <v>1</v>
      </c>
      <c r="BO205" s="662">
        <v>70</v>
      </c>
      <c r="BP205" s="662">
        <v>0</v>
      </c>
      <c r="BQ205" s="662">
        <v>0</v>
      </c>
      <c r="BR205" s="662">
        <v>70</v>
      </c>
      <c r="BS205" s="662">
        <v>0</v>
      </c>
      <c r="BT205" s="662">
        <v>0</v>
      </c>
      <c r="BU205" s="662">
        <v>0</v>
      </c>
      <c r="BV205" s="662">
        <v>0</v>
      </c>
      <c r="BW205" s="662">
        <v>0</v>
      </c>
      <c r="BX205" s="662">
        <v>0</v>
      </c>
      <c r="BY205" s="662">
        <v>0</v>
      </c>
      <c r="BZ205" s="662">
        <v>0</v>
      </c>
      <c r="CA205" s="662">
        <v>0</v>
      </c>
      <c r="CB205" s="662">
        <v>0</v>
      </c>
      <c r="CC205" s="662">
        <v>0</v>
      </c>
      <c r="CD205" s="662">
        <v>0</v>
      </c>
      <c r="CE205" s="662">
        <v>0</v>
      </c>
      <c r="CF205" s="662">
        <v>0</v>
      </c>
      <c r="CG205" s="662">
        <v>1</v>
      </c>
      <c r="CH205" s="662">
        <v>0</v>
      </c>
      <c r="CI205" s="662">
        <v>1</v>
      </c>
      <c r="CJ205" s="662">
        <v>100</v>
      </c>
      <c r="CK205" s="662">
        <v>0</v>
      </c>
      <c r="CL205" s="662">
        <v>0</v>
      </c>
      <c r="CM205" s="662">
        <v>100</v>
      </c>
      <c r="CN205" s="662">
        <v>0</v>
      </c>
      <c r="CO205" s="662">
        <v>0</v>
      </c>
      <c r="CP205" s="662">
        <v>0</v>
      </c>
      <c r="CQ205" s="662">
        <v>0</v>
      </c>
      <c r="CR205" s="662">
        <v>0</v>
      </c>
      <c r="CS205" s="662">
        <v>0</v>
      </c>
      <c r="CT205" s="662">
        <v>0</v>
      </c>
      <c r="CU205" s="662">
        <v>0</v>
      </c>
      <c r="CV205" s="662">
        <v>0</v>
      </c>
      <c r="CW205" s="662">
        <v>0</v>
      </c>
      <c r="CX205" s="662">
        <v>0</v>
      </c>
      <c r="CY205" s="662">
        <v>0</v>
      </c>
      <c r="CZ205" s="662">
        <v>0</v>
      </c>
      <c r="DA205" s="662">
        <v>0</v>
      </c>
      <c r="DB205" s="662">
        <v>0</v>
      </c>
      <c r="DC205" s="662">
        <v>0</v>
      </c>
      <c r="DD205" s="662">
        <v>0</v>
      </c>
      <c r="DE205" s="662">
        <v>0</v>
      </c>
      <c r="DF205" s="662">
        <v>0</v>
      </c>
      <c r="DG205" s="662">
        <v>0</v>
      </c>
      <c r="DH205" s="662">
        <v>0</v>
      </c>
      <c r="DI205" s="662">
        <v>4</v>
      </c>
      <c r="DJ205" s="662">
        <v>0</v>
      </c>
      <c r="DK205" s="662">
        <v>4</v>
      </c>
      <c r="DL205" s="662">
        <v>216</v>
      </c>
      <c r="DM205" s="662">
        <v>0</v>
      </c>
      <c r="DN205" s="662">
        <v>0</v>
      </c>
      <c r="DO205" s="662">
        <v>212</v>
      </c>
      <c r="DP205" s="662">
        <v>0</v>
      </c>
      <c r="DQ205" s="662">
        <v>0</v>
      </c>
      <c r="DR205" s="662">
        <v>0</v>
      </c>
      <c r="DS205" s="662">
        <v>0</v>
      </c>
      <c r="DT205" s="662">
        <v>0</v>
      </c>
      <c r="DU205" s="662">
        <v>0</v>
      </c>
      <c r="DV205" s="662">
        <v>0</v>
      </c>
      <c r="DW205" s="662">
        <v>32</v>
      </c>
      <c r="DX205" s="662">
        <v>0</v>
      </c>
      <c r="DY205" s="662">
        <v>32</v>
      </c>
      <c r="DZ205" s="662">
        <v>2200</v>
      </c>
      <c r="EA205" s="662">
        <v>0</v>
      </c>
      <c r="EB205" s="662">
        <v>0</v>
      </c>
      <c r="EC205" s="662">
        <v>2100</v>
      </c>
      <c r="ED205" s="662">
        <v>9</v>
      </c>
      <c r="EE205" s="662">
        <v>0</v>
      </c>
      <c r="EF205" s="662">
        <v>9</v>
      </c>
      <c r="EG205" s="662">
        <v>780</v>
      </c>
      <c r="EH205" s="662">
        <v>0</v>
      </c>
      <c r="EI205" s="662">
        <v>0</v>
      </c>
      <c r="EJ205" s="662">
        <v>780</v>
      </c>
      <c r="EK205" s="662">
        <v>0</v>
      </c>
      <c r="EL205" s="662">
        <v>0</v>
      </c>
      <c r="EM205" s="662">
        <v>0</v>
      </c>
      <c r="EN205" s="662">
        <v>0</v>
      </c>
      <c r="EO205" s="662">
        <v>0</v>
      </c>
      <c r="EP205" s="662">
        <v>0</v>
      </c>
      <c r="EQ205" s="662">
        <v>0</v>
      </c>
    </row>
    <row r="206" spans="1:147" ht="13.95" customHeight="1" x14ac:dyDescent="0.3">
      <c r="A206" s="660" t="s">
        <v>1862</v>
      </c>
      <c r="B206" s="661" t="s">
        <v>269</v>
      </c>
      <c r="C206" s="662">
        <v>465</v>
      </c>
      <c r="D206" s="662">
        <v>0</v>
      </c>
      <c r="E206" s="662">
        <v>450</v>
      </c>
      <c r="F206" s="662">
        <v>60696</v>
      </c>
      <c r="G206" s="662">
        <v>0</v>
      </c>
      <c r="H206" s="662">
        <v>0</v>
      </c>
      <c r="I206" s="662">
        <v>60146</v>
      </c>
      <c r="J206" s="802">
        <v>0</v>
      </c>
      <c r="K206" s="662">
        <v>0</v>
      </c>
      <c r="L206" s="662">
        <v>0</v>
      </c>
      <c r="M206" s="662">
        <v>0</v>
      </c>
      <c r="N206" s="662">
        <v>0</v>
      </c>
      <c r="O206" s="662">
        <v>0</v>
      </c>
      <c r="P206" s="662">
        <v>0</v>
      </c>
      <c r="Q206" s="802">
        <v>0</v>
      </c>
      <c r="R206" s="662">
        <v>0</v>
      </c>
      <c r="S206" s="662">
        <v>0</v>
      </c>
      <c r="T206" s="662">
        <v>0</v>
      </c>
      <c r="U206" s="662">
        <v>0</v>
      </c>
      <c r="V206" s="662">
        <v>0</v>
      </c>
      <c r="W206" s="802">
        <v>0</v>
      </c>
      <c r="X206" s="662">
        <v>0</v>
      </c>
      <c r="Y206" s="662">
        <v>0</v>
      </c>
      <c r="Z206" s="662">
        <v>0</v>
      </c>
      <c r="AA206" s="662">
        <v>0</v>
      </c>
      <c r="AB206" s="662">
        <v>0</v>
      </c>
      <c r="AC206" s="662">
        <v>0</v>
      </c>
      <c r="AD206" s="802">
        <v>0</v>
      </c>
      <c r="AE206" s="662">
        <v>0</v>
      </c>
      <c r="AF206" s="662">
        <v>0</v>
      </c>
      <c r="AG206" s="662">
        <v>0</v>
      </c>
      <c r="AH206" s="662">
        <v>0</v>
      </c>
      <c r="AI206" s="662">
        <v>0</v>
      </c>
      <c r="AJ206" s="662">
        <v>0</v>
      </c>
      <c r="AK206" s="802">
        <v>0</v>
      </c>
      <c r="AL206" s="662">
        <v>0</v>
      </c>
      <c r="AM206" s="662">
        <v>0</v>
      </c>
      <c r="AN206" s="662">
        <v>0</v>
      </c>
      <c r="AO206" s="662">
        <v>0</v>
      </c>
      <c r="AP206" s="662">
        <v>0</v>
      </c>
      <c r="AQ206" s="802">
        <v>0</v>
      </c>
      <c r="AR206" s="662">
        <v>0</v>
      </c>
      <c r="AS206" s="662">
        <v>0</v>
      </c>
      <c r="AT206" s="662">
        <v>0</v>
      </c>
      <c r="AU206" s="662">
        <v>0</v>
      </c>
      <c r="AV206" s="662">
        <v>0</v>
      </c>
      <c r="AW206" s="662">
        <v>0</v>
      </c>
      <c r="AX206" s="662">
        <v>0</v>
      </c>
      <c r="AY206" s="662">
        <v>0</v>
      </c>
      <c r="AZ206" s="662">
        <v>0</v>
      </c>
      <c r="BA206" s="662">
        <v>0</v>
      </c>
      <c r="BB206" s="662">
        <v>0</v>
      </c>
      <c r="BC206" s="662">
        <v>0</v>
      </c>
      <c r="BD206" s="662">
        <v>0</v>
      </c>
      <c r="BE206" s="802">
        <v>0</v>
      </c>
      <c r="BF206" s="662">
        <v>0</v>
      </c>
      <c r="BG206" s="662">
        <v>0</v>
      </c>
      <c r="BH206" s="662">
        <v>0</v>
      </c>
      <c r="BI206" s="662">
        <v>0</v>
      </c>
      <c r="BJ206" s="662">
        <v>0</v>
      </c>
      <c r="BK206" s="662">
        <v>0</v>
      </c>
      <c r="BL206" s="662">
        <v>0</v>
      </c>
      <c r="BM206" s="662">
        <v>0</v>
      </c>
      <c r="BN206" s="662">
        <v>0</v>
      </c>
      <c r="BO206" s="662">
        <v>0</v>
      </c>
      <c r="BP206" s="662">
        <v>0</v>
      </c>
      <c r="BQ206" s="662">
        <v>0</v>
      </c>
      <c r="BR206" s="662">
        <v>0</v>
      </c>
      <c r="BS206" s="662">
        <v>0</v>
      </c>
      <c r="BT206" s="662">
        <v>0</v>
      </c>
      <c r="BU206" s="662">
        <v>0</v>
      </c>
      <c r="BV206" s="662">
        <v>0</v>
      </c>
      <c r="BW206" s="662">
        <v>0</v>
      </c>
      <c r="BX206" s="662">
        <v>0</v>
      </c>
      <c r="BY206" s="662">
        <v>0</v>
      </c>
      <c r="BZ206" s="662">
        <v>0</v>
      </c>
      <c r="CA206" s="662">
        <v>0</v>
      </c>
      <c r="CB206" s="662">
        <v>0</v>
      </c>
      <c r="CC206" s="662">
        <v>0</v>
      </c>
      <c r="CD206" s="662">
        <v>0</v>
      </c>
      <c r="CE206" s="662">
        <v>0</v>
      </c>
      <c r="CF206" s="662">
        <v>0</v>
      </c>
      <c r="CG206" s="662">
        <v>2</v>
      </c>
      <c r="CH206" s="662">
        <v>0</v>
      </c>
      <c r="CI206" s="662">
        <v>2</v>
      </c>
      <c r="CJ206" s="662">
        <v>150</v>
      </c>
      <c r="CK206" s="662">
        <v>0</v>
      </c>
      <c r="CL206" s="662">
        <v>0</v>
      </c>
      <c r="CM206" s="662">
        <v>150</v>
      </c>
      <c r="CN206" s="662">
        <v>0</v>
      </c>
      <c r="CO206" s="662">
        <v>0</v>
      </c>
      <c r="CP206" s="662">
        <v>0</v>
      </c>
      <c r="CQ206" s="662">
        <v>0</v>
      </c>
      <c r="CR206" s="662">
        <v>0</v>
      </c>
      <c r="CS206" s="662">
        <v>0</v>
      </c>
      <c r="CT206" s="662">
        <v>0</v>
      </c>
      <c r="CU206" s="662">
        <v>0</v>
      </c>
      <c r="CV206" s="662">
        <v>0</v>
      </c>
      <c r="CW206" s="662">
        <v>0</v>
      </c>
      <c r="CX206" s="662">
        <v>0</v>
      </c>
      <c r="CY206" s="662">
        <v>0</v>
      </c>
      <c r="CZ206" s="662">
        <v>0</v>
      </c>
      <c r="DA206" s="662">
        <v>0</v>
      </c>
      <c r="DB206" s="662">
        <v>0</v>
      </c>
      <c r="DC206" s="662">
        <v>0</v>
      </c>
      <c r="DD206" s="662">
        <v>0</v>
      </c>
      <c r="DE206" s="662">
        <v>0</v>
      </c>
      <c r="DF206" s="662">
        <v>0</v>
      </c>
      <c r="DG206" s="662">
        <v>0</v>
      </c>
      <c r="DH206" s="662">
        <v>0</v>
      </c>
      <c r="DI206" s="662">
        <v>0</v>
      </c>
      <c r="DJ206" s="662">
        <v>0</v>
      </c>
      <c r="DK206" s="662">
        <v>0</v>
      </c>
      <c r="DL206" s="662">
        <v>0</v>
      </c>
      <c r="DM206" s="662">
        <v>0</v>
      </c>
      <c r="DN206" s="662">
        <v>0</v>
      </c>
      <c r="DO206" s="662">
        <v>0</v>
      </c>
      <c r="DP206" s="662">
        <v>0</v>
      </c>
      <c r="DQ206" s="662">
        <v>0</v>
      </c>
      <c r="DR206" s="662">
        <v>0</v>
      </c>
      <c r="DS206" s="662">
        <v>0</v>
      </c>
      <c r="DT206" s="662">
        <v>0</v>
      </c>
      <c r="DU206" s="662">
        <v>0</v>
      </c>
      <c r="DV206" s="662">
        <v>0</v>
      </c>
      <c r="DW206" s="662">
        <v>9</v>
      </c>
      <c r="DX206" s="662">
        <v>0</v>
      </c>
      <c r="DY206" s="662">
        <v>9</v>
      </c>
      <c r="DZ206" s="662">
        <v>650</v>
      </c>
      <c r="EA206" s="662">
        <v>0</v>
      </c>
      <c r="EB206" s="662">
        <v>0</v>
      </c>
      <c r="EC206" s="662">
        <v>600</v>
      </c>
      <c r="ED206" s="662">
        <v>454</v>
      </c>
      <c r="EE206" s="662">
        <v>0</v>
      </c>
      <c r="EF206" s="662">
        <v>439</v>
      </c>
      <c r="EG206" s="662">
        <v>59896</v>
      </c>
      <c r="EH206" s="662">
        <v>0</v>
      </c>
      <c r="EI206" s="662">
        <v>0</v>
      </c>
      <c r="EJ206" s="662">
        <v>59396</v>
      </c>
      <c r="EK206" s="662">
        <v>0</v>
      </c>
      <c r="EL206" s="662">
        <v>0</v>
      </c>
      <c r="EM206" s="662">
        <v>0</v>
      </c>
      <c r="EN206" s="662">
        <v>0</v>
      </c>
      <c r="EO206" s="662">
        <v>0</v>
      </c>
      <c r="EP206" s="662">
        <v>0</v>
      </c>
      <c r="EQ206" s="662">
        <v>0</v>
      </c>
    </row>
    <row r="207" spans="1:147" ht="20.7" customHeight="1" x14ac:dyDescent="0.3">
      <c r="A207" s="660" t="s">
        <v>1863</v>
      </c>
      <c r="B207" s="661" t="s">
        <v>269</v>
      </c>
      <c r="C207" s="662">
        <f t="shared" ref="C207:BN207" si="85">C208+C209+C210+C211+C212</f>
        <v>41542</v>
      </c>
      <c r="D207" s="662">
        <f t="shared" si="85"/>
        <v>0</v>
      </c>
      <c r="E207" s="662">
        <f t="shared" si="85"/>
        <v>38623</v>
      </c>
      <c r="F207" s="662">
        <f t="shared" si="85"/>
        <v>7812848</v>
      </c>
      <c r="G207" s="662">
        <f t="shared" si="85"/>
        <v>0</v>
      </c>
      <c r="H207" s="662">
        <f t="shared" si="85"/>
        <v>0</v>
      </c>
      <c r="I207" s="662">
        <f t="shared" si="85"/>
        <v>7507500</v>
      </c>
      <c r="J207" s="802">
        <f t="shared" si="85"/>
        <v>3886</v>
      </c>
      <c r="K207" s="662">
        <f t="shared" si="85"/>
        <v>0</v>
      </c>
      <c r="L207" s="662">
        <f t="shared" si="85"/>
        <v>3817</v>
      </c>
      <c r="M207" s="662">
        <f t="shared" si="85"/>
        <v>807520</v>
      </c>
      <c r="N207" s="662">
        <f t="shared" si="85"/>
        <v>0</v>
      </c>
      <c r="O207" s="662">
        <f t="shared" si="85"/>
        <v>0</v>
      </c>
      <c r="P207" s="662">
        <f t="shared" si="85"/>
        <v>717680</v>
      </c>
      <c r="Q207" s="802">
        <f t="shared" si="85"/>
        <v>1</v>
      </c>
      <c r="R207" s="662">
        <f t="shared" si="85"/>
        <v>1</v>
      </c>
      <c r="S207" s="662">
        <f t="shared" si="85"/>
        <v>200</v>
      </c>
      <c r="T207" s="662">
        <f t="shared" si="85"/>
        <v>0</v>
      </c>
      <c r="U207" s="662">
        <f t="shared" si="85"/>
        <v>0</v>
      </c>
      <c r="V207" s="662">
        <f t="shared" si="85"/>
        <v>200</v>
      </c>
      <c r="W207" s="802">
        <f t="shared" si="85"/>
        <v>34</v>
      </c>
      <c r="X207" s="662">
        <f t="shared" si="85"/>
        <v>0</v>
      </c>
      <c r="Y207" s="662">
        <f t="shared" si="85"/>
        <v>31</v>
      </c>
      <c r="Z207" s="662">
        <f t="shared" si="85"/>
        <v>1625</v>
      </c>
      <c r="AA207" s="662">
        <f t="shared" si="85"/>
        <v>0</v>
      </c>
      <c r="AB207" s="662">
        <f t="shared" si="85"/>
        <v>0</v>
      </c>
      <c r="AC207" s="662">
        <f t="shared" si="85"/>
        <v>1600</v>
      </c>
      <c r="AD207" s="802">
        <f t="shared" si="85"/>
        <v>818</v>
      </c>
      <c r="AE207" s="662">
        <f t="shared" si="85"/>
        <v>0</v>
      </c>
      <c r="AF207" s="662">
        <f t="shared" si="85"/>
        <v>682</v>
      </c>
      <c r="AG207" s="662">
        <f t="shared" si="85"/>
        <v>122004</v>
      </c>
      <c r="AH207" s="662">
        <f t="shared" si="85"/>
        <v>0</v>
      </c>
      <c r="AI207" s="662">
        <f t="shared" si="85"/>
        <v>0</v>
      </c>
      <c r="AJ207" s="662">
        <f t="shared" si="85"/>
        <v>122004</v>
      </c>
      <c r="AK207" s="802">
        <f t="shared" si="85"/>
        <v>79</v>
      </c>
      <c r="AL207" s="662">
        <f t="shared" si="85"/>
        <v>78</v>
      </c>
      <c r="AM207" s="662">
        <f t="shared" si="85"/>
        <v>12400</v>
      </c>
      <c r="AN207" s="662">
        <f t="shared" si="85"/>
        <v>0</v>
      </c>
      <c r="AO207" s="662">
        <f t="shared" si="85"/>
        <v>0</v>
      </c>
      <c r="AP207" s="662">
        <f t="shared" si="85"/>
        <v>12400</v>
      </c>
      <c r="AQ207" s="802">
        <f t="shared" si="85"/>
        <v>3607</v>
      </c>
      <c r="AR207" s="662">
        <f t="shared" si="85"/>
        <v>0</v>
      </c>
      <c r="AS207" s="662">
        <f t="shared" si="85"/>
        <v>3526</v>
      </c>
      <c r="AT207" s="662">
        <f t="shared" si="85"/>
        <v>442755</v>
      </c>
      <c r="AU207" s="662">
        <f t="shared" si="85"/>
        <v>0</v>
      </c>
      <c r="AV207" s="662">
        <f t="shared" si="85"/>
        <v>0</v>
      </c>
      <c r="AW207" s="662">
        <f t="shared" si="85"/>
        <v>419647</v>
      </c>
      <c r="AX207" s="662">
        <f t="shared" si="85"/>
        <v>714</v>
      </c>
      <c r="AY207" s="662">
        <f t="shared" si="85"/>
        <v>0</v>
      </c>
      <c r="AZ207" s="662">
        <f t="shared" si="85"/>
        <v>711</v>
      </c>
      <c r="BA207" s="662">
        <f t="shared" si="85"/>
        <v>156208</v>
      </c>
      <c r="BB207" s="662">
        <f t="shared" si="85"/>
        <v>0</v>
      </c>
      <c r="BC207" s="662">
        <f t="shared" si="85"/>
        <v>0</v>
      </c>
      <c r="BD207" s="662">
        <f t="shared" si="85"/>
        <v>155949</v>
      </c>
      <c r="BE207" s="802">
        <f t="shared" si="85"/>
        <v>6192</v>
      </c>
      <c r="BF207" s="662">
        <f t="shared" si="85"/>
        <v>0</v>
      </c>
      <c r="BG207" s="662">
        <f t="shared" si="85"/>
        <v>5290</v>
      </c>
      <c r="BH207" s="662">
        <f t="shared" si="85"/>
        <v>893151</v>
      </c>
      <c r="BI207" s="662">
        <f t="shared" si="85"/>
        <v>0</v>
      </c>
      <c r="BJ207" s="662">
        <f t="shared" si="85"/>
        <v>0</v>
      </c>
      <c r="BK207" s="662">
        <f t="shared" si="85"/>
        <v>893151</v>
      </c>
      <c r="BL207" s="662">
        <f t="shared" si="85"/>
        <v>149</v>
      </c>
      <c r="BM207" s="662">
        <f t="shared" si="85"/>
        <v>0</v>
      </c>
      <c r="BN207" s="662">
        <f t="shared" si="85"/>
        <v>133</v>
      </c>
      <c r="BO207" s="662">
        <f t="shared" ref="BO207:DZ207" si="86">BO208+BO209+BO210+BO211+BO212</f>
        <v>17115</v>
      </c>
      <c r="BP207" s="662">
        <f t="shared" si="86"/>
        <v>0</v>
      </c>
      <c r="BQ207" s="662">
        <f t="shared" si="86"/>
        <v>0</v>
      </c>
      <c r="BR207" s="662">
        <f t="shared" si="86"/>
        <v>16759</v>
      </c>
      <c r="BS207" s="662">
        <f t="shared" si="86"/>
        <v>0</v>
      </c>
      <c r="BT207" s="662">
        <f t="shared" si="86"/>
        <v>0</v>
      </c>
      <c r="BU207" s="662">
        <f t="shared" si="86"/>
        <v>0</v>
      </c>
      <c r="BV207" s="662">
        <f t="shared" si="86"/>
        <v>0</v>
      </c>
      <c r="BW207" s="662">
        <f t="shared" si="86"/>
        <v>0</v>
      </c>
      <c r="BX207" s="662">
        <f t="shared" si="86"/>
        <v>0</v>
      </c>
      <c r="BY207" s="662">
        <f t="shared" si="86"/>
        <v>0</v>
      </c>
      <c r="BZ207" s="662">
        <f t="shared" si="86"/>
        <v>93</v>
      </c>
      <c r="CA207" s="662">
        <f t="shared" si="86"/>
        <v>0</v>
      </c>
      <c r="CB207" s="662">
        <f t="shared" si="86"/>
        <v>87</v>
      </c>
      <c r="CC207" s="662">
        <f t="shared" si="86"/>
        <v>11104</v>
      </c>
      <c r="CD207" s="662">
        <f t="shared" si="86"/>
        <v>0</v>
      </c>
      <c r="CE207" s="662">
        <f t="shared" si="86"/>
        <v>0</v>
      </c>
      <c r="CF207" s="662">
        <f t="shared" si="86"/>
        <v>10760</v>
      </c>
      <c r="CG207" s="662">
        <f t="shared" si="86"/>
        <v>9456</v>
      </c>
      <c r="CH207" s="662">
        <f t="shared" si="86"/>
        <v>0</v>
      </c>
      <c r="CI207" s="662">
        <f t="shared" si="86"/>
        <v>8800</v>
      </c>
      <c r="CJ207" s="662">
        <f t="shared" si="86"/>
        <v>2493363</v>
      </c>
      <c r="CK207" s="662">
        <f t="shared" si="86"/>
        <v>0</v>
      </c>
      <c r="CL207" s="662">
        <f t="shared" si="86"/>
        <v>0</v>
      </c>
      <c r="CM207" s="662">
        <f t="shared" si="86"/>
        <v>2337452</v>
      </c>
      <c r="CN207" s="662">
        <f t="shared" si="86"/>
        <v>228</v>
      </c>
      <c r="CO207" s="662">
        <f t="shared" si="86"/>
        <v>0</v>
      </c>
      <c r="CP207" s="662">
        <f t="shared" si="86"/>
        <v>225</v>
      </c>
      <c r="CQ207" s="662">
        <f t="shared" si="86"/>
        <v>39200</v>
      </c>
      <c r="CR207" s="662">
        <f t="shared" si="86"/>
        <v>0</v>
      </c>
      <c r="CS207" s="662">
        <f t="shared" si="86"/>
        <v>0</v>
      </c>
      <c r="CT207" s="662">
        <f t="shared" si="86"/>
        <v>39200</v>
      </c>
      <c r="CU207" s="662">
        <f t="shared" si="86"/>
        <v>25</v>
      </c>
      <c r="CV207" s="662">
        <f t="shared" si="86"/>
        <v>0</v>
      </c>
      <c r="CW207" s="662">
        <f t="shared" si="86"/>
        <v>25</v>
      </c>
      <c r="CX207" s="662">
        <f t="shared" si="86"/>
        <v>5050</v>
      </c>
      <c r="CY207" s="662">
        <f t="shared" si="86"/>
        <v>0</v>
      </c>
      <c r="CZ207" s="662">
        <f t="shared" si="86"/>
        <v>0</v>
      </c>
      <c r="DA207" s="662">
        <f t="shared" si="86"/>
        <v>5050</v>
      </c>
      <c r="DB207" s="662">
        <f t="shared" si="86"/>
        <v>3257</v>
      </c>
      <c r="DC207" s="662">
        <f t="shared" si="86"/>
        <v>0</v>
      </c>
      <c r="DD207" s="662">
        <f t="shared" si="86"/>
        <v>3162</v>
      </c>
      <c r="DE207" s="662">
        <f t="shared" si="86"/>
        <v>559874</v>
      </c>
      <c r="DF207" s="662">
        <f t="shared" si="86"/>
        <v>0</v>
      </c>
      <c r="DG207" s="662">
        <f t="shared" si="86"/>
        <v>0</v>
      </c>
      <c r="DH207" s="662">
        <f t="shared" si="86"/>
        <v>541635</v>
      </c>
      <c r="DI207" s="662">
        <f t="shared" si="86"/>
        <v>1301</v>
      </c>
      <c r="DJ207" s="662">
        <f t="shared" si="86"/>
        <v>0</v>
      </c>
      <c r="DK207" s="662">
        <f t="shared" si="86"/>
        <v>1184</v>
      </c>
      <c r="DL207" s="662">
        <f t="shared" si="86"/>
        <v>124357</v>
      </c>
      <c r="DM207" s="662">
        <f t="shared" si="86"/>
        <v>0</v>
      </c>
      <c r="DN207" s="662">
        <f t="shared" si="86"/>
        <v>0</v>
      </c>
      <c r="DO207" s="662">
        <f t="shared" si="86"/>
        <v>120257</v>
      </c>
      <c r="DP207" s="662">
        <f t="shared" si="86"/>
        <v>529</v>
      </c>
      <c r="DQ207" s="662">
        <f t="shared" si="86"/>
        <v>0</v>
      </c>
      <c r="DR207" s="662">
        <f t="shared" si="86"/>
        <v>502</v>
      </c>
      <c r="DS207" s="662">
        <f t="shared" si="86"/>
        <v>86111</v>
      </c>
      <c r="DT207" s="662">
        <f t="shared" si="86"/>
        <v>0</v>
      </c>
      <c r="DU207" s="662">
        <f t="shared" si="86"/>
        <v>0</v>
      </c>
      <c r="DV207" s="662">
        <f t="shared" si="86"/>
        <v>85850</v>
      </c>
      <c r="DW207" s="662">
        <f t="shared" si="86"/>
        <v>2053</v>
      </c>
      <c r="DX207" s="662">
        <f t="shared" si="86"/>
        <v>0</v>
      </c>
      <c r="DY207" s="662">
        <f t="shared" si="86"/>
        <v>2038</v>
      </c>
      <c r="DZ207" s="662">
        <f t="shared" si="86"/>
        <v>461365</v>
      </c>
      <c r="EA207" s="662">
        <f t="shared" ref="EA207:EQ207" si="87">EA208+EA209+EA210+EA211+EA212</f>
        <v>0</v>
      </c>
      <c r="EB207" s="662">
        <f t="shared" si="87"/>
        <v>0</v>
      </c>
      <c r="EC207" s="662">
        <f t="shared" si="87"/>
        <v>459105</v>
      </c>
      <c r="ED207" s="662">
        <f t="shared" si="87"/>
        <v>9094</v>
      </c>
      <c r="EE207" s="662">
        <f t="shared" si="87"/>
        <v>0</v>
      </c>
      <c r="EF207" s="662">
        <f t="shared" si="87"/>
        <v>8305</v>
      </c>
      <c r="EG207" s="662">
        <f t="shared" si="87"/>
        <v>1574626</v>
      </c>
      <c r="EH207" s="662">
        <f t="shared" si="87"/>
        <v>0</v>
      </c>
      <c r="EI207" s="662">
        <f t="shared" si="87"/>
        <v>0</v>
      </c>
      <c r="EJ207" s="662">
        <f t="shared" si="87"/>
        <v>1563981</v>
      </c>
      <c r="EK207" s="662">
        <f t="shared" si="87"/>
        <v>26</v>
      </c>
      <c r="EL207" s="662">
        <f t="shared" si="87"/>
        <v>0</v>
      </c>
      <c r="EM207" s="662">
        <f t="shared" si="87"/>
        <v>26</v>
      </c>
      <c r="EN207" s="662">
        <f t="shared" si="87"/>
        <v>4820</v>
      </c>
      <c r="EO207" s="662">
        <f t="shared" si="87"/>
        <v>0</v>
      </c>
      <c r="EP207" s="662">
        <f t="shared" si="87"/>
        <v>0</v>
      </c>
      <c r="EQ207" s="662">
        <f t="shared" si="87"/>
        <v>4820</v>
      </c>
    </row>
    <row r="208" spans="1:147" ht="13.95" customHeight="1" x14ac:dyDescent="0.3">
      <c r="A208" s="660" t="s">
        <v>1864</v>
      </c>
      <c r="B208" s="661" t="s">
        <v>269</v>
      </c>
      <c r="C208" s="662">
        <v>2193</v>
      </c>
      <c r="D208" s="662">
        <v>0</v>
      </c>
      <c r="E208" s="662">
        <v>2150</v>
      </c>
      <c r="F208" s="662">
        <v>124804</v>
      </c>
      <c r="G208" s="662">
        <v>0</v>
      </c>
      <c r="H208" s="662">
        <v>0</v>
      </c>
      <c r="I208" s="662">
        <v>118299</v>
      </c>
      <c r="J208" s="802">
        <v>0</v>
      </c>
      <c r="K208" s="662">
        <v>0</v>
      </c>
      <c r="L208" s="662">
        <v>0</v>
      </c>
      <c r="M208" s="662">
        <v>0</v>
      </c>
      <c r="N208" s="662">
        <v>0</v>
      </c>
      <c r="O208" s="662">
        <v>0</v>
      </c>
      <c r="P208" s="662">
        <v>0</v>
      </c>
      <c r="Q208" s="802">
        <v>0</v>
      </c>
      <c r="R208" s="662">
        <v>0</v>
      </c>
      <c r="S208" s="662">
        <v>0</v>
      </c>
      <c r="T208" s="662">
        <v>0</v>
      </c>
      <c r="U208" s="662">
        <v>0</v>
      </c>
      <c r="V208" s="662">
        <v>0</v>
      </c>
      <c r="W208" s="802">
        <v>7</v>
      </c>
      <c r="X208" s="662">
        <v>0</v>
      </c>
      <c r="Y208" s="662">
        <v>5</v>
      </c>
      <c r="Z208" s="662">
        <v>35</v>
      </c>
      <c r="AA208" s="662">
        <v>0</v>
      </c>
      <c r="AB208" s="662">
        <v>0</v>
      </c>
      <c r="AC208" s="662">
        <v>30</v>
      </c>
      <c r="AD208" s="802">
        <v>9</v>
      </c>
      <c r="AE208" s="662">
        <v>0</v>
      </c>
      <c r="AF208" s="662">
        <v>6</v>
      </c>
      <c r="AG208" s="662">
        <v>213</v>
      </c>
      <c r="AH208" s="662">
        <v>0</v>
      </c>
      <c r="AI208" s="662">
        <v>0</v>
      </c>
      <c r="AJ208" s="662">
        <v>213</v>
      </c>
      <c r="AK208" s="802">
        <v>0</v>
      </c>
      <c r="AL208" s="662">
        <v>0</v>
      </c>
      <c r="AM208" s="662">
        <v>0</v>
      </c>
      <c r="AN208" s="662">
        <v>0</v>
      </c>
      <c r="AO208" s="662">
        <v>0</v>
      </c>
      <c r="AP208" s="662">
        <v>0</v>
      </c>
      <c r="AQ208" s="802">
        <v>12</v>
      </c>
      <c r="AR208" s="662">
        <v>0</v>
      </c>
      <c r="AS208" s="662">
        <v>12</v>
      </c>
      <c r="AT208" s="662">
        <v>1200</v>
      </c>
      <c r="AU208" s="662">
        <v>0</v>
      </c>
      <c r="AV208" s="662">
        <v>0</v>
      </c>
      <c r="AW208" s="662">
        <v>1065</v>
      </c>
      <c r="AX208" s="662">
        <v>0</v>
      </c>
      <c r="AY208" s="662">
        <v>0</v>
      </c>
      <c r="AZ208" s="662">
        <v>0</v>
      </c>
      <c r="BA208" s="662">
        <v>0</v>
      </c>
      <c r="BB208" s="662">
        <v>0</v>
      </c>
      <c r="BC208" s="662">
        <v>0</v>
      </c>
      <c r="BD208" s="662">
        <v>0</v>
      </c>
      <c r="BE208" s="802">
        <v>0</v>
      </c>
      <c r="BF208" s="662">
        <v>0</v>
      </c>
      <c r="BG208" s="662">
        <v>0</v>
      </c>
      <c r="BH208" s="662">
        <v>0</v>
      </c>
      <c r="BI208" s="662">
        <v>0</v>
      </c>
      <c r="BJ208" s="662">
        <v>0</v>
      </c>
      <c r="BK208" s="662">
        <v>0</v>
      </c>
      <c r="BL208" s="662">
        <v>26</v>
      </c>
      <c r="BM208" s="662">
        <v>0</v>
      </c>
      <c r="BN208" s="662">
        <v>24</v>
      </c>
      <c r="BO208" s="662">
        <v>1150</v>
      </c>
      <c r="BP208" s="662">
        <v>0</v>
      </c>
      <c r="BQ208" s="662">
        <v>0</v>
      </c>
      <c r="BR208" s="662">
        <v>1098</v>
      </c>
      <c r="BS208" s="662">
        <v>0</v>
      </c>
      <c r="BT208" s="662">
        <v>0</v>
      </c>
      <c r="BU208" s="662">
        <v>0</v>
      </c>
      <c r="BV208" s="662">
        <v>0</v>
      </c>
      <c r="BW208" s="662">
        <v>0</v>
      </c>
      <c r="BX208" s="662">
        <v>0</v>
      </c>
      <c r="BY208" s="662">
        <v>0</v>
      </c>
      <c r="BZ208" s="662">
        <v>35</v>
      </c>
      <c r="CA208" s="662">
        <v>0</v>
      </c>
      <c r="CB208" s="662">
        <v>33</v>
      </c>
      <c r="CC208" s="662">
        <v>2820</v>
      </c>
      <c r="CD208" s="662">
        <v>0</v>
      </c>
      <c r="CE208" s="662">
        <v>0</v>
      </c>
      <c r="CF208" s="662">
        <v>2576</v>
      </c>
      <c r="CG208" s="662">
        <v>66</v>
      </c>
      <c r="CH208" s="662">
        <v>0</v>
      </c>
      <c r="CI208" s="662">
        <v>65</v>
      </c>
      <c r="CJ208" s="662">
        <v>4900</v>
      </c>
      <c r="CK208" s="662">
        <v>0</v>
      </c>
      <c r="CL208" s="662">
        <v>0</v>
      </c>
      <c r="CM208" s="662">
        <v>4000</v>
      </c>
      <c r="CN208" s="662">
        <v>54</v>
      </c>
      <c r="CO208" s="662">
        <v>0</v>
      </c>
      <c r="CP208" s="662">
        <v>52</v>
      </c>
      <c r="CQ208" s="662">
        <v>3100</v>
      </c>
      <c r="CR208" s="662">
        <v>0</v>
      </c>
      <c r="CS208" s="662">
        <v>0</v>
      </c>
      <c r="CT208" s="662">
        <v>3100</v>
      </c>
      <c r="CU208" s="662">
        <v>2</v>
      </c>
      <c r="CV208" s="662">
        <v>0</v>
      </c>
      <c r="CW208" s="662">
        <v>2</v>
      </c>
      <c r="CX208" s="662">
        <v>300</v>
      </c>
      <c r="CY208" s="662">
        <v>0</v>
      </c>
      <c r="CZ208" s="662">
        <v>0</v>
      </c>
      <c r="DA208" s="662">
        <v>300</v>
      </c>
      <c r="DB208" s="662">
        <v>808</v>
      </c>
      <c r="DC208" s="662">
        <v>0</v>
      </c>
      <c r="DD208" s="662">
        <v>785</v>
      </c>
      <c r="DE208" s="662">
        <v>25854</v>
      </c>
      <c r="DF208" s="662">
        <v>0</v>
      </c>
      <c r="DG208" s="662">
        <v>0</v>
      </c>
      <c r="DH208" s="662">
        <v>24626</v>
      </c>
      <c r="DI208" s="662">
        <v>485</v>
      </c>
      <c r="DJ208" s="662">
        <v>0</v>
      </c>
      <c r="DK208" s="662">
        <v>485</v>
      </c>
      <c r="DL208" s="662">
        <v>35050</v>
      </c>
      <c r="DM208" s="662">
        <v>0</v>
      </c>
      <c r="DN208" s="662">
        <v>0</v>
      </c>
      <c r="DO208" s="662">
        <v>33275</v>
      </c>
      <c r="DP208" s="662">
        <v>75</v>
      </c>
      <c r="DQ208" s="662">
        <v>0</v>
      </c>
      <c r="DR208" s="662">
        <v>68</v>
      </c>
      <c r="DS208" s="662">
        <v>10061</v>
      </c>
      <c r="DT208" s="662">
        <v>0</v>
      </c>
      <c r="DU208" s="662">
        <v>0</v>
      </c>
      <c r="DV208" s="662">
        <v>10010</v>
      </c>
      <c r="DW208" s="662">
        <v>486</v>
      </c>
      <c r="DX208" s="662">
        <v>0</v>
      </c>
      <c r="DY208" s="662">
        <v>485</v>
      </c>
      <c r="DZ208" s="662">
        <v>28205</v>
      </c>
      <c r="EA208" s="662">
        <v>0</v>
      </c>
      <c r="EB208" s="662">
        <v>0</v>
      </c>
      <c r="EC208" s="662">
        <v>26590</v>
      </c>
      <c r="ED208" s="662">
        <v>128</v>
      </c>
      <c r="EE208" s="662">
        <v>0</v>
      </c>
      <c r="EF208" s="662">
        <v>128</v>
      </c>
      <c r="EG208" s="662">
        <v>11916</v>
      </c>
      <c r="EH208" s="662">
        <v>0</v>
      </c>
      <c r="EI208" s="662">
        <v>0</v>
      </c>
      <c r="EJ208" s="662">
        <v>11416</v>
      </c>
      <c r="EK208" s="662">
        <v>0</v>
      </c>
      <c r="EL208" s="662">
        <v>0</v>
      </c>
      <c r="EM208" s="662">
        <v>0</v>
      </c>
      <c r="EN208" s="662">
        <v>0</v>
      </c>
      <c r="EO208" s="662">
        <v>0</v>
      </c>
      <c r="EP208" s="662">
        <v>0</v>
      </c>
      <c r="EQ208" s="662">
        <v>0</v>
      </c>
    </row>
    <row r="209" spans="1:147" ht="13.95" customHeight="1" x14ac:dyDescent="0.3">
      <c r="A209" s="660" t="s">
        <v>1865</v>
      </c>
      <c r="B209" s="661" t="s">
        <v>269</v>
      </c>
      <c r="C209" s="662">
        <v>26736</v>
      </c>
      <c r="D209" s="662">
        <v>0</v>
      </c>
      <c r="E209" s="662">
        <v>25082</v>
      </c>
      <c r="F209" s="662">
        <v>5515292</v>
      </c>
      <c r="G209" s="662">
        <v>0</v>
      </c>
      <c r="H209" s="662">
        <v>0</v>
      </c>
      <c r="I209" s="662">
        <v>5244885</v>
      </c>
      <c r="J209" s="802">
        <v>3886</v>
      </c>
      <c r="K209" s="662">
        <v>0</v>
      </c>
      <c r="L209" s="662">
        <v>3817</v>
      </c>
      <c r="M209" s="662">
        <v>807520</v>
      </c>
      <c r="N209" s="662">
        <v>0</v>
      </c>
      <c r="O209" s="662">
        <v>0</v>
      </c>
      <c r="P209" s="662">
        <v>717680</v>
      </c>
      <c r="Q209" s="802">
        <v>1</v>
      </c>
      <c r="R209" s="662">
        <v>1</v>
      </c>
      <c r="S209" s="662">
        <v>200</v>
      </c>
      <c r="T209" s="662">
        <v>0</v>
      </c>
      <c r="U209" s="662">
        <v>0</v>
      </c>
      <c r="V209" s="662">
        <v>200</v>
      </c>
      <c r="W209" s="802">
        <v>26</v>
      </c>
      <c r="X209" s="662">
        <v>0</v>
      </c>
      <c r="Y209" s="662">
        <v>25</v>
      </c>
      <c r="Z209" s="662">
        <v>1340</v>
      </c>
      <c r="AA209" s="662">
        <v>0</v>
      </c>
      <c r="AB209" s="662">
        <v>0</v>
      </c>
      <c r="AC209" s="662">
        <v>1320</v>
      </c>
      <c r="AD209" s="802">
        <v>759</v>
      </c>
      <c r="AE209" s="662">
        <v>0</v>
      </c>
      <c r="AF209" s="662">
        <v>644</v>
      </c>
      <c r="AG209" s="662">
        <v>115696</v>
      </c>
      <c r="AH209" s="662">
        <v>0</v>
      </c>
      <c r="AI209" s="662">
        <v>0</v>
      </c>
      <c r="AJ209" s="662">
        <v>115696</v>
      </c>
      <c r="AK209" s="802">
        <v>78</v>
      </c>
      <c r="AL209" s="662">
        <v>77</v>
      </c>
      <c r="AM209" s="662">
        <v>12200</v>
      </c>
      <c r="AN209" s="662">
        <v>0</v>
      </c>
      <c r="AO209" s="662">
        <v>0</v>
      </c>
      <c r="AP209" s="662">
        <v>12200</v>
      </c>
      <c r="AQ209" s="802">
        <v>3240</v>
      </c>
      <c r="AR209" s="662">
        <v>0</v>
      </c>
      <c r="AS209" s="662">
        <v>3159</v>
      </c>
      <c r="AT209" s="662">
        <v>365820</v>
      </c>
      <c r="AU209" s="662">
        <v>0</v>
      </c>
      <c r="AV209" s="662">
        <v>0</v>
      </c>
      <c r="AW209" s="662">
        <v>347520</v>
      </c>
      <c r="AX209" s="662">
        <v>710</v>
      </c>
      <c r="AY209" s="662">
        <v>0</v>
      </c>
      <c r="AZ209" s="662">
        <v>707</v>
      </c>
      <c r="BA209" s="662">
        <v>154235</v>
      </c>
      <c r="BB209" s="662">
        <v>0</v>
      </c>
      <c r="BC209" s="662">
        <v>0</v>
      </c>
      <c r="BD209" s="662">
        <v>154001</v>
      </c>
      <c r="BE209" s="802">
        <v>4842</v>
      </c>
      <c r="BF209" s="662">
        <v>0</v>
      </c>
      <c r="BG209" s="662">
        <v>4179</v>
      </c>
      <c r="BH209" s="662">
        <v>681000</v>
      </c>
      <c r="BI209" s="662">
        <v>0</v>
      </c>
      <c r="BJ209" s="662">
        <v>0</v>
      </c>
      <c r="BK209" s="662">
        <v>681000</v>
      </c>
      <c r="BL209" s="662">
        <v>89</v>
      </c>
      <c r="BM209" s="662">
        <v>0</v>
      </c>
      <c r="BN209" s="662">
        <v>83</v>
      </c>
      <c r="BO209" s="662">
        <v>11045</v>
      </c>
      <c r="BP209" s="662">
        <v>0</v>
      </c>
      <c r="BQ209" s="662">
        <v>0</v>
      </c>
      <c r="BR209" s="662">
        <v>10851</v>
      </c>
      <c r="BS209" s="662">
        <v>0</v>
      </c>
      <c r="BT209" s="662">
        <v>0</v>
      </c>
      <c r="BU209" s="662">
        <v>0</v>
      </c>
      <c r="BV209" s="662">
        <v>0</v>
      </c>
      <c r="BW209" s="662">
        <v>0</v>
      </c>
      <c r="BX209" s="662">
        <v>0</v>
      </c>
      <c r="BY209" s="662">
        <v>0</v>
      </c>
      <c r="BZ209" s="662">
        <v>56</v>
      </c>
      <c r="CA209" s="662">
        <v>0</v>
      </c>
      <c r="CB209" s="662">
        <v>52</v>
      </c>
      <c r="CC209" s="662">
        <v>7921</v>
      </c>
      <c r="CD209" s="662">
        <v>0</v>
      </c>
      <c r="CE209" s="662">
        <v>0</v>
      </c>
      <c r="CF209" s="662">
        <v>7832</v>
      </c>
      <c r="CG209" s="662">
        <v>9303</v>
      </c>
      <c r="CH209" s="662">
        <v>0</v>
      </c>
      <c r="CI209" s="662">
        <v>8668</v>
      </c>
      <c r="CJ209" s="662">
        <v>2478200</v>
      </c>
      <c r="CK209" s="662">
        <v>0</v>
      </c>
      <c r="CL209" s="662">
        <v>0</v>
      </c>
      <c r="CM209" s="662">
        <v>2324000</v>
      </c>
      <c r="CN209" s="662">
        <v>174</v>
      </c>
      <c r="CO209" s="662">
        <v>0</v>
      </c>
      <c r="CP209" s="662">
        <v>173</v>
      </c>
      <c r="CQ209" s="662">
        <v>36100</v>
      </c>
      <c r="CR209" s="662">
        <v>0</v>
      </c>
      <c r="CS209" s="662">
        <v>0</v>
      </c>
      <c r="CT209" s="662">
        <v>36100</v>
      </c>
      <c r="CU209" s="662">
        <v>23</v>
      </c>
      <c r="CV209" s="662">
        <v>0</v>
      </c>
      <c r="CW209" s="662">
        <v>23</v>
      </c>
      <c r="CX209" s="662">
        <v>4750</v>
      </c>
      <c r="CY209" s="662">
        <v>0</v>
      </c>
      <c r="CZ209" s="662">
        <v>0</v>
      </c>
      <c r="DA209" s="662">
        <v>4750</v>
      </c>
      <c r="DB209" s="662">
        <v>1486</v>
      </c>
      <c r="DC209" s="662">
        <v>0</v>
      </c>
      <c r="DD209" s="662">
        <v>1433</v>
      </c>
      <c r="DE209" s="662">
        <v>307900</v>
      </c>
      <c r="DF209" s="662">
        <v>0</v>
      </c>
      <c r="DG209" s="662">
        <v>0</v>
      </c>
      <c r="DH209" s="662">
        <v>302290</v>
      </c>
      <c r="DI209" s="662">
        <v>108</v>
      </c>
      <c r="DJ209" s="662">
        <v>0</v>
      </c>
      <c r="DK209" s="662">
        <v>108</v>
      </c>
      <c r="DL209" s="662">
        <v>23600</v>
      </c>
      <c r="DM209" s="662">
        <v>0</v>
      </c>
      <c r="DN209" s="662">
        <v>0</v>
      </c>
      <c r="DO209" s="662">
        <v>22795</v>
      </c>
      <c r="DP209" s="662">
        <v>454</v>
      </c>
      <c r="DQ209" s="662">
        <v>0</v>
      </c>
      <c r="DR209" s="662">
        <v>434</v>
      </c>
      <c r="DS209" s="662">
        <v>76050</v>
      </c>
      <c r="DT209" s="662">
        <v>0</v>
      </c>
      <c r="DU209" s="662">
        <v>0</v>
      </c>
      <c r="DV209" s="662">
        <v>75840</v>
      </c>
      <c r="DW209" s="662">
        <v>1440</v>
      </c>
      <c r="DX209" s="662">
        <v>0</v>
      </c>
      <c r="DY209" s="662">
        <v>1438</v>
      </c>
      <c r="DZ209" s="662">
        <v>422385</v>
      </c>
      <c r="EA209" s="662">
        <v>0</v>
      </c>
      <c r="EB209" s="662">
        <v>0</v>
      </c>
      <c r="EC209" s="662">
        <v>421980</v>
      </c>
      <c r="ED209" s="662">
        <v>61</v>
      </c>
      <c r="EE209" s="662">
        <v>0</v>
      </c>
      <c r="EF209" s="662">
        <v>61</v>
      </c>
      <c r="EG209" s="662">
        <v>9330</v>
      </c>
      <c r="EH209" s="662">
        <v>0</v>
      </c>
      <c r="EI209" s="662">
        <v>0</v>
      </c>
      <c r="EJ209" s="662">
        <v>8830</v>
      </c>
      <c r="EK209" s="662">
        <v>0</v>
      </c>
      <c r="EL209" s="662">
        <v>0</v>
      </c>
      <c r="EM209" s="662">
        <v>0</v>
      </c>
      <c r="EN209" s="662">
        <v>0</v>
      </c>
      <c r="EO209" s="662">
        <v>0</v>
      </c>
      <c r="EP209" s="662">
        <v>0</v>
      </c>
      <c r="EQ209" s="662">
        <v>0</v>
      </c>
    </row>
    <row r="210" spans="1:147" ht="13.95" customHeight="1" x14ac:dyDescent="0.3">
      <c r="A210" s="660" t="s">
        <v>1866</v>
      </c>
      <c r="B210" s="661" t="s">
        <v>269</v>
      </c>
      <c r="C210" s="662">
        <v>2782</v>
      </c>
      <c r="D210" s="662">
        <v>0</v>
      </c>
      <c r="E210" s="662">
        <v>2534</v>
      </c>
      <c r="F210" s="662">
        <v>515650</v>
      </c>
      <c r="G210" s="662">
        <v>0</v>
      </c>
      <c r="H210" s="662">
        <v>0</v>
      </c>
      <c r="I210" s="662">
        <v>502286</v>
      </c>
      <c r="J210" s="802">
        <v>0</v>
      </c>
      <c r="K210" s="662">
        <v>0</v>
      </c>
      <c r="L210" s="662">
        <v>0</v>
      </c>
      <c r="M210" s="662">
        <v>0</v>
      </c>
      <c r="N210" s="662">
        <v>0</v>
      </c>
      <c r="O210" s="662">
        <v>0</v>
      </c>
      <c r="P210" s="662">
        <v>0</v>
      </c>
      <c r="Q210" s="802">
        <v>0</v>
      </c>
      <c r="R210" s="662">
        <v>0</v>
      </c>
      <c r="S210" s="662">
        <v>0</v>
      </c>
      <c r="T210" s="662">
        <v>0</v>
      </c>
      <c r="U210" s="662">
        <v>0</v>
      </c>
      <c r="V210" s="662">
        <v>0</v>
      </c>
      <c r="W210" s="802">
        <v>1</v>
      </c>
      <c r="X210" s="662">
        <v>0</v>
      </c>
      <c r="Y210" s="662">
        <v>1</v>
      </c>
      <c r="Z210" s="662">
        <v>250</v>
      </c>
      <c r="AA210" s="662">
        <v>0</v>
      </c>
      <c r="AB210" s="662">
        <v>0</v>
      </c>
      <c r="AC210" s="662">
        <v>250</v>
      </c>
      <c r="AD210" s="802">
        <v>29</v>
      </c>
      <c r="AE210" s="662">
        <v>0</v>
      </c>
      <c r="AF210" s="662">
        <v>24</v>
      </c>
      <c r="AG210" s="662">
        <v>4995</v>
      </c>
      <c r="AH210" s="662">
        <v>0</v>
      </c>
      <c r="AI210" s="662">
        <v>0</v>
      </c>
      <c r="AJ210" s="662">
        <v>4995</v>
      </c>
      <c r="AK210" s="802">
        <v>1</v>
      </c>
      <c r="AL210" s="662">
        <v>1</v>
      </c>
      <c r="AM210" s="662">
        <v>200</v>
      </c>
      <c r="AN210" s="662">
        <v>0</v>
      </c>
      <c r="AO210" s="662">
        <v>0</v>
      </c>
      <c r="AP210" s="662">
        <v>200</v>
      </c>
      <c r="AQ210" s="802">
        <v>144</v>
      </c>
      <c r="AR210" s="662">
        <v>0</v>
      </c>
      <c r="AS210" s="662">
        <v>144</v>
      </c>
      <c r="AT210" s="662">
        <v>35050</v>
      </c>
      <c r="AU210" s="662">
        <v>0</v>
      </c>
      <c r="AV210" s="662">
        <v>0</v>
      </c>
      <c r="AW210" s="662">
        <v>33823</v>
      </c>
      <c r="AX210" s="662">
        <v>4</v>
      </c>
      <c r="AY210" s="662">
        <v>0</v>
      </c>
      <c r="AZ210" s="662">
        <v>4</v>
      </c>
      <c r="BA210" s="662">
        <v>1973</v>
      </c>
      <c r="BB210" s="662">
        <v>0</v>
      </c>
      <c r="BC210" s="662">
        <v>0</v>
      </c>
      <c r="BD210" s="662">
        <v>1948</v>
      </c>
      <c r="BE210" s="802">
        <v>1301</v>
      </c>
      <c r="BF210" s="662">
        <v>0</v>
      </c>
      <c r="BG210" s="662">
        <v>1079</v>
      </c>
      <c r="BH210" s="662">
        <v>210327</v>
      </c>
      <c r="BI210" s="662">
        <v>0</v>
      </c>
      <c r="BJ210" s="662">
        <v>0</v>
      </c>
      <c r="BK210" s="662">
        <v>210327</v>
      </c>
      <c r="BL210" s="662">
        <v>13</v>
      </c>
      <c r="BM210" s="662">
        <v>0</v>
      </c>
      <c r="BN210" s="662">
        <v>13</v>
      </c>
      <c r="BO210" s="662">
        <v>2920</v>
      </c>
      <c r="BP210" s="662">
        <v>0</v>
      </c>
      <c r="BQ210" s="662">
        <v>0</v>
      </c>
      <c r="BR210" s="662">
        <v>2865</v>
      </c>
      <c r="BS210" s="662">
        <v>0</v>
      </c>
      <c r="BT210" s="662">
        <v>0</v>
      </c>
      <c r="BU210" s="662">
        <v>0</v>
      </c>
      <c r="BV210" s="662">
        <v>0</v>
      </c>
      <c r="BW210" s="662">
        <v>0</v>
      </c>
      <c r="BX210" s="662">
        <v>0</v>
      </c>
      <c r="BY210" s="662">
        <v>0</v>
      </c>
      <c r="BZ210" s="662">
        <v>1</v>
      </c>
      <c r="CA210" s="662">
        <v>0</v>
      </c>
      <c r="CB210" s="662">
        <v>1</v>
      </c>
      <c r="CC210" s="662">
        <v>145</v>
      </c>
      <c r="CD210" s="662">
        <v>0</v>
      </c>
      <c r="CE210" s="662">
        <v>0</v>
      </c>
      <c r="CF210" s="662">
        <v>144</v>
      </c>
      <c r="CG210" s="662">
        <v>0</v>
      </c>
      <c r="CH210" s="662">
        <v>0</v>
      </c>
      <c r="CI210" s="662">
        <v>0</v>
      </c>
      <c r="CJ210" s="662">
        <v>0</v>
      </c>
      <c r="CK210" s="662">
        <v>0</v>
      </c>
      <c r="CL210" s="662">
        <v>0</v>
      </c>
      <c r="CM210" s="662">
        <v>0</v>
      </c>
      <c r="CN210" s="662">
        <v>0</v>
      </c>
      <c r="CO210" s="662">
        <v>0</v>
      </c>
      <c r="CP210" s="662">
        <v>0</v>
      </c>
      <c r="CQ210" s="662">
        <v>0</v>
      </c>
      <c r="CR210" s="662">
        <v>0</v>
      </c>
      <c r="CS210" s="662">
        <v>0</v>
      </c>
      <c r="CT210" s="662">
        <v>0</v>
      </c>
      <c r="CU210" s="662">
        <v>0</v>
      </c>
      <c r="CV210" s="662">
        <v>0</v>
      </c>
      <c r="CW210" s="662">
        <v>0</v>
      </c>
      <c r="CX210" s="662">
        <v>0</v>
      </c>
      <c r="CY210" s="662">
        <v>0</v>
      </c>
      <c r="CZ210" s="662">
        <v>0</v>
      </c>
      <c r="DA210" s="662">
        <v>0</v>
      </c>
      <c r="DB210" s="662">
        <v>945</v>
      </c>
      <c r="DC210" s="662">
        <v>0</v>
      </c>
      <c r="DD210" s="662">
        <v>926</v>
      </c>
      <c r="DE210" s="662">
        <v>222580</v>
      </c>
      <c r="DF210" s="662">
        <v>0</v>
      </c>
      <c r="DG210" s="662">
        <v>0</v>
      </c>
      <c r="DH210" s="662">
        <v>211189</v>
      </c>
      <c r="DI210" s="662">
        <v>6</v>
      </c>
      <c r="DJ210" s="662">
        <v>0</v>
      </c>
      <c r="DK210" s="662">
        <v>5</v>
      </c>
      <c r="DL210" s="662">
        <v>820</v>
      </c>
      <c r="DM210" s="662">
        <v>0</v>
      </c>
      <c r="DN210" s="662">
        <v>0</v>
      </c>
      <c r="DO210" s="662">
        <v>805</v>
      </c>
      <c r="DP210" s="662">
        <v>0</v>
      </c>
      <c r="DQ210" s="662">
        <v>0</v>
      </c>
      <c r="DR210" s="662">
        <v>0</v>
      </c>
      <c r="DS210" s="662">
        <v>0</v>
      </c>
      <c r="DT210" s="662">
        <v>0</v>
      </c>
      <c r="DU210" s="662">
        <v>0</v>
      </c>
      <c r="DV210" s="662">
        <v>0</v>
      </c>
      <c r="DW210" s="662">
        <v>14</v>
      </c>
      <c r="DX210" s="662">
        <v>0</v>
      </c>
      <c r="DY210" s="662">
        <v>14</v>
      </c>
      <c r="DZ210" s="662">
        <v>1250</v>
      </c>
      <c r="EA210" s="662">
        <v>0</v>
      </c>
      <c r="EB210" s="662">
        <v>0</v>
      </c>
      <c r="EC210" s="662">
        <v>1200</v>
      </c>
      <c r="ED210" s="662">
        <v>319</v>
      </c>
      <c r="EE210" s="662">
        <v>0</v>
      </c>
      <c r="EF210" s="662">
        <v>318</v>
      </c>
      <c r="EG210" s="662">
        <v>34270</v>
      </c>
      <c r="EH210" s="662">
        <v>0</v>
      </c>
      <c r="EI210" s="662">
        <v>0</v>
      </c>
      <c r="EJ210" s="662">
        <v>33670</v>
      </c>
      <c r="EK210" s="662">
        <v>4</v>
      </c>
      <c r="EL210" s="662">
        <v>0</v>
      </c>
      <c r="EM210" s="662">
        <v>4</v>
      </c>
      <c r="EN210" s="662">
        <v>870</v>
      </c>
      <c r="EO210" s="662">
        <v>0</v>
      </c>
      <c r="EP210" s="662">
        <v>0</v>
      </c>
      <c r="EQ210" s="662">
        <v>870</v>
      </c>
    </row>
    <row r="211" spans="1:147" ht="13.95" customHeight="1" x14ac:dyDescent="0.3">
      <c r="A211" s="660" t="s">
        <v>1867</v>
      </c>
      <c r="B211" s="661" t="s">
        <v>269</v>
      </c>
      <c r="C211" s="662">
        <v>1234</v>
      </c>
      <c r="D211" s="662">
        <v>0</v>
      </c>
      <c r="E211" s="662">
        <v>1033</v>
      </c>
      <c r="F211" s="662">
        <v>144457</v>
      </c>
      <c r="G211" s="662">
        <v>0</v>
      </c>
      <c r="H211" s="662">
        <v>0</v>
      </c>
      <c r="I211" s="662">
        <v>139555</v>
      </c>
      <c r="J211" s="802">
        <v>0</v>
      </c>
      <c r="K211" s="662">
        <v>0</v>
      </c>
      <c r="L211" s="662">
        <v>0</v>
      </c>
      <c r="M211" s="662">
        <v>0</v>
      </c>
      <c r="N211" s="662">
        <v>0</v>
      </c>
      <c r="O211" s="662">
        <v>0</v>
      </c>
      <c r="P211" s="662">
        <v>0</v>
      </c>
      <c r="Q211" s="802">
        <v>0</v>
      </c>
      <c r="R211" s="662">
        <v>0</v>
      </c>
      <c r="S211" s="662">
        <v>0</v>
      </c>
      <c r="T211" s="662">
        <v>0</v>
      </c>
      <c r="U211" s="662">
        <v>0</v>
      </c>
      <c r="V211" s="662">
        <v>0</v>
      </c>
      <c r="W211" s="802">
        <v>0</v>
      </c>
      <c r="X211" s="662">
        <v>0</v>
      </c>
      <c r="Y211" s="662">
        <v>0</v>
      </c>
      <c r="Z211" s="662">
        <v>0</v>
      </c>
      <c r="AA211" s="662">
        <v>0</v>
      </c>
      <c r="AB211" s="662">
        <v>0</v>
      </c>
      <c r="AC211" s="662">
        <v>0</v>
      </c>
      <c r="AD211" s="802">
        <v>21</v>
      </c>
      <c r="AE211" s="662">
        <v>0</v>
      </c>
      <c r="AF211" s="662">
        <v>8</v>
      </c>
      <c r="AG211" s="662">
        <v>1100</v>
      </c>
      <c r="AH211" s="662">
        <v>0</v>
      </c>
      <c r="AI211" s="662">
        <v>0</v>
      </c>
      <c r="AJ211" s="662">
        <v>1100</v>
      </c>
      <c r="AK211" s="802">
        <v>0</v>
      </c>
      <c r="AL211" s="662">
        <v>0</v>
      </c>
      <c r="AM211" s="662">
        <v>0</v>
      </c>
      <c r="AN211" s="662">
        <v>0</v>
      </c>
      <c r="AO211" s="662">
        <v>0</v>
      </c>
      <c r="AP211" s="662">
        <v>0</v>
      </c>
      <c r="AQ211" s="802">
        <v>210</v>
      </c>
      <c r="AR211" s="662">
        <v>0</v>
      </c>
      <c r="AS211" s="662">
        <v>210</v>
      </c>
      <c r="AT211" s="662">
        <v>40460</v>
      </c>
      <c r="AU211" s="662">
        <v>0</v>
      </c>
      <c r="AV211" s="662">
        <v>0</v>
      </c>
      <c r="AW211" s="662">
        <v>37019</v>
      </c>
      <c r="AX211" s="662">
        <v>0</v>
      </c>
      <c r="AY211" s="662">
        <v>0</v>
      </c>
      <c r="AZ211" s="662">
        <v>0</v>
      </c>
      <c r="BA211" s="662">
        <v>0</v>
      </c>
      <c r="BB211" s="662">
        <v>0</v>
      </c>
      <c r="BC211" s="662">
        <v>0</v>
      </c>
      <c r="BD211" s="662">
        <v>0</v>
      </c>
      <c r="BE211" s="802">
        <v>49</v>
      </c>
      <c r="BF211" s="662">
        <v>0</v>
      </c>
      <c r="BG211" s="662">
        <v>32</v>
      </c>
      <c r="BH211" s="662">
        <v>1824</v>
      </c>
      <c r="BI211" s="662">
        <v>0</v>
      </c>
      <c r="BJ211" s="662">
        <v>0</v>
      </c>
      <c r="BK211" s="662">
        <v>1824</v>
      </c>
      <c r="BL211" s="662">
        <v>21</v>
      </c>
      <c r="BM211" s="662">
        <v>0</v>
      </c>
      <c r="BN211" s="662">
        <v>13</v>
      </c>
      <c r="BO211" s="662">
        <v>2000</v>
      </c>
      <c r="BP211" s="662">
        <v>0</v>
      </c>
      <c r="BQ211" s="662">
        <v>0</v>
      </c>
      <c r="BR211" s="662">
        <v>1945</v>
      </c>
      <c r="BS211" s="662">
        <v>0</v>
      </c>
      <c r="BT211" s="662">
        <v>0</v>
      </c>
      <c r="BU211" s="662">
        <v>0</v>
      </c>
      <c r="BV211" s="662">
        <v>0</v>
      </c>
      <c r="BW211" s="662">
        <v>0</v>
      </c>
      <c r="BX211" s="662">
        <v>0</v>
      </c>
      <c r="BY211" s="662">
        <v>0</v>
      </c>
      <c r="BZ211" s="662">
        <v>1</v>
      </c>
      <c r="CA211" s="662">
        <v>0</v>
      </c>
      <c r="CB211" s="662">
        <v>1</v>
      </c>
      <c r="CC211" s="662">
        <v>218</v>
      </c>
      <c r="CD211" s="662">
        <v>0</v>
      </c>
      <c r="CE211" s="662">
        <v>0</v>
      </c>
      <c r="CF211" s="662">
        <v>208</v>
      </c>
      <c r="CG211" s="662">
        <v>81</v>
      </c>
      <c r="CH211" s="662">
        <v>0</v>
      </c>
      <c r="CI211" s="662">
        <v>61</v>
      </c>
      <c r="CJ211" s="662">
        <v>9603</v>
      </c>
      <c r="CK211" s="662">
        <v>0</v>
      </c>
      <c r="CL211" s="662">
        <v>0</v>
      </c>
      <c r="CM211" s="662">
        <v>8792</v>
      </c>
      <c r="CN211" s="662">
        <v>0</v>
      </c>
      <c r="CO211" s="662">
        <v>0</v>
      </c>
      <c r="CP211" s="662">
        <v>0</v>
      </c>
      <c r="CQ211" s="662">
        <v>0</v>
      </c>
      <c r="CR211" s="662">
        <v>0</v>
      </c>
      <c r="CS211" s="662">
        <v>0</v>
      </c>
      <c r="CT211" s="662">
        <v>0</v>
      </c>
      <c r="CU211" s="662">
        <v>0</v>
      </c>
      <c r="CV211" s="662">
        <v>0</v>
      </c>
      <c r="CW211" s="662">
        <v>0</v>
      </c>
      <c r="CX211" s="662">
        <v>0</v>
      </c>
      <c r="CY211" s="662">
        <v>0</v>
      </c>
      <c r="CZ211" s="662">
        <v>0</v>
      </c>
      <c r="DA211" s="662">
        <v>0</v>
      </c>
      <c r="DB211" s="662">
        <v>18</v>
      </c>
      <c r="DC211" s="662">
        <v>0</v>
      </c>
      <c r="DD211" s="662">
        <v>18</v>
      </c>
      <c r="DE211" s="662">
        <v>3540</v>
      </c>
      <c r="DF211" s="662">
        <v>0</v>
      </c>
      <c r="DG211" s="662">
        <v>0</v>
      </c>
      <c r="DH211" s="662">
        <v>3530</v>
      </c>
      <c r="DI211" s="662">
        <v>374</v>
      </c>
      <c r="DJ211" s="662">
        <v>0</v>
      </c>
      <c r="DK211" s="662">
        <v>258</v>
      </c>
      <c r="DL211" s="662">
        <v>39257</v>
      </c>
      <c r="DM211" s="662">
        <v>0</v>
      </c>
      <c r="DN211" s="662">
        <v>0</v>
      </c>
      <c r="DO211" s="662">
        <v>38972</v>
      </c>
      <c r="DP211" s="662">
        <v>0</v>
      </c>
      <c r="DQ211" s="662">
        <v>0</v>
      </c>
      <c r="DR211" s="662">
        <v>0</v>
      </c>
      <c r="DS211" s="662">
        <v>0</v>
      </c>
      <c r="DT211" s="662">
        <v>0</v>
      </c>
      <c r="DU211" s="662">
        <v>0</v>
      </c>
      <c r="DV211" s="662">
        <v>0</v>
      </c>
      <c r="DW211" s="662">
        <v>70</v>
      </c>
      <c r="DX211" s="662">
        <v>0</v>
      </c>
      <c r="DY211" s="662">
        <v>58</v>
      </c>
      <c r="DZ211" s="662">
        <v>5925</v>
      </c>
      <c r="EA211" s="662">
        <v>0</v>
      </c>
      <c r="EB211" s="662">
        <v>0</v>
      </c>
      <c r="EC211" s="662">
        <v>5835</v>
      </c>
      <c r="ED211" s="662">
        <v>386</v>
      </c>
      <c r="EE211" s="662">
        <v>0</v>
      </c>
      <c r="EF211" s="662">
        <v>371</v>
      </c>
      <c r="EG211" s="662">
        <v>40380</v>
      </c>
      <c r="EH211" s="662">
        <v>0</v>
      </c>
      <c r="EI211" s="662">
        <v>0</v>
      </c>
      <c r="EJ211" s="662">
        <v>40180</v>
      </c>
      <c r="EK211" s="662">
        <v>3</v>
      </c>
      <c r="EL211" s="662">
        <v>0</v>
      </c>
      <c r="EM211" s="662">
        <v>3</v>
      </c>
      <c r="EN211" s="662">
        <v>150</v>
      </c>
      <c r="EO211" s="662">
        <v>0</v>
      </c>
      <c r="EP211" s="662">
        <v>0</v>
      </c>
      <c r="EQ211" s="662">
        <v>150</v>
      </c>
    </row>
    <row r="212" spans="1:147" ht="13.95" customHeight="1" x14ac:dyDescent="0.3">
      <c r="A212" s="660" t="s">
        <v>1868</v>
      </c>
      <c r="B212" s="661" t="s">
        <v>269</v>
      </c>
      <c r="C212" s="662">
        <v>8597</v>
      </c>
      <c r="D212" s="662">
        <v>0</v>
      </c>
      <c r="E212" s="662">
        <v>7824</v>
      </c>
      <c r="F212" s="662">
        <v>1512645</v>
      </c>
      <c r="G212" s="662">
        <v>0</v>
      </c>
      <c r="H212" s="662">
        <v>0</v>
      </c>
      <c r="I212" s="662">
        <v>1502475</v>
      </c>
      <c r="J212" s="802">
        <v>0</v>
      </c>
      <c r="K212" s="662">
        <v>0</v>
      </c>
      <c r="L212" s="662">
        <v>0</v>
      </c>
      <c r="M212" s="662">
        <v>0</v>
      </c>
      <c r="N212" s="662">
        <v>0</v>
      </c>
      <c r="O212" s="662">
        <v>0</v>
      </c>
      <c r="P212" s="662">
        <v>0</v>
      </c>
      <c r="Q212" s="802">
        <v>0</v>
      </c>
      <c r="R212" s="662">
        <v>0</v>
      </c>
      <c r="S212" s="662">
        <v>0</v>
      </c>
      <c r="T212" s="662">
        <v>0</v>
      </c>
      <c r="U212" s="662">
        <v>0</v>
      </c>
      <c r="V212" s="662">
        <v>0</v>
      </c>
      <c r="W212" s="802">
        <v>0</v>
      </c>
      <c r="X212" s="662">
        <v>0</v>
      </c>
      <c r="Y212" s="662">
        <v>0</v>
      </c>
      <c r="Z212" s="662">
        <v>0</v>
      </c>
      <c r="AA212" s="662">
        <v>0</v>
      </c>
      <c r="AB212" s="662">
        <v>0</v>
      </c>
      <c r="AC212" s="662">
        <v>0</v>
      </c>
      <c r="AD212" s="802">
        <v>0</v>
      </c>
      <c r="AE212" s="662">
        <v>0</v>
      </c>
      <c r="AF212" s="662">
        <v>0</v>
      </c>
      <c r="AG212" s="662">
        <v>0</v>
      </c>
      <c r="AH212" s="662">
        <v>0</v>
      </c>
      <c r="AI212" s="662">
        <v>0</v>
      </c>
      <c r="AJ212" s="662">
        <v>0</v>
      </c>
      <c r="AK212" s="802">
        <v>0</v>
      </c>
      <c r="AL212" s="662">
        <v>0</v>
      </c>
      <c r="AM212" s="662">
        <v>0</v>
      </c>
      <c r="AN212" s="662">
        <v>0</v>
      </c>
      <c r="AO212" s="662">
        <v>0</v>
      </c>
      <c r="AP212" s="662">
        <v>0</v>
      </c>
      <c r="AQ212" s="802">
        <v>1</v>
      </c>
      <c r="AR212" s="662">
        <v>0</v>
      </c>
      <c r="AS212" s="662">
        <v>1</v>
      </c>
      <c r="AT212" s="662">
        <v>225</v>
      </c>
      <c r="AU212" s="662">
        <v>0</v>
      </c>
      <c r="AV212" s="662">
        <v>0</v>
      </c>
      <c r="AW212" s="662">
        <v>220</v>
      </c>
      <c r="AX212" s="662">
        <v>0</v>
      </c>
      <c r="AY212" s="662">
        <v>0</v>
      </c>
      <c r="AZ212" s="662">
        <v>0</v>
      </c>
      <c r="BA212" s="662">
        <v>0</v>
      </c>
      <c r="BB212" s="662">
        <v>0</v>
      </c>
      <c r="BC212" s="662">
        <v>0</v>
      </c>
      <c r="BD212" s="662">
        <v>0</v>
      </c>
      <c r="BE212" s="802">
        <v>0</v>
      </c>
      <c r="BF212" s="662">
        <v>0</v>
      </c>
      <c r="BG212" s="662">
        <v>0</v>
      </c>
      <c r="BH212" s="662">
        <v>0</v>
      </c>
      <c r="BI212" s="662">
        <v>0</v>
      </c>
      <c r="BJ212" s="662">
        <v>0</v>
      </c>
      <c r="BK212" s="662">
        <v>0</v>
      </c>
      <c r="BL212" s="662">
        <v>0</v>
      </c>
      <c r="BM212" s="662">
        <v>0</v>
      </c>
      <c r="BN212" s="662">
        <v>0</v>
      </c>
      <c r="BO212" s="662">
        <v>0</v>
      </c>
      <c r="BP212" s="662">
        <v>0</v>
      </c>
      <c r="BQ212" s="662">
        <v>0</v>
      </c>
      <c r="BR212" s="662">
        <v>0</v>
      </c>
      <c r="BS212" s="662">
        <v>0</v>
      </c>
      <c r="BT212" s="662">
        <v>0</v>
      </c>
      <c r="BU212" s="662">
        <v>0</v>
      </c>
      <c r="BV212" s="662">
        <v>0</v>
      </c>
      <c r="BW212" s="662">
        <v>0</v>
      </c>
      <c r="BX212" s="662">
        <v>0</v>
      </c>
      <c r="BY212" s="662">
        <v>0</v>
      </c>
      <c r="BZ212" s="662">
        <v>0</v>
      </c>
      <c r="CA212" s="662">
        <v>0</v>
      </c>
      <c r="CB212" s="662">
        <v>0</v>
      </c>
      <c r="CC212" s="662">
        <v>0</v>
      </c>
      <c r="CD212" s="662">
        <v>0</v>
      </c>
      <c r="CE212" s="662">
        <v>0</v>
      </c>
      <c r="CF212" s="662">
        <v>0</v>
      </c>
      <c r="CG212" s="662">
        <v>6</v>
      </c>
      <c r="CH212" s="662">
        <v>0</v>
      </c>
      <c r="CI212" s="662">
        <v>6</v>
      </c>
      <c r="CJ212" s="662">
        <v>660</v>
      </c>
      <c r="CK212" s="662">
        <v>0</v>
      </c>
      <c r="CL212" s="662">
        <v>0</v>
      </c>
      <c r="CM212" s="662">
        <v>660</v>
      </c>
      <c r="CN212" s="662">
        <v>0</v>
      </c>
      <c r="CO212" s="662">
        <v>0</v>
      </c>
      <c r="CP212" s="662">
        <v>0</v>
      </c>
      <c r="CQ212" s="662">
        <v>0</v>
      </c>
      <c r="CR212" s="662">
        <v>0</v>
      </c>
      <c r="CS212" s="662">
        <v>0</v>
      </c>
      <c r="CT212" s="662">
        <v>0</v>
      </c>
      <c r="CU212" s="662">
        <v>0</v>
      </c>
      <c r="CV212" s="662">
        <v>0</v>
      </c>
      <c r="CW212" s="662">
        <v>0</v>
      </c>
      <c r="CX212" s="662">
        <v>0</v>
      </c>
      <c r="CY212" s="662">
        <v>0</v>
      </c>
      <c r="CZ212" s="662">
        <v>0</v>
      </c>
      <c r="DA212" s="662">
        <v>0</v>
      </c>
      <c r="DB212" s="662">
        <v>0</v>
      </c>
      <c r="DC212" s="662">
        <v>0</v>
      </c>
      <c r="DD212" s="662">
        <v>0</v>
      </c>
      <c r="DE212" s="662">
        <v>0</v>
      </c>
      <c r="DF212" s="662">
        <v>0</v>
      </c>
      <c r="DG212" s="662">
        <v>0</v>
      </c>
      <c r="DH212" s="662">
        <v>0</v>
      </c>
      <c r="DI212" s="662">
        <v>328</v>
      </c>
      <c r="DJ212" s="662">
        <v>0</v>
      </c>
      <c r="DK212" s="662">
        <v>328</v>
      </c>
      <c r="DL212" s="662">
        <v>25630</v>
      </c>
      <c r="DM212" s="662">
        <v>0</v>
      </c>
      <c r="DN212" s="662">
        <v>0</v>
      </c>
      <c r="DO212" s="662">
        <v>24410</v>
      </c>
      <c r="DP212" s="662">
        <v>0</v>
      </c>
      <c r="DQ212" s="662">
        <v>0</v>
      </c>
      <c r="DR212" s="662">
        <v>0</v>
      </c>
      <c r="DS212" s="662">
        <v>0</v>
      </c>
      <c r="DT212" s="662">
        <v>0</v>
      </c>
      <c r="DU212" s="662">
        <v>0</v>
      </c>
      <c r="DV212" s="662">
        <v>0</v>
      </c>
      <c r="DW212" s="662">
        <v>43</v>
      </c>
      <c r="DX212" s="662">
        <v>0</v>
      </c>
      <c r="DY212" s="662">
        <v>43</v>
      </c>
      <c r="DZ212" s="662">
        <v>3600</v>
      </c>
      <c r="EA212" s="662">
        <v>0</v>
      </c>
      <c r="EB212" s="662">
        <v>0</v>
      </c>
      <c r="EC212" s="662">
        <v>3500</v>
      </c>
      <c r="ED212" s="662">
        <v>8200</v>
      </c>
      <c r="EE212" s="662">
        <v>0</v>
      </c>
      <c r="EF212" s="662">
        <v>7427</v>
      </c>
      <c r="EG212" s="662">
        <v>1478730</v>
      </c>
      <c r="EH212" s="662">
        <v>0</v>
      </c>
      <c r="EI212" s="662">
        <v>0</v>
      </c>
      <c r="EJ212" s="662">
        <v>1469885</v>
      </c>
      <c r="EK212" s="662">
        <v>19</v>
      </c>
      <c r="EL212" s="662">
        <v>0</v>
      </c>
      <c r="EM212" s="662">
        <v>19</v>
      </c>
      <c r="EN212" s="662">
        <v>3800</v>
      </c>
      <c r="EO212" s="662">
        <v>0</v>
      </c>
      <c r="EP212" s="662">
        <v>0</v>
      </c>
      <c r="EQ212" s="662">
        <v>3800</v>
      </c>
    </row>
    <row r="213" spans="1:147" ht="20.7" customHeight="1" x14ac:dyDescent="0.3">
      <c r="A213" s="660" t="s">
        <v>1869</v>
      </c>
      <c r="B213" s="661" t="s">
        <v>269</v>
      </c>
      <c r="C213" s="662">
        <v>0</v>
      </c>
      <c r="D213" s="662">
        <v>0</v>
      </c>
      <c r="E213" s="662">
        <v>0</v>
      </c>
      <c r="F213" s="662">
        <v>0</v>
      </c>
      <c r="G213" s="662">
        <v>0</v>
      </c>
      <c r="H213" s="662">
        <v>0</v>
      </c>
      <c r="I213" s="662">
        <v>0</v>
      </c>
      <c r="J213" s="802">
        <v>0</v>
      </c>
      <c r="K213" s="662">
        <v>0</v>
      </c>
      <c r="L213" s="662">
        <v>0</v>
      </c>
      <c r="M213" s="662">
        <v>0</v>
      </c>
      <c r="N213" s="662">
        <v>0</v>
      </c>
      <c r="O213" s="662">
        <v>0</v>
      </c>
      <c r="P213" s="662">
        <v>0</v>
      </c>
      <c r="Q213" s="802">
        <v>0</v>
      </c>
      <c r="R213" s="662">
        <v>0</v>
      </c>
      <c r="S213" s="662">
        <v>0</v>
      </c>
      <c r="T213" s="662">
        <v>0</v>
      </c>
      <c r="U213" s="662">
        <v>0</v>
      </c>
      <c r="V213" s="662">
        <v>0</v>
      </c>
      <c r="W213" s="802">
        <v>0</v>
      </c>
      <c r="X213" s="662">
        <v>0</v>
      </c>
      <c r="Y213" s="662">
        <v>0</v>
      </c>
      <c r="Z213" s="662">
        <v>0</v>
      </c>
      <c r="AA213" s="662">
        <v>0</v>
      </c>
      <c r="AB213" s="662">
        <v>0</v>
      </c>
      <c r="AC213" s="662">
        <v>0</v>
      </c>
      <c r="AD213" s="802">
        <v>0</v>
      </c>
      <c r="AE213" s="662">
        <v>0</v>
      </c>
      <c r="AF213" s="662">
        <v>0</v>
      </c>
      <c r="AG213" s="662">
        <v>0</v>
      </c>
      <c r="AH213" s="662">
        <v>0</v>
      </c>
      <c r="AI213" s="662">
        <v>0</v>
      </c>
      <c r="AJ213" s="662">
        <v>0</v>
      </c>
      <c r="AK213" s="802">
        <v>0</v>
      </c>
      <c r="AL213" s="662">
        <v>0</v>
      </c>
      <c r="AM213" s="662">
        <v>0</v>
      </c>
      <c r="AN213" s="662">
        <v>0</v>
      </c>
      <c r="AO213" s="662">
        <v>0</v>
      </c>
      <c r="AP213" s="662">
        <v>0</v>
      </c>
      <c r="AQ213" s="802">
        <v>0</v>
      </c>
      <c r="AR213" s="662">
        <v>0</v>
      </c>
      <c r="AS213" s="662">
        <v>0</v>
      </c>
      <c r="AT213" s="662">
        <v>0</v>
      </c>
      <c r="AU213" s="662">
        <v>0</v>
      </c>
      <c r="AV213" s="662">
        <v>0</v>
      </c>
      <c r="AW213" s="662">
        <v>0</v>
      </c>
      <c r="AX213" s="662">
        <v>0</v>
      </c>
      <c r="AY213" s="662">
        <v>0</v>
      </c>
      <c r="AZ213" s="662">
        <v>0</v>
      </c>
      <c r="BA213" s="662">
        <v>0</v>
      </c>
      <c r="BB213" s="662">
        <v>0</v>
      </c>
      <c r="BC213" s="662">
        <v>0</v>
      </c>
      <c r="BD213" s="662">
        <v>0</v>
      </c>
      <c r="BE213" s="802">
        <v>0</v>
      </c>
      <c r="BF213" s="662">
        <v>0</v>
      </c>
      <c r="BG213" s="662">
        <v>0</v>
      </c>
      <c r="BH213" s="662">
        <v>0</v>
      </c>
      <c r="BI213" s="662">
        <v>0</v>
      </c>
      <c r="BJ213" s="662">
        <v>0</v>
      </c>
      <c r="BK213" s="662">
        <v>0</v>
      </c>
      <c r="BL213" s="662">
        <v>0</v>
      </c>
      <c r="BM213" s="662">
        <v>0</v>
      </c>
      <c r="BN213" s="662">
        <v>0</v>
      </c>
      <c r="BO213" s="662">
        <v>0</v>
      </c>
      <c r="BP213" s="662">
        <v>0</v>
      </c>
      <c r="BQ213" s="662">
        <v>0</v>
      </c>
      <c r="BR213" s="662">
        <v>0</v>
      </c>
      <c r="BS213" s="662">
        <v>0</v>
      </c>
      <c r="BT213" s="662">
        <v>0</v>
      </c>
      <c r="BU213" s="662">
        <v>0</v>
      </c>
      <c r="BV213" s="662">
        <v>0</v>
      </c>
      <c r="BW213" s="662">
        <v>0</v>
      </c>
      <c r="BX213" s="662">
        <v>0</v>
      </c>
      <c r="BY213" s="662">
        <v>0</v>
      </c>
      <c r="BZ213" s="662">
        <v>0</v>
      </c>
      <c r="CA213" s="662">
        <v>0</v>
      </c>
      <c r="CB213" s="662">
        <v>0</v>
      </c>
      <c r="CC213" s="662">
        <v>0</v>
      </c>
      <c r="CD213" s="662">
        <v>0</v>
      </c>
      <c r="CE213" s="662">
        <v>0</v>
      </c>
      <c r="CF213" s="662">
        <v>0</v>
      </c>
      <c r="CG213" s="662">
        <v>0</v>
      </c>
      <c r="CH213" s="662">
        <v>0</v>
      </c>
      <c r="CI213" s="662">
        <v>0</v>
      </c>
      <c r="CJ213" s="662">
        <v>0</v>
      </c>
      <c r="CK213" s="662">
        <v>0</v>
      </c>
      <c r="CL213" s="662">
        <v>0</v>
      </c>
      <c r="CM213" s="662">
        <v>0</v>
      </c>
      <c r="CN213" s="662">
        <v>0</v>
      </c>
      <c r="CO213" s="662">
        <v>0</v>
      </c>
      <c r="CP213" s="662">
        <v>0</v>
      </c>
      <c r="CQ213" s="662">
        <v>0</v>
      </c>
      <c r="CR213" s="662">
        <v>0</v>
      </c>
      <c r="CS213" s="662">
        <v>0</v>
      </c>
      <c r="CT213" s="662">
        <v>0</v>
      </c>
      <c r="CU213" s="662">
        <v>0</v>
      </c>
      <c r="CV213" s="662">
        <v>0</v>
      </c>
      <c r="CW213" s="662">
        <v>0</v>
      </c>
      <c r="CX213" s="662">
        <v>0</v>
      </c>
      <c r="CY213" s="662">
        <v>0</v>
      </c>
      <c r="CZ213" s="662">
        <v>0</v>
      </c>
      <c r="DA213" s="662">
        <v>0</v>
      </c>
      <c r="DB213" s="662">
        <v>0</v>
      </c>
      <c r="DC213" s="662">
        <v>0</v>
      </c>
      <c r="DD213" s="662">
        <v>0</v>
      </c>
      <c r="DE213" s="662">
        <v>0</v>
      </c>
      <c r="DF213" s="662">
        <v>0</v>
      </c>
      <c r="DG213" s="662">
        <v>0</v>
      </c>
      <c r="DH213" s="662">
        <v>0</v>
      </c>
      <c r="DI213" s="662">
        <v>0</v>
      </c>
      <c r="DJ213" s="662">
        <v>0</v>
      </c>
      <c r="DK213" s="662">
        <v>0</v>
      </c>
      <c r="DL213" s="662">
        <v>0</v>
      </c>
      <c r="DM213" s="662">
        <v>0</v>
      </c>
      <c r="DN213" s="662">
        <v>0</v>
      </c>
      <c r="DO213" s="662">
        <v>0</v>
      </c>
      <c r="DP213" s="662">
        <v>0</v>
      </c>
      <c r="DQ213" s="662">
        <v>0</v>
      </c>
      <c r="DR213" s="662">
        <v>0</v>
      </c>
      <c r="DS213" s="662">
        <v>0</v>
      </c>
      <c r="DT213" s="662">
        <v>0</v>
      </c>
      <c r="DU213" s="662">
        <v>0</v>
      </c>
      <c r="DV213" s="662">
        <v>0</v>
      </c>
      <c r="DW213" s="662">
        <v>0</v>
      </c>
      <c r="DX213" s="662">
        <v>0</v>
      </c>
      <c r="DY213" s="662">
        <v>0</v>
      </c>
      <c r="DZ213" s="662">
        <v>0</v>
      </c>
      <c r="EA213" s="662">
        <v>0</v>
      </c>
      <c r="EB213" s="662">
        <v>0</v>
      </c>
      <c r="EC213" s="662">
        <v>0</v>
      </c>
      <c r="ED213" s="662">
        <v>0</v>
      </c>
      <c r="EE213" s="662">
        <v>0</v>
      </c>
      <c r="EF213" s="662">
        <v>0</v>
      </c>
      <c r="EG213" s="662">
        <v>0</v>
      </c>
      <c r="EH213" s="662">
        <v>0</v>
      </c>
      <c r="EI213" s="662">
        <v>0</v>
      </c>
      <c r="EJ213" s="662">
        <v>0</v>
      </c>
      <c r="EK213" s="662">
        <v>0</v>
      </c>
      <c r="EL213" s="662">
        <v>0</v>
      </c>
      <c r="EM213" s="662">
        <v>0</v>
      </c>
      <c r="EN213" s="662">
        <v>0</v>
      </c>
      <c r="EO213" s="662">
        <v>0</v>
      </c>
      <c r="EP213" s="662">
        <v>0</v>
      </c>
      <c r="EQ213" s="662">
        <v>0</v>
      </c>
    </row>
    <row r="214" spans="1:147" ht="13.95" customHeight="1" x14ac:dyDescent="0.3">
      <c r="A214" s="660" t="s">
        <v>1870</v>
      </c>
      <c r="B214" s="661" t="s">
        <v>269</v>
      </c>
      <c r="C214" s="662">
        <f t="shared" ref="C214:BN214" si="88">C215+C216+C217+C220+C221+C222</f>
        <v>1892</v>
      </c>
      <c r="D214" s="662">
        <f t="shared" si="88"/>
        <v>0</v>
      </c>
      <c r="E214" s="662">
        <f t="shared" si="88"/>
        <v>1859</v>
      </c>
      <c r="F214" s="662">
        <f t="shared" si="88"/>
        <v>101016</v>
      </c>
      <c r="G214" s="662">
        <f t="shared" si="88"/>
        <v>0</v>
      </c>
      <c r="H214" s="662">
        <f t="shared" si="88"/>
        <v>0</v>
      </c>
      <c r="I214" s="662">
        <f t="shared" si="88"/>
        <v>96794</v>
      </c>
      <c r="J214" s="802">
        <f t="shared" si="88"/>
        <v>686</v>
      </c>
      <c r="K214" s="662">
        <f t="shared" si="88"/>
        <v>0</v>
      </c>
      <c r="L214" s="662">
        <f t="shared" si="88"/>
        <v>668</v>
      </c>
      <c r="M214" s="662">
        <f t="shared" si="88"/>
        <v>30091</v>
      </c>
      <c r="N214" s="662">
        <f t="shared" si="88"/>
        <v>0</v>
      </c>
      <c r="O214" s="662">
        <f t="shared" si="88"/>
        <v>0</v>
      </c>
      <c r="P214" s="662">
        <f t="shared" si="88"/>
        <v>28398</v>
      </c>
      <c r="Q214" s="802">
        <f t="shared" si="88"/>
        <v>6</v>
      </c>
      <c r="R214" s="662">
        <f t="shared" si="88"/>
        <v>6</v>
      </c>
      <c r="S214" s="662">
        <f t="shared" si="88"/>
        <v>615</v>
      </c>
      <c r="T214" s="662">
        <f t="shared" si="88"/>
        <v>0</v>
      </c>
      <c r="U214" s="662">
        <f t="shared" si="88"/>
        <v>0</v>
      </c>
      <c r="V214" s="662">
        <f t="shared" si="88"/>
        <v>600</v>
      </c>
      <c r="W214" s="802">
        <f t="shared" si="88"/>
        <v>35</v>
      </c>
      <c r="X214" s="662">
        <f t="shared" si="88"/>
        <v>0</v>
      </c>
      <c r="Y214" s="662">
        <f t="shared" si="88"/>
        <v>33</v>
      </c>
      <c r="Z214" s="662">
        <f t="shared" si="88"/>
        <v>2701</v>
      </c>
      <c r="AA214" s="662">
        <f t="shared" si="88"/>
        <v>0</v>
      </c>
      <c r="AB214" s="662">
        <f t="shared" si="88"/>
        <v>0</v>
      </c>
      <c r="AC214" s="662">
        <f t="shared" si="88"/>
        <v>2620</v>
      </c>
      <c r="AD214" s="802">
        <f t="shared" si="88"/>
        <v>419</v>
      </c>
      <c r="AE214" s="662">
        <f t="shared" si="88"/>
        <v>0</v>
      </c>
      <c r="AF214" s="662">
        <f t="shared" si="88"/>
        <v>411</v>
      </c>
      <c r="AG214" s="662">
        <f t="shared" si="88"/>
        <v>12270</v>
      </c>
      <c r="AH214" s="662">
        <f t="shared" si="88"/>
        <v>0</v>
      </c>
      <c r="AI214" s="662">
        <f t="shared" si="88"/>
        <v>0</v>
      </c>
      <c r="AJ214" s="662">
        <f t="shared" si="88"/>
        <v>12270</v>
      </c>
      <c r="AK214" s="802">
        <f t="shared" si="88"/>
        <v>373</v>
      </c>
      <c r="AL214" s="662">
        <f t="shared" si="88"/>
        <v>373</v>
      </c>
      <c r="AM214" s="662">
        <f t="shared" si="88"/>
        <v>23333</v>
      </c>
      <c r="AN214" s="662">
        <f t="shared" si="88"/>
        <v>0</v>
      </c>
      <c r="AO214" s="662">
        <f t="shared" si="88"/>
        <v>0</v>
      </c>
      <c r="AP214" s="662">
        <f t="shared" si="88"/>
        <v>23333</v>
      </c>
      <c r="AQ214" s="802">
        <f t="shared" si="88"/>
        <v>209</v>
      </c>
      <c r="AR214" s="662">
        <f t="shared" si="88"/>
        <v>0</v>
      </c>
      <c r="AS214" s="662">
        <f t="shared" si="88"/>
        <v>209</v>
      </c>
      <c r="AT214" s="662">
        <f t="shared" si="88"/>
        <v>25410</v>
      </c>
      <c r="AU214" s="662">
        <f t="shared" si="88"/>
        <v>0</v>
      </c>
      <c r="AV214" s="662">
        <f t="shared" si="88"/>
        <v>0</v>
      </c>
      <c r="AW214" s="662">
        <f t="shared" si="88"/>
        <v>23233</v>
      </c>
      <c r="AX214" s="662">
        <f t="shared" si="88"/>
        <v>0</v>
      </c>
      <c r="AY214" s="662">
        <f t="shared" si="88"/>
        <v>0</v>
      </c>
      <c r="AZ214" s="662">
        <f t="shared" si="88"/>
        <v>0</v>
      </c>
      <c r="BA214" s="662">
        <f t="shared" si="88"/>
        <v>0</v>
      </c>
      <c r="BB214" s="662">
        <f t="shared" si="88"/>
        <v>0</v>
      </c>
      <c r="BC214" s="662">
        <f t="shared" si="88"/>
        <v>0</v>
      </c>
      <c r="BD214" s="662">
        <f t="shared" si="88"/>
        <v>0</v>
      </c>
      <c r="BE214" s="802">
        <f t="shared" si="88"/>
        <v>0</v>
      </c>
      <c r="BF214" s="662">
        <f t="shared" si="88"/>
        <v>0</v>
      </c>
      <c r="BG214" s="662">
        <f t="shared" si="88"/>
        <v>0</v>
      </c>
      <c r="BH214" s="662">
        <f t="shared" si="88"/>
        <v>0</v>
      </c>
      <c r="BI214" s="662">
        <f t="shared" si="88"/>
        <v>0</v>
      </c>
      <c r="BJ214" s="662">
        <f t="shared" si="88"/>
        <v>0</v>
      </c>
      <c r="BK214" s="662">
        <f t="shared" si="88"/>
        <v>0</v>
      </c>
      <c r="BL214" s="662">
        <f t="shared" si="88"/>
        <v>58</v>
      </c>
      <c r="BM214" s="662">
        <f t="shared" si="88"/>
        <v>0</v>
      </c>
      <c r="BN214" s="662">
        <f t="shared" si="88"/>
        <v>58</v>
      </c>
      <c r="BO214" s="662">
        <f t="shared" ref="BO214:DZ214" si="89">BO215+BO216+BO217+BO220+BO221+BO222</f>
        <v>2001</v>
      </c>
      <c r="BP214" s="662">
        <f t="shared" si="89"/>
        <v>0</v>
      </c>
      <c r="BQ214" s="662">
        <f t="shared" si="89"/>
        <v>0</v>
      </c>
      <c r="BR214" s="662">
        <f t="shared" si="89"/>
        <v>1981</v>
      </c>
      <c r="BS214" s="662">
        <f t="shared" si="89"/>
        <v>0</v>
      </c>
      <c r="BT214" s="662">
        <f t="shared" si="89"/>
        <v>0</v>
      </c>
      <c r="BU214" s="662">
        <f t="shared" si="89"/>
        <v>0</v>
      </c>
      <c r="BV214" s="662">
        <f t="shared" si="89"/>
        <v>0</v>
      </c>
      <c r="BW214" s="662">
        <f t="shared" si="89"/>
        <v>0</v>
      </c>
      <c r="BX214" s="662">
        <f t="shared" si="89"/>
        <v>0</v>
      </c>
      <c r="BY214" s="662">
        <f t="shared" si="89"/>
        <v>0</v>
      </c>
      <c r="BZ214" s="662">
        <f t="shared" si="89"/>
        <v>36</v>
      </c>
      <c r="CA214" s="662">
        <f t="shared" si="89"/>
        <v>0</v>
      </c>
      <c r="CB214" s="662">
        <f t="shared" si="89"/>
        <v>33</v>
      </c>
      <c r="CC214" s="662">
        <f t="shared" si="89"/>
        <v>2060</v>
      </c>
      <c r="CD214" s="662">
        <f t="shared" si="89"/>
        <v>0</v>
      </c>
      <c r="CE214" s="662">
        <f t="shared" si="89"/>
        <v>0</v>
      </c>
      <c r="CF214" s="662">
        <f t="shared" si="89"/>
        <v>1943</v>
      </c>
      <c r="CG214" s="662">
        <f t="shared" si="89"/>
        <v>41</v>
      </c>
      <c r="CH214" s="662">
        <f t="shared" si="89"/>
        <v>0</v>
      </c>
      <c r="CI214" s="662">
        <f t="shared" si="89"/>
        <v>40</v>
      </c>
      <c r="CJ214" s="662">
        <f t="shared" si="89"/>
        <v>1034</v>
      </c>
      <c r="CK214" s="662">
        <f t="shared" si="89"/>
        <v>0</v>
      </c>
      <c r="CL214" s="662">
        <f t="shared" si="89"/>
        <v>0</v>
      </c>
      <c r="CM214" s="662">
        <f t="shared" si="89"/>
        <v>973</v>
      </c>
      <c r="CN214" s="662">
        <f t="shared" si="89"/>
        <v>12</v>
      </c>
      <c r="CO214" s="662">
        <f t="shared" si="89"/>
        <v>0</v>
      </c>
      <c r="CP214" s="662">
        <f t="shared" si="89"/>
        <v>12</v>
      </c>
      <c r="CQ214" s="662">
        <f t="shared" si="89"/>
        <v>72</v>
      </c>
      <c r="CR214" s="662">
        <f t="shared" si="89"/>
        <v>0</v>
      </c>
      <c r="CS214" s="662">
        <f t="shared" si="89"/>
        <v>0</v>
      </c>
      <c r="CT214" s="662">
        <f t="shared" si="89"/>
        <v>63</v>
      </c>
      <c r="CU214" s="662">
        <f t="shared" si="89"/>
        <v>0</v>
      </c>
      <c r="CV214" s="662">
        <f t="shared" si="89"/>
        <v>0</v>
      </c>
      <c r="CW214" s="662">
        <f t="shared" si="89"/>
        <v>0</v>
      </c>
      <c r="CX214" s="662">
        <f t="shared" si="89"/>
        <v>0</v>
      </c>
      <c r="CY214" s="662">
        <f t="shared" si="89"/>
        <v>0</v>
      </c>
      <c r="CZ214" s="662">
        <f t="shared" si="89"/>
        <v>0</v>
      </c>
      <c r="DA214" s="662">
        <f t="shared" si="89"/>
        <v>0</v>
      </c>
      <c r="DB214" s="662">
        <f t="shared" si="89"/>
        <v>0</v>
      </c>
      <c r="DC214" s="662">
        <f t="shared" si="89"/>
        <v>0</v>
      </c>
      <c r="DD214" s="662">
        <f t="shared" si="89"/>
        <v>0</v>
      </c>
      <c r="DE214" s="662">
        <f t="shared" si="89"/>
        <v>0</v>
      </c>
      <c r="DF214" s="662">
        <f t="shared" si="89"/>
        <v>0</v>
      </c>
      <c r="DG214" s="662">
        <f t="shared" si="89"/>
        <v>0</v>
      </c>
      <c r="DH214" s="662">
        <f t="shared" si="89"/>
        <v>0</v>
      </c>
      <c r="DI214" s="662">
        <f t="shared" si="89"/>
        <v>1</v>
      </c>
      <c r="DJ214" s="662">
        <f t="shared" si="89"/>
        <v>0</v>
      </c>
      <c r="DK214" s="662">
        <f t="shared" si="89"/>
        <v>1</v>
      </c>
      <c r="DL214" s="662">
        <f t="shared" si="89"/>
        <v>38</v>
      </c>
      <c r="DM214" s="662">
        <f t="shared" si="89"/>
        <v>0</v>
      </c>
      <c r="DN214" s="662">
        <f t="shared" si="89"/>
        <v>0</v>
      </c>
      <c r="DO214" s="662">
        <f t="shared" si="89"/>
        <v>37</v>
      </c>
      <c r="DP214" s="662">
        <f t="shared" si="89"/>
        <v>3</v>
      </c>
      <c r="DQ214" s="662">
        <f t="shared" si="89"/>
        <v>0</v>
      </c>
      <c r="DR214" s="662">
        <f t="shared" si="89"/>
        <v>3</v>
      </c>
      <c r="DS214" s="662">
        <f t="shared" si="89"/>
        <v>66</v>
      </c>
      <c r="DT214" s="662">
        <f t="shared" si="89"/>
        <v>0</v>
      </c>
      <c r="DU214" s="662">
        <f t="shared" si="89"/>
        <v>0</v>
      </c>
      <c r="DV214" s="662">
        <f t="shared" si="89"/>
        <v>63</v>
      </c>
      <c r="DW214" s="662">
        <f t="shared" si="89"/>
        <v>7</v>
      </c>
      <c r="DX214" s="662">
        <f t="shared" si="89"/>
        <v>0</v>
      </c>
      <c r="DY214" s="662">
        <f t="shared" si="89"/>
        <v>7</v>
      </c>
      <c r="DZ214" s="662">
        <f t="shared" si="89"/>
        <v>655</v>
      </c>
      <c r="EA214" s="662">
        <f t="shared" ref="EA214:EQ214" si="90">EA215+EA216+EA217+EA220+EA221+EA222</f>
        <v>0</v>
      </c>
      <c r="EB214" s="662">
        <f t="shared" si="90"/>
        <v>0</v>
      </c>
      <c r="EC214" s="662">
        <f t="shared" si="90"/>
        <v>610</v>
      </c>
      <c r="ED214" s="662">
        <f t="shared" si="90"/>
        <v>6</v>
      </c>
      <c r="EE214" s="662">
        <f t="shared" si="90"/>
        <v>0</v>
      </c>
      <c r="EF214" s="662">
        <f t="shared" si="90"/>
        <v>5</v>
      </c>
      <c r="EG214" s="662">
        <f t="shared" si="90"/>
        <v>670</v>
      </c>
      <c r="EH214" s="662">
        <f t="shared" si="90"/>
        <v>0</v>
      </c>
      <c r="EI214" s="662">
        <f t="shared" si="90"/>
        <v>0</v>
      </c>
      <c r="EJ214" s="662">
        <f t="shared" si="90"/>
        <v>670</v>
      </c>
      <c r="EK214" s="662">
        <f t="shared" si="90"/>
        <v>0</v>
      </c>
      <c r="EL214" s="662">
        <f t="shared" si="90"/>
        <v>0</v>
      </c>
      <c r="EM214" s="662">
        <f t="shared" si="90"/>
        <v>0</v>
      </c>
      <c r="EN214" s="662">
        <f t="shared" si="90"/>
        <v>0</v>
      </c>
      <c r="EO214" s="662">
        <f t="shared" si="90"/>
        <v>0</v>
      </c>
      <c r="EP214" s="662">
        <f t="shared" si="90"/>
        <v>0</v>
      </c>
      <c r="EQ214" s="662">
        <f t="shared" si="90"/>
        <v>0</v>
      </c>
    </row>
    <row r="215" spans="1:147" ht="13.95" customHeight="1" x14ac:dyDescent="0.3">
      <c r="A215" s="660" t="s">
        <v>1871</v>
      </c>
      <c r="B215" s="661" t="s">
        <v>269</v>
      </c>
      <c r="C215" s="662">
        <v>153</v>
      </c>
      <c r="D215" s="662">
        <v>0</v>
      </c>
      <c r="E215" s="662">
        <v>153</v>
      </c>
      <c r="F215" s="662">
        <v>7590</v>
      </c>
      <c r="G215" s="662">
        <v>0</v>
      </c>
      <c r="H215" s="662">
        <v>0</v>
      </c>
      <c r="I215" s="662">
        <v>7432</v>
      </c>
      <c r="J215" s="802">
        <v>10</v>
      </c>
      <c r="K215" s="662">
        <v>0</v>
      </c>
      <c r="L215" s="662">
        <v>10</v>
      </c>
      <c r="M215" s="662">
        <v>840</v>
      </c>
      <c r="N215" s="662">
        <v>0</v>
      </c>
      <c r="O215" s="662">
        <v>0</v>
      </c>
      <c r="P215" s="662">
        <v>800</v>
      </c>
      <c r="Q215" s="802">
        <v>0</v>
      </c>
      <c r="R215" s="662">
        <v>0</v>
      </c>
      <c r="S215" s="662">
        <v>0</v>
      </c>
      <c r="T215" s="662">
        <v>0</v>
      </c>
      <c r="U215" s="662">
        <v>0</v>
      </c>
      <c r="V215" s="662">
        <v>0</v>
      </c>
      <c r="W215" s="802">
        <v>3</v>
      </c>
      <c r="X215" s="662">
        <v>0</v>
      </c>
      <c r="Y215" s="662">
        <v>3</v>
      </c>
      <c r="Z215" s="662">
        <v>94</v>
      </c>
      <c r="AA215" s="662">
        <v>0</v>
      </c>
      <c r="AB215" s="662">
        <v>0</v>
      </c>
      <c r="AC215" s="662">
        <v>91</v>
      </c>
      <c r="AD215" s="802">
        <v>43</v>
      </c>
      <c r="AE215" s="662">
        <v>0</v>
      </c>
      <c r="AF215" s="662">
        <v>43</v>
      </c>
      <c r="AG215" s="662">
        <v>1090</v>
      </c>
      <c r="AH215" s="662">
        <v>0</v>
      </c>
      <c r="AI215" s="662">
        <v>0</v>
      </c>
      <c r="AJ215" s="662">
        <v>1090</v>
      </c>
      <c r="AK215" s="802">
        <v>67</v>
      </c>
      <c r="AL215" s="662">
        <v>67</v>
      </c>
      <c r="AM215" s="662">
        <v>3932</v>
      </c>
      <c r="AN215" s="662">
        <v>0</v>
      </c>
      <c r="AO215" s="662">
        <v>0</v>
      </c>
      <c r="AP215" s="662">
        <v>3932</v>
      </c>
      <c r="AQ215" s="802">
        <v>8</v>
      </c>
      <c r="AR215" s="662">
        <v>0</v>
      </c>
      <c r="AS215" s="662">
        <v>8</v>
      </c>
      <c r="AT215" s="662">
        <v>685</v>
      </c>
      <c r="AU215" s="662">
        <v>0</v>
      </c>
      <c r="AV215" s="662">
        <v>0</v>
      </c>
      <c r="AW215" s="662">
        <v>620</v>
      </c>
      <c r="AX215" s="662">
        <v>0</v>
      </c>
      <c r="AY215" s="662">
        <v>0</v>
      </c>
      <c r="AZ215" s="662">
        <v>0</v>
      </c>
      <c r="BA215" s="662">
        <v>0</v>
      </c>
      <c r="BB215" s="662">
        <v>0</v>
      </c>
      <c r="BC215" s="662">
        <v>0</v>
      </c>
      <c r="BD215" s="662">
        <v>0</v>
      </c>
      <c r="BE215" s="802">
        <v>0</v>
      </c>
      <c r="BF215" s="662">
        <v>0</v>
      </c>
      <c r="BG215" s="662">
        <v>0</v>
      </c>
      <c r="BH215" s="662">
        <v>0</v>
      </c>
      <c r="BI215" s="662">
        <v>0</v>
      </c>
      <c r="BJ215" s="662">
        <v>0</v>
      </c>
      <c r="BK215" s="662">
        <v>0</v>
      </c>
      <c r="BL215" s="662">
        <v>3</v>
      </c>
      <c r="BM215" s="662">
        <v>0</v>
      </c>
      <c r="BN215" s="662">
        <v>3</v>
      </c>
      <c r="BO215" s="662">
        <v>183</v>
      </c>
      <c r="BP215" s="662">
        <v>0</v>
      </c>
      <c r="BQ215" s="662">
        <v>0</v>
      </c>
      <c r="BR215" s="662">
        <v>180</v>
      </c>
      <c r="BS215" s="662">
        <v>0</v>
      </c>
      <c r="BT215" s="662">
        <v>0</v>
      </c>
      <c r="BU215" s="662">
        <v>0</v>
      </c>
      <c r="BV215" s="662">
        <v>0</v>
      </c>
      <c r="BW215" s="662">
        <v>0</v>
      </c>
      <c r="BX215" s="662">
        <v>0</v>
      </c>
      <c r="BY215" s="662">
        <v>0</v>
      </c>
      <c r="BZ215" s="662">
        <v>5</v>
      </c>
      <c r="CA215" s="662">
        <v>0</v>
      </c>
      <c r="CB215" s="662">
        <v>5</v>
      </c>
      <c r="CC215" s="662">
        <v>324</v>
      </c>
      <c r="CD215" s="662">
        <v>0</v>
      </c>
      <c r="CE215" s="662">
        <v>0</v>
      </c>
      <c r="CF215" s="662">
        <v>300</v>
      </c>
      <c r="CG215" s="662">
        <v>10</v>
      </c>
      <c r="CH215" s="662">
        <v>0</v>
      </c>
      <c r="CI215" s="662">
        <v>10</v>
      </c>
      <c r="CJ215" s="662">
        <v>272</v>
      </c>
      <c r="CK215" s="662">
        <v>0</v>
      </c>
      <c r="CL215" s="662">
        <v>0</v>
      </c>
      <c r="CM215" s="662">
        <v>260</v>
      </c>
      <c r="CN215" s="662">
        <v>2</v>
      </c>
      <c r="CO215" s="662">
        <v>0</v>
      </c>
      <c r="CP215" s="662">
        <v>2</v>
      </c>
      <c r="CQ215" s="662">
        <v>10</v>
      </c>
      <c r="CR215" s="662">
        <v>0</v>
      </c>
      <c r="CS215" s="662">
        <v>0</v>
      </c>
      <c r="CT215" s="662">
        <v>9</v>
      </c>
      <c r="CU215" s="662">
        <v>0</v>
      </c>
      <c r="CV215" s="662">
        <v>0</v>
      </c>
      <c r="CW215" s="662">
        <v>0</v>
      </c>
      <c r="CX215" s="662">
        <v>0</v>
      </c>
      <c r="CY215" s="662">
        <v>0</v>
      </c>
      <c r="CZ215" s="662">
        <v>0</v>
      </c>
      <c r="DA215" s="662">
        <v>0</v>
      </c>
      <c r="DB215" s="662">
        <v>0</v>
      </c>
      <c r="DC215" s="662">
        <v>0</v>
      </c>
      <c r="DD215" s="662">
        <v>0</v>
      </c>
      <c r="DE215" s="662">
        <v>0</v>
      </c>
      <c r="DF215" s="662">
        <v>0</v>
      </c>
      <c r="DG215" s="662">
        <v>0</v>
      </c>
      <c r="DH215" s="662">
        <v>0</v>
      </c>
      <c r="DI215" s="662">
        <v>0</v>
      </c>
      <c r="DJ215" s="662">
        <v>0</v>
      </c>
      <c r="DK215" s="662">
        <v>0</v>
      </c>
      <c r="DL215" s="662">
        <v>0</v>
      </c>
      <c r="DM215" s="662">
        <v>0</v>
      </c>
      <c r="DN215" s="662">
        <v>0</v>
      </c>
      <c r="DO215" s="662">
        <v>0</v>
      </c>
      <c r="DP215" s="662">
        <v>0</v>
      </c>
      <c r="DQ215" s="662">
        <v>0</v>
      </c>
      <c r="DR215" s="662">
        <v>0</v>
      </c>
      <c r="DS215" s="662">
        <v>0</v>
      </c>
      <c r="DT215" s="662">
        <v>0</v>
      </c>
      <c r="DU215" s="662">
        <v>0</v>
      </c>
      <c r="DV215" s="662">
        <v>0</v>
      </c>
      <c r="DW215" s="662">
        <v>2</v>
      </c>
      <c r="DX215" s="662">
        <v>0</v>
      </c>
      <c r="DY215" s="662">
        <v>2</v>
      </c>
      <c r="DZ215" s="662">
        <v>160</v>
      </c>
      <c r="EA215" s="662">
        <v>0</v>
      </c>
      <c r="EB215" s="662">
        <v>0</v>
      </c>
      <c r="EC215" s="662">
        <v>150</v>
      </c>
      <c r="ED215" s="662">
        <v>0</v>
      </c>
      <c r="EE215" s="662">
        <v>0</v>
      </c>
      <c r="EF215" s="662">
        <v>0</v>
      </c>
      <c r="EG215" s="662">
        <v>0</v>
      </c>
      <c r="EH215" s="662">
        <v>0</v>
      </c>
      <c r="EI215" s="662">
        <v>0</v>
      </c>
      <c r="EJ215" s="662">
        <v>0</v>
      </c>
      <c r="EK215" s="662">
        <v>0</v>
      </c>
      <c r="EL215" s="662">
        <v>0</v>
      </c>
      <c r="EM215" s="662">
        <v>0</v>
      </c>
      <c r="EN215" s="662">
        <v>0</v>
      </c>
      <c r="EO215" s="662">
        <v>0</v>
      </c>
      <c r="EP215" s="662">
        <v>0</v>
      </c>
      <c r="EQ215" s="662">
        <v>0</v>
      </c>
    </row>
    <row r="216" spans="1:147" ht="13.95" customHeight="1" x14ac:dyDescent="0.3">
      <c r="A216" s="660" t="s">
        <v>1872</v>
      </c>
      <c r="B216" s="661" t="s">
        <v>269</v>
      </c>
      <c r="C216" s="662">
        <v>39</v>
      </c>
      <c r="D216" s="662">
        <v>0</v>
      </c>
      <c r="E216" s="662">
        <v>37</v>
      </c>
      <c r="F216" s="662">
        <v>2286</v>
      </c>
      <c r="G216" s="662">
        <v>0</v>
      </c>
      <c r="H216" s="662">
        <v>0</v>
      </c>
      <c r="I216" s="662">
        <v>2149</v>
      </c>
      <c r="J216" s="802">
        <v>6</v>
      </c>
      <c r="K216" s="662">
        <v>0</v>
      </c>
      <c r="L216" s="662">
        <v>6</v>
      </c>
      <c r="M216" s="662">
        <v>475</v>
      </c>
      <c r="N216" s="662">
        <v>0</v>
      </c>
      <c r="O216" s="662">
        <v>0</v>
      </c>
      <c r="P216" s="662">
        <v>450</v>
      </c>
      <c r="Q216" s="802">
        <v>0</v>
      </c>
      <c r="R216" s="662">
        <v>0</v>
      </c>
      <c r="S216" s="662">
        <v>0</v>
      </c>
      <c r="T216" s="662">
        <v>0</v>
      </c>
      <c r="U216" s="662">
        <v>0</v>
      </c>
      <c r="V216" s="662">
        <v>0</v>
      </c>
      <c r="W216" s="802">
        <v>1</v>
      </c>
      <c r="X216" s="662">
        <v>0</v>
      </c>
      <c r="Y216" s="662">
        <v>1</v>
      </c>
      <c r="Z216" s="662">
        <v>80</v>
      </c>
      <c r="AA216" s="662">
        <v>0</v>
      </c>
      <c r="AB216" s="662">
        <v>0</v>
      </c>
      <c r="AC216" s="662">
        <v>75</v>
      </c>
      <c r="AD216" s="802">
        <v>2</v>
      </c>
      <c r="AE216" s="662">
        <v>0</v>
      </c>
      <c r="AF216" s="662">
        <v>2</v>
      </c>
      <c r="AG216" s="662">
        <v>60</v>
      </c>
      <c r="AH216" s="662">
        <v>0</v>
      </c>
      <c r="AI216" s="662">
        <v>0</v>
      </c>
      <c r="AJ216" s="662">
        <v>60</v>
      </c>
      <c r="AK216" s="802">
        <v>3</v>
      </c>
      <c r="AL216" s="662">
        <v>3</v>
      </c>
      <c r="AM216" s="662">
        <v>291</v>
      </c>
      <c r="AN216" s="662">
        <v>0</v>
      </c>
      <c r="AO216" s="662">
        <v>0</v>
      </c>
      <c r="AP216" s="662">
        <v>291</v>
      </c>
      <c r="AQ216" s="802">
        <v>6</v>
      </c>
      <c r="AR216" s="662">
        <v>0</v>
      </c>
      <c r="AS216" s="662">
        <v>6</v>
      </c>
      <c r="AT216" s="662">
        <v>545</v>
      </c>
      <c r="AU216" s="662">
        <v>0</v>
      </c>
      <c r="AV216" s="662">
        <v>0</v>
      </c>
      <c r="AW216" s="662">
        <v>473</v>
      </c>
      <c r="AX216" s="662">
        <v>0</v>
      </c>
      <c r="AY216" s="662">
        <v>0</v>
      </c>
      <c r="AZ216" s="662">
        <v>0</v>
      </c>
      <c r="BA216" s="662">
        <v>0</v>
      </c>
      <c r="BB216" s="662">
        <v>0</v>
      </c>
      <c r="BC216" s="662">
        <v>0</v>
      </c>
      <c r="BD216" s="662">
        <v>0</v>
      </c>
      <c r="BE216" s="802">
        <v>0</v>
      </c>
      <c r="BF216" s="662">
        <v>0</v>
      </c>
      <c r="BG216" s="662">
        <v>0</v>
      </c>
      <c r="BH216" s="662">
        <v>0</v>
      </c>
      <c r="BI216" s="662">
        <v>0</v>
      </c>
      <c r="BJ216" s="662">
        <v>0</v>
      </c>
      <c r="BK216" s="662">
        <v>0</v>
      </c>
      <c r="BL216" s="662">
        <v>4</v>
      </c>
      <c r="BM216" s="662">
        <v>0</v>
      </c>
      <c r="BN216" s="662">
        <v>4</v>
      </c>
      <c r="BO216" s="662">
        <v>188</v>
      </c>
      <c r="BP216" s="662">
        <v>0</v>
      </c>
      <c r="BQ216" s="662">
        <v>0</v>
      </c>
      <c r="BR216" s="662">
        <v>184</v>
      </c>
      <c r="BS216" s="662">
        <v>0</v>
      </c>
      <c r="BT216" s="662">
        <v>0</v>
      </c>
      <c r="BU216" s="662">
        <v>0</v>
      </c>
      <c r="BV216" s="662">
        <v>0</v>
      </c>
      <c r="BW216" s="662">
        <v>0</v>
      </c>
      <c r="BX216" s="662">
        <v>0</v>
      </c>
      <c r="BY216" s="662">
        <v>0</v>
      </c>
      <c r="BZ216" s="662">
        <v>11</v>
      </c>
      <c r="CA216" s="662">
        <v>0</v>
      </c>
      <c r="CB216" s="662">
        <v>9</v>
      </c>
      <c r="CC216" s="662">
        <v>493</v>
      </c>
      <c r="CD216" s="662">
        <v>0</v>
      </c>
      <c r="CE216" s="662">
        <v>0</v>
      </c>
      <c r="CF216" s="662">
        <v>469</v>
      </c>
      <c r="CG216" s="662">
        <v>5</v>
      </c>
      <c r="CH216" s="662">
        <v>0</v>
      </c>
      <c r="CI216" s="662">
        <v>5</v>
      </c>
      <c r="CJ216" s="662">
        <v>149</v>
      </c>
      <c r="CK216" s="662">
        <v>0</v>
      </c>
      <c r="CL216" s="662">
        <v>0</v>
      </c>
      <c r="CM216" s="662">
        <v>143</v>
      </c>
      <c r="CN216" s="662">
        <v>1</v>
      </c>
      <c r="CO216" s="662">
        <v>0</v>
      </c>
      <c r="CP216" s="662">
        <v>1</v>
      </c>
      <c r="CQ216" s="662">
        <v>5</v>
      </c>
      <c r="CR216" s="662">
        <v>0</v>
      </c>
      <c r="CS216" s="662">
        <v>0</v>
      </c>
      <c r="CT216" s="662">
        <v>4</v>
      </c>
      <c r="CU216" s="662">
        <v>0</v>
      </c>
      <c r="CV216" s="662">
        <v>0</v>
      </c>
      <c r="CW216" s="662">
        <v>0</v>
      </c>
      <c r="CX216" s="662">
        <v>0</v>
      </c>
      <c r="CY216" s="662">
        <v>0</v>
      </c>
      <c r="CZ216" s="662">
        <v>0</v>
      </c>
      <c r="DA216" s="662">
        <v>0</v>
      </c>
      <c r="DB216" s="662">
        <v>0</v>
      </c>
      <c r="DC216" s="662">
        <v>0</v>
      </c>
      <c r="DD216" s="662">
        <v>0</v>
      </c>
      <c r="DE216" s="662">
        <v>0</v>
      </c>
      <c r="DF216" s="662">
        <v>0</v>
      </c>
      <c r="DG216" s="662">
        <v>0</v>
      </c>
      <c r="DH216" s="662">
        <v>0</v>
      </c>
      <c r="DI216" s="662">
        <v>0</v>
      </c>
      <c r="DJ216" s="662">
        <v>0</v>
      </c>
      <c r="DK216" s="662">
        <v>0</v>
      </c>
      <c r="DL216" s="662">
        <v>0</v>
      </c>
      <c r="DM216" s="662">
        <v>0</v>
      </c>
      <c r="DN216" s="662">
        <v>0</v>
      </c>
      <c r="DO216" s="662">
        <v>0</v>
      </c>
      <c r="DP216" s="662">
        <v>0</v>
      </c>
      <c r="DQ216" s="662">
        <v>0</v>
      </c>
      <c r="DR216" s="662">
        <v>0</v>
      </c>
      <c r="DS216" s="662">
        <v>0</v>
      </c>
      <c r="DT216" s="662">
        <v>0</v>
      </c>
      <c r="DU216" s="662">
        <v>0</v>
      </c>
      <c r="DV216" s="662">
        <v>0</v>
      </c>
      <c r="DW216" s="662">
        <v>0</v>
      </c>
      <c r="DX216" s="662">
        <v>0</v>
      </c>
      <c r="DY216" s="662">
        <v>0</v>
      </c>
      <c r="DZ216" s="662">
        <v>0</v>
      </c>
      <c r="EA216" s="662">
        <v>0</v>
      </c>
      <c r="EB216" s="662">
        <v>0</v>
      </c>
      <c r="EC216" s="662">
        <v>0</v>
      </c>
      <c r="ED216" s="662">
        <v>0</v>
      </c>
      <c r="EE216" s="662">
        <v>0</v>
      </c>
      <c r="EF216" s="662">
        <v>0</v>
      </c>
      <c r="EG216" s="662">
        <v>0</v>
      </c>
      <c r="EH216" s="662">
        <v>0</v>
      </c>
      <c r="EI216" s="662">
        <v>0</v>
      </c>
      <c r="EJ216" s="662">
        <v>0</v>
      </c>
      <c r="EK216" s="662">
        <v>0</v>
      </c>
      <c r="EL216" s="662">
        <v>0</v>
      </c>
      <c r="EM216" s="662">
        <v>0</v>
      </c>
      <c r="EN216" s="662">
        <v>0</v>
      </c>
      <c r="EO216" s="662">
        <v>0</v>
      </c>
      <c r="EP216" s="662">
        <v>0</v>
      </c>
      <c r="EQ216" s="662">
        <v>0</v>
      </c>
    </row>
    <row r="217" spans="1:147" ht="13.95" customHeight="1" x14ac:dyDescent="0.3">
      <c r="A217" s="660" t="s">
        <v>1873</v>
      </c>
      <c r="B217" s="661" t="s">
        <v>269</v>
      </c>
      <c r="C217" s="662">
        <v>366</v>
      </c>
      <c r="D217" s="662">
        <v>0</v>
      </c>
      <c r="E217" s="662">
        <v>361</v>
      </c>
      <c r="F217" s="662">
        <v>23873</v>
      </c>
      <c r="G217" s="662">
        <v>0</v>
      </c>
      <c r="H217" s="662">
        <v>0</v>
      </c>
      <c r="I217" s="662">
        <v>22799</v>
      </c>
      <c r="J217" s="802">
        <v>58</v>
      </c>
      <c r="K217" s="662">
        <v>0</v>
      </c>
      <c r="L217" s="662">
        <v>56</v>
      </c>
      <c r="M217" s="662">
        <v>4181</v>
      </c>
      <c r="N217" s="662">
        <v>0</v>
      </c>
      <c r="O217" s="662">
        <v>0</v>
      </c>
      <c r="P217" s="662">
        <v>3935</v>
      </c>
      <c r="Q217" s="802">
        <v>6</v>
      </c>
      <c r="R217" s="662">
        <v>6</v>
      </c>
      <c r="S217" s="662">
        <v>615</v>
      </c>
      <c r="T217" s="662">
        <v>0</v>
      </c>
      <c r="U217" s="662">
        <v>0</v>
      </c>
      <c r="V217" s="662">
        <v>600</v>
      </c>
      <c r="W217" s="802">
        <v>13</v>
      </c>
      <c r="X217" s="662">
        <v>0</v>
      </c>
      <c r="Y217" s="662">
        <v>12</v>
      </c>
      <c r="Z217" s="662">
        <v>1190</v>
      </c>
      <c r="AA217" s="662">
        <v>0</v>
      </c>
      <c r="AB217" s="662">
        <v>0</v>
      </c>
      <c r="AC217" s="662">
        <v>1140</v>
      </c>
      <c r="AD217" s="802">
        <v>109</v>
      </c>
      <c r="AE217" s="662">
        <v>0</v>
      </c>
      <c r="AF217" s="662">
        <v>108</v>
      </c>
      <c r="AG217" s="662">
        <v>3317</v>
      </c>
      <c r="AH217" s="662">
        <v>0</v>
      </c>
      <c r="AI217" s="662">
        <v>0</v>
      </c>
      <c r="AJ217" s="662">
        <v>3317</v>
      </c>
      <c r="AK217" s="802">
        <v>98</v>
      </c>
      <c r="AL217" s="662">
        <v>98</v>
      </c>
      <c r="AM217" s="662">
        <v>6325</v>
      </c>
      <c r="AN217" s="662">
        <v>0</v>
      </c>
      <c r="AO217" s="662">
        <v>0</v>
      </c>
      <c r="AP217" s="662">
        <v>6325</v>
      </c>
      <c r="AQ217" s="802">
        <v>34</v>
      </c>
      <c r="AR217" s="662">
        <v>0</v>
      </c>
      <c r="AS217" s="662">
        <v>34</v>
      </c>
      <c r="AT217" s="662">
        <v>6625</v>
      </c>
      <c r="AU217" s="662">
        <v>0</v>
      </c>
      <c r="AV217" s="662">
        <v>0</v>
      </c>
      <c r="AW217" s="662">
        <v>5960</v>
      </c>
      <c r="AX217" s="662">
        <v>0</v>
      </c>
      <c r="AY217" s="662">
        <v>0</v>
      </c>
      <c r="AZ217" s="662">
        <v>0</v>
      </c>
      <c r="BA217" s="662">
        <v>0</v>
      </c>
      <c r="BB217" s="662">
        <v>0</v>
      </c>
      <c r="BC217" s="662">
        <v>0</v>
      </c>
      <c r="BD217" s="662">
        <v>0</v>
      </c>
      <c r="BE217" s="802">
        <v>0</v>
      </c>
      <c r="BF217" s="662">
        <v>0</v>
      </c>
      <c r="BG217" s="662">
        <v>0</v>
      </c>
      <c r="BH217" s="662">
        <v>0</v>
      </c>
      <c r="BI217" s="662">
        <v>0</v>
      </c>
      <c r="BJ217" s="662">
        <v>0</v>
      </c>
      <c r="BK217" s="662">
        <v>0</v>
      </c>
      <c r="BL217" s="662">
        <v>12</v>
      </c>
      <c r="BM217" s="662">
        <v>0</v>
      </c>
      <c r="BN217" s="662">
        <v>12</v>
      </c>
      <c r="BO217" s="662">
        <v>509</v>
      </c>
      <c r="BP217" s="662">
        <v>0</v>
      </c>
      <c r="BQ217" s="662">
        <v>0</v>
      </c>
      <c r="BR217" s="662">
        <v>497</v>
      </c>
      <c r="BS217" s="662">
        <v>0</v>
      </c>
      <c r="BT217" s="662">
        <v>0</v>
      </c>
      <c r="BU217" s="662">
        <v>0</v>
      </c>
      <c r="BV217" s="662">
        <v>0</v>
      </c>
      <c r="BW217" s="662">
        <v>0</v>
      </c>
      <c r="BX217" s="662">
        <v>0</v>
      </c>
      <c r="BY217" s="662">
        <v>0</v>
      </c>
      <c r="BZ217" s="662">
        <v>8</v>
      </c>
      <c r="CA217" s="662">
        <v>0</v>
      </c>
      <c r="CB217" s="662">
        <v>7</v>
      </c>
      <c r="CC217" s="662">
        <v>322</v>
      </c>
      <c r="CD217" s="662">
        <v>0</v>
      </c>
      <c r="CE217" s="662">
        <v>0</v>
      </c>
      <c r="CF217" s="662">
        <v>291</v>
      </c>
      <c r="CG217" s="662">
        <v>19</v>
      </c>
      <c r="CH217" s="662">
        <v>0</v>
      </c>
      <c r="CI217" s="662">
        <v>19</v>
      </c>
      <c r="CJ217" s="662">
        <v>445</v>
      </c>
      <c r="CK217" s="662">
        <v>0</v>
      </c>
      <c r="CL217" s="662">
        <v>0</v>
      </c>
      <c r="CM217" s="662">
        <v>413</v>
      </c>
      <c r="CN217" s="662">
        <v>5</v>
      </c>
      <c r="CO217" s="662">
        <v>0</v>
      </c>
      <c r="CP217" s="662">
        <v>5</v>
      </c>
      <c r="CQ217" s="662">
        <v>35</v>
      </c>
      <c r="CR217" s="662">
        <v>0</v>
      </c>
      <c r="CS217" s="662">
        <v>0</v>
      </c>
      <c r="CT217" s="662">
        <v>30</v>
      </c>
      <c r="CU217" s="662">
        <v>0</v>
      </c>
      <c r="CV217" s="662">
        <v>0</v>
      </c>
      <c r="CW217" s="662">
        <v>0</v>
      </c>
      <c r="CX217" s="662">
        <v>0</v>
      </c>
      <c r="CY217" s="662">
        <v>0</v>
      </c>
      <c r="CZ217" s="662">
        <v>0</v>
      </c>
      <c r="DA217" s="662">
        <v>0</v>
      </c>
      <c r="DB217" s="662">
        <v>0</v>
      </c>
      <c r="DC217" s="662">
        <v>0</v>
      </c>
      <c r="DD217" s="662">
        <v>0</v>
      </c>
      <c r="DE217" s="662">
        <v>0</v>
      </c>
      <c r="DF217" s="662">
        <v>0</v>
      </c>
      <c r="DG217" s="662">
        <v>0</v>
      </c>
      <c r="DH217" s="662">
        <v>0</v>
      </c>
      <c r="DI217" s="662">
        <v>1</v>
      </c>
      <c r="DJ217" s="662">
        <v>0</v>
      </c>
      <c r="DK217" s="662">
        <v>1</v>
      </c>
      <c r="DL217" s="662">
        <v>38</v>
      </c>
      <c r="DM217" s="662">
        <v>0</v>
      </c>
      <c r="DN217" s="662">
        <v>0</v>
      </c>
      <c r="DO217" s="662">
        <v>37</v>
      </c>
      <c r="DP217" s="662">
        <v>1</v>
      </c>
      <c r="DQ217" s="662">
        <v>0</v>
      </c>
      <c r="DR217" s="662">
        <v>1</v>
      </c>
      <c r="DS217" s="662">
        <v>26</v>
      </c>
      <c r="DT217" s="662">
        <v>0</v>
      </c>
      <c r="DU217" s="662">
        <v>0</v>
      </c>
      <c r="DV217" s="662">
        <v>24</v>
      </c>
      <c r="DW217" s="662">
        <v>2</v>
      </c>
      <c r="DX217" s="662">
        <v>0</v>
      </c>
      <c r="DY217" s="662">
        <v>2</v>
      </c>
      <c r="DZ217" s="662">
        <v>245</v>
      </c>
      <c r="EA217" s="662">
        <v>0</v>
      </c>
      <c r="EB217" s="662">
        <v>0</v>
      </c>
      <c r="EC217" s="662">
        <v>230</v>
      </c>
      <c r="ED217" s="662">
        <v>0</v>
      </c>
      <c r="EE217" s="662">
        <v>0</v>
      </c>
      <c r="EF217" s="662">
        <v>0</v>
      </c>
      <c r="EG217" s="662">
        <v>0</v>
      </c>
      <c r="EH217" s="662">
        <v>0</v>
      </c>
      <c r="EI217" s="662">
        <v>0</v>
      </c>
      <c r="EJ217" s="662">
        <v>0</v>
      </c>
      <c r="EK217" s="662">
        <v>0</v>
      </c>
      <c r="EL217" s="662">
        <v>0</v>
      </c>
      <c r="EM217" s="662">
        <v>0</v>
      </c>
      <c r="EN217" s="662">
        <v>0</v>
      </c>
      <c r="EO217" s="662">
        <v>0</v>
      </c>
      <c r="EP217" s="662">
        <v>0</v>
      </c>
      <c r="EQ217" s="662">
        <v>0</v>
      </c>
    </row>
    <row r="218" spans="1:147" ht="13.95" customHeight="1" x14ac:dyDescent="0.3">
      <c r="A218" s="660" t="s">
        <v>1874</v>
      </c>
      <c r="B218" s="661" t="s">
        <v>269</v>
      </c>
      <c r="C218" s="662">
        <v>0</v>
      </c>
      <c r="D218" s="662">
        <v>0</v>
      </c>
      <c r="E218" s="662">
        <v>0</v>
      </c>
      <c r="F218" s="662">
        <v>0</v>
      </c>
      <c r="G218" s="662">
        <v>0</v>
      </c>
      <c r="H218" s="662">
        <v>0</v>
      </c>
      <c r="I218" s="662">
        <v>0</v>
      </c>
      <c r="J218" s="802">
        <v>0</v>
      </c>
      <c r="K218" s="662">
        <v>0</v>
      </c>
      <c r="L218" s="662">
        <v>0</v>
      </c>
      <c r="M218" s="662">
        <v>0</v>
      </c>
      <c r="N218" s="662">
        <v>0</v>
      </c>
      <c r="O218" s="662">
        <v>0</v>
      </c>
      <c r="P218" s="662">
        <v>0</v>
      </c>
      <c r="Q218" s="802">
        <v>0</v>
      </c>
      <c r="R218" s="662">
        <v>0</v>
      </c>
      <c r="S218" s="662">
        <v>0</v>
      </c>
      <c r="T218" s="662">
        <v>0</v>
      </c>
      <c r="U218" s="662">
        <v>0</v>
      </c>
      <c r="V218" s="662">
        <v>0</v>
      </c>
      <c r="W218" s="802">
        <v>0</v>
      </c>
      <c r="X218" s="662">
        <v>0</v>
      </c>
      <c r="Y218" s="662">
        <v>0</v>
      </c>
      <c r="Z218" s="662">
        <v>0</v>
      </c>
      <c r="AA218" s="662">
        <v>0</v>
      </c>
      <c r="AB218" s="662">
        <v>0</v>
      </c>
      <c r="AC218" s="662">
        <v>0</v>
      </c>
      <c r="AD218" s="802">
        <v>0</v>
      </c>
      <c r="AE218" s="662">
        <v>0</v>
      </c>
      <c r="AF218" s="662">
        <v>0</v>
      </c>
      <c r="AG218" s="662">
        <v>0</v>
      </c>
      <c r="AH218" s="662">
        <v>0</v>
      </c>
      <c r="AI218" s="662">
        <v>0</v>
      </c>
      <c r="AJ218" s="662">
        <v>0</v>
      </c>
      <c r="AK218" s="802">
        <v>0</v>
      </c>
      <c r="AL218" s="662">
        <v>0</v>
      </c>
      <c r="AM218" s="662">
        <v>0</v>
      </c>
      <c r="AN218" s="662">
        <v>0</v>
      </c>
      <c r="AO218" s="662">
        <v>0</v>
      </c>
      <c r="AP218" s="662">
        <v>0</v>
      </c>
      <c r="AQ218" s="802">
        <v>0</v>
      </c>
      <c r="AR218" s="662">
        <v>0</v>
      </c>
      <c r="AS218" s="662">
        <v>0</v>
      </c>
      <c r="AT218" s="662">
        <v>0</v>
      </c>
      <c r="AU218" s="662">
        <v>0</v>
      </c>
      <c r="AV218" s="662">
        <v>0</v>
      </c>
      <c r="AW218" s="662">
        <v>0</v>
      </c>
      <c r="AX218" s="662">
        <v>0</v>
      </c>
      <c r="AY218" s="662">
        <v>0</v>
      </c>
      <c r="AZ218" s="662">
        <v>0</v>
      </c>
      <c r="BA218" s="662">
        <v>0</v>
      </c>
      <c r="BB218" s="662">
        <v>0</v>
      </c>
      <c r="BC218" s="662">
        <v>0</v>
      </c>
      <c r="BD218" s="662">
        <v>0</v>
      </c>
      <c r="BE218" s="802">
        <v>0</v>
      </c>
      <c r="BF218" s="662">
        <v>0</v>
      </c>
      <c r="BG218" s="662">
        <v>0</v>
      </c>
      <c r="BH218" s="662">
        <v>0</v>
      </c>
      <c r="BI218" s="662">
        <v>0</v>
      </c>
      <c r="BJ218" s="662">
        <v>0</v>
      </c>
      <c r="BK218" s="662">
        <v>0</v>
      </c>
      <c r="BL218" s="662">
        <v>0</v>
      </c>
      <c r="BM218" s="662">
        <v>0</v>
      </c>
      <c r="BN218" s="662">
        <v>0</v>
      </c>
      <c r="BO218" s="662">
        <v>0</v>
      </c>
      <c r="BP218" s="662">
        <v>0</v>
      </c>
      <c r="BQ218" s="662">
        <v>0</v>
      </c>
      <c r="BR218" s="662">
        <v>0</v>
      </c>
      <c r="BS218" s="662">
        <v>0</v>
      </c>
      <c r="BT218" s="662">
        <v>0</v>
      </c>
      <c r="BU218" s="662">
        <v>0</v>
      </c>
      <c r="BV218" s="662">
        <v>0</v>
      </c>
      <c r="BW218" s="662">
        <v>0</v>
      </c>
      <c r="BX218" s="662">
        <v>0</v>
      </c>
      <c r="BY218" s="662">
        <v>0</v>
      </c>
      <c r="BZ218" s="662">
        <v>0</v>
      </c>
      <c r="CA218" s="662">
        <v>0</v>
      </c>
      <c r="CB218" s="662">
        <v>0</v>
      </c>
      <c r="CC218" s="662">
        <v>0</v>
      </c>
      <c r="CD218" s="662">
        <v>0</v>
      </c>
      <c r="CE218" s="662">
        <v>0</v>
      </c>
      <c r="CF218" s="662">
        <v>0</v>
      </c>
      <c r="CG218" s="662">
        <v>0</v>
      </c>
      <c r="CH218" s="662">
        <v>0</v>
      </c>
      <c r="CI218" s="662">
        <v>0</v>
      </c>
      <c r="CJ218" s="662">
        <v>0</v>
      </c>
      <c r="CK218" s="662">
        <v>0</v>
      </c>
      <c r="CL218" s="662">
        <v>0</v>
      </c>
      <c r="CM218" s="662">
        <v>0</v>
      </c>
      <c r="CN218" s="662">
        <v>0</v>
      </c>
      <c r="CO218" s="662">
        <v>0</v>
      </c>
      <c r="CP218" s="662">
        <v>0</v>
      </c>
      <c r="CQ218" s="662">
        <v>0</v>
      </c>
      <c r="CR218" s="662">
        <v>0</v>
      </c>
      <c r="CS218" s="662">
        <v>0</v>
      </c>
      <c r="CT218" s="662">
        <v>0</v>
      </c>
      <c r="CU218" s="662">
        <v>0</v>
      </c>
      <c r="CV218" s="662">
        <v>0</v>
      </c>
      <c r="CW218" s="662">
        <v>0</v>
      </c>
      <c r="CX218" s="662">
        <v>0</v>
      </c>
      <c r="CY218" s="662">
        <v>0</v>
      </c>
      <c r="CZ218" s="662">
        <v>0</v>
      </c>
      <c r="DA218" s="662">
        <v>0</v>
      </c>
      <c r="DB218" s="662">
        <v>0</v>
      </c>
      <c r="DC218" s="662">
        <v>0</v>
      </c>
      <c r="DD218" s="662">
        <v>0</v>
      </c>
      <c r="DE218" s="662">
        <v>0</v>
      </c>
      <c r="DF218" s="662">
        <v>0</v>
      </c>
      <c r="DG218" s="662">
        <v>0</v>
      </c>
      <c r="DH218" s="662">
        <v>0</v>
      </c>
      <c r="DI218" s="662">
        <v>0</v>
      </c>
      <c r="DJ218" s="662">
        <v>0</v>
      </c>
      <c r="DK218" s="662">
        <v>0</v>
      </c>
      <c r="DL218" s="662">
        <v>0</v>
      </c>
      <c r="DM218" s="662">
        <v>0</v>
      </c>
      <c r="DN218" s="662">
        <v>0</v>
      </c>
      <c r="DO218" s="662">
        <v>0</v>
      </c>
      <c r="DP218" s="662">
        <v>0</v>
      </c>
      <c r="DQ218" s="662">
        <v>0</v>
      </c>
      <c r="DR218" s="662">
        <v>0</v>
      </c>
      <c r="DS218" s="662">
        <v>0</v>
      </c>
      <c r="DT218" s="662">
        <v>0</v>
      </c>
      <c r="DU218" s="662">
        <v>0</v>
      </c>
      <c r="DV218" s="662">
        <v>0</v>
      </c>
      <c r="DW218" s="662">
        <v>0</v>
      </c>
      <c r="DX218" s="662">
        <v>0</v>
      </c>
      <c r="DY218" s="662">
        <v>0</v>
      </c>
      <c r="DZ218" s="662">
        <v>0</v>
      </c>
      <c r="EA218" s="662">
        <v>0</v>
      </c>
      <c r="EB218" s="662">
        <v>0</v>
      </c>
      <c r="EC218" s="662">
        <v>0</v>
      </c>
      <c r="ED218" s="662">
        <v>0</v>
      </c>
      <c r="EE218" s="662">
        <v>0</v>
      </c>
      <c r="EF218" s="662">
        <v>0</v>
      </c>
      <c r="EG218" s="662">
        <v>0</v>
      </c>
      <c r="EH218" s="662">
        <v>0</v>
      </c>
      <c r="EI218" s="662">
        <v>0</v>
      </c>
      <c r="EJ218" s="662">
        <v>0</v>
      </c>
      <c r="EK218" s="662">
        <v>0</v>
      </c>
      <c r="EL218" s="662">
        <v>0</v>
      </c>
      <c r="EM218" s="662">
        <v>0</v>
      </c>
      <c r="EN218" s="662">
        <v>0</v>
      </c>
      <c r="EO218" s="662">
        <v>0</v>
      </c>
      <c r="EP218" s="662">
        <v>0</v>
      </c>
      <c r="EQ218" s="662">
        <v>0</v>
      </c>
    </row>
    <row r="219" spans="1:147" ht="13.95" customHeight="1" x14ac:dyDescent="0.3">
      <c r="A219" s="660" t="s">
        <v>1875</v>
      </c>
      <c r="B219" s="661" t="s">
        <v>269</v>
      </c>
      <c r="C219" s="662">
        <v>0</v>
      </c>
      <c r="D219" s="662">
        <v>0</v>
      </c>
      <c r="E219" s="662">
        <v>0</v>
      </c>
      <c r="F219" s="662">
        <v>0</v>
      </c>
      <c r="G219" s="662">
        <v>0</v>
      </c>
      <c r="H219" s="662">
        <v>0</v>
      </c>
      <c r="I219" s="662">
        <v>0</v>
      </c>
      <c r="J219" s="802">
        <v>0</v>
      </c>
      <c r="K219" s="662">
        <v>0</v>
      </c>
      <c r="L219" s="662">
        <v>0</v>
      </c>
      <c r="M219" s="662">
        <v>0</v>
      </c>
      <c r="N219" s="662">
        <v>0</v>
      </c>
      <c r="O219" s="662">
        <v>0</v>
      </c>
      <c r="P219" s="662">
        <v>0</v>
      </c>
      <c r="Q219" s="802">
        <v>0</v>
      </c>
      <c r="R219" s="662">
        <v>0</v>
      </c>
      <c r="S219" s="662">
        <v>0</v>
      </c>
      <c r="T219" s="662">
        <v>0</v>
      </c>
      <c r="U219" s="662">
        <v>0</v>
      </c>
      <c r="V219" s="662">
        <v>0</v>
      </c>
      <c r="W219" s="802">
        <v>0</v>
      </c>
      <c r="X219" s="662">
        <v>0</v>
      </c>
      <c r="Y219" s="662">
        <v>0</v>
      </c>
      <c r="Z219" s="662">
        <v>0</v>
      </c>
      <c r="AA219" s="662">
        <v>0</v>
      </c>
      <c r="AB219" s="662">
        <v>0</v>
      </c>
      <c r="AC219" s="662">
        <v>0</v>
      </c>
      <c r="AD219" s="802">
        <v>0</v>
      </c>
      <c r="AE219" s="662">
        <v>0</v>
      </c>
      <c r="AF219" s="662">
        <v>0</v>
      </c>
      <c r="AG219" s="662">
        <v>0</v>
      </c>
      <c r="AH219" s="662">
        <v>0</v>
      </c>
      <c r="AI219" s="662">
        <v>0</v>
      </c>
      <c r="AJ219" s="662">
        <v>0</v>
      </c>
      <c r="AK219" s="802">
        <v>0</v>
      </c>
      <c r="AL219" s="662">
        <v>0</v>
      </c>
      <c r="AM219" s="662">
        <v>0</v>
      </c>
      <c r="AN219" s="662">
        <v>0</v>
      </c>
      <c r="AO219" s="662">
        <v>0</v>
      </c>
      <c r="AP219" s="662">
        <v>0</v>
      </c>
      <c r="AQ219" s="802">
        <v>0</v>
      </c>
      <c r="AR219" s="662">
        <v>0</v>
      </c>
      <c r="AS219" s="662">
        <v>0</v>
      </c>
      <c r="AT219" s="662">
        <v>0</v>
      </c>
      <c r="AU219" s="662">
        <v>0</v>
      </c>
      <c r="AV219" s="662">
        <v>0</v>
      </c>
      <c r="AW219" s="662">
        <v>0</v>
      </c>
      <c r="AX219" s="662">
        <v>0</v>
      </c>
      <c r="AY219" s="662">
        <v>0</v>
      </c>
      <c r="AZ219" s="662">
        <v>0</v>
      </c>
      <c r="BA219" s="662">
        <v>0</v>
      </c>
      <c r="BB219" s="662">
        <v>0</v>
      </c>
      <c r="BC219" s="662">
        <v>0</v>
      </c>
      <c r="BD219" s="662">
        <v>0</v>
      </c>
      <c r="BE219" s="802">
        <v>0</v>
      </c>
      <c r="BF219" s="662">
        <v>0</v>
      </c>
      <c r="BG219" s="662">
        <v>0</v>
      </c>
      <c r="BH219" s="662">
        <v>0</v>
      </c>
      <c r="BI219" s="662">
        <v>0</v>
      </c>
      <c r="BJ219" s="662">
        <v>0</v>
      </c>
      <c r="BK219" s="662">
        <v>0</v>
      </c>
      <c r="BL219" s="662">
        <v>0</v>
      </c>
      <c r="BM219" s="662">
        <v>0</v>
      </c>
      <c r="BN219" s="662">
        <v>0</v>
      </c>
      <c r="BO219" s="662">
        <v>0</v>
      </c>
      <c r="BP219" s="662">
        <v>0</v>
      </c>
      <c r="BQ219" s="662">
        <v>0</v>
      </c>
      <c r="BR219" s="662">
        <v>0</v>
      </c>
      <c r="BS219" s="662">
        <v>0</v>
      </c>
      <c r="BT219" s="662">
        <v>0</v>
      </c>
      <c r="BU219" s="662">
        <v>0</v>
      </c>
      <c r="BV219" s="662">
        <v>0</v>
      </c>
      <c r="BW219" s="662">
        <v>0</v>
      </c>
      <c r="BX219" s="662">
        <v>0</v>
      </c>
      <c r="BY219" s="662">
        <v>0</v>
      </c>
      <c r="BZ219" s="662">
        <v>0</v>
      </c>
      <c r="CA219" s="662">
        <v>0</v>
      </c>
      <c r="CB219" s="662">
        <v>0</v>
      </c>
      <c r="CC219" s="662">
        <v>0</v>
      </c>
      <c r="CD219" s="662">
        <v>0</v>
      </c>
      <c r="CE219" s="662">
        <v>0</v>
      </c>
      <c r="CF219" s="662">
        <v>0</v>
      </c>
      <c r="CG219" s="662">
        <v>0</v>
      </c>
      <c r="CH219" s="662">
        <v>0</v>
      </c>
      <c r="CI219" s="662">
        <v>0</v>
      </c>
      <c r="CJ219" s="662">
        <v>0</v>
      </c>
      <c r="CK219" s="662">
        <v>0</v>
      </c>
      <c r="CL219" s="662">
        <v>0</v>
      </c>
      <c r="CM219" s="662">
        <v>0</v>
      </c>
      <c r="CN219" s="662">
        <v>0</v>
      </c>
      <c r="CO219" s="662">
        <v>0</v>
      </c>
      <c r="CP219" s="662">
        <v>0</v>
      </c>
      <c r="CQ219" s="662">
        <v>0</v>
      </c>
      <c r="CR219" s="662">
        <v>0</v>
      </c>
      <c r="CS219" s="662">
        <v>0</v>
      </c>
      <c r="CT219" s="662">
        <v>0</v>
      </c>
      <c r="CU219" s="662">
        <v>0</v>
      </c>
      <c r="CV219" s="662">
        <v>0</v>
      </c>
      <c r="CW219" s="662">
        <v>0</v>
      </c>
      <c r="CX219" s="662">
        <v>0</v>
      </c>
      <c r="CY219" s="662">
        <v>0</v>
      </c>
      <c r="CZ219" s="662">
        <v>0</v>
      </c>
      <c r="DA219" s="662">
        <v>0</v>
      </c>
      <c r="DB219" s="662">
        <v>0</v>
      </c>
      <c r="DC219" s="662">
        <v>0</v>
      </c>
      <c r="DD219" s="662">
        <v>0</v>
      </c>
      <c r="DE219" s="662">
        <v>0</v>
      </c>
      <c r="DF219" s="662">
        <v>0</v>
      </c>
      <c r="DG219" s="662">
        <v>0</v>
      </c>
      <c r="DH219" s="662">
        <v>0</v>
      </c>
      <c r="DI219" s="662">
        <v>0</v>
      </c>
      <c r="DJ219" s="662">
        <v>0</v>
      </c>
      <c r="DK219" s="662">
        <v>0</v>
      </c>
      <c r="DL219" s="662">
        <v>0</v>
      </c>
      <c r="DM219" s="662">
        <v>0</v>
      </c>
      <c r="DN219" s="662">
        <v>0</v>
      </c>
      <c r="DO219" s="662">
        <v>0</v>
      </c>
      <c r="DP219" s="662">
        <v>0</v>
      </c>
      <c r="DQ219" s="662">
        <v>0</v>
      </c>
      <c r="DR219" s="662">
        <v>0</v>
      </c>
      <c r="DS219" s="662">
        <v>0</v>
      </c>
      <c r="DT219" s="662">
        <v>0</v>
      </c>
      <c r="DU219" s="662">
        <v>0</v>
      </c>
      <c r="DV219" s="662">
        <v>0</v>
      </c>
      <c r="DW219" s="662">
        <v>0</v>
      </c>
      <c r="DX219" s="662">
        <v>0</v>
      </c>
      <c r="DY219" s="662">
        <v>0</v>
      </c>
      <c r="DZ219" s="662">
        <v>0</v>
      </c>
      <c r="EA219" s="662">
        <v>0</v>
      </c>
      <c r="EB219" s="662">
        <v>0</v>
      </c>
      <c r="EC219" s="662">
        <v>0</v>
      </c>
      <c r="ED219" s="662">
        <v>0</v>
      </c>
      <c r="EE219" s="662">
        <v>0</v>
      </c>
      <c r="EF219" s="662">
        <v>0</v>
      </c>
      <c r="EG219" s="662">
        <v>0</v>
      </c>
      <c r="EH219" s="662">
        <v>0</v>
      </c>
      <c r="EI219" s="662">
        <v>0</v>
      </c>
      <c r="EJ219" s="662">
        <v>0</v>
      </c>
      <c r="EK219" s="662">
        <v>0</v>
      </c>
      <c r="EL219" s="662">
        <v>0</v>
      </c>
      <c r="EM219" s="662">
        <v>0</v>
      </c>
      <c r="EN219" s="662">
        <v>0</v>
      </c>
      <c r="EO219" s="662">
        <v>0</v>
      </c>
      <c r="EP219" s="662">
        <v>0</v>
      </c>
      <c r="EQ219" s="662">
        <v>0</v>
      </c>
    </row>
    <row r="220" spans="1:147" ht="13.95" customHeight="1" x14ac:dyDescent="0.3">
      <c r="A220" s="660" t="s">
        <v>1876</v>
      </c>
      <c r="B220" s="661" t="s">
        <v>269</v>
      </c>
      <c r="C220" s="662">
        <v>1321</v>
      </c>
      <c r="D220" s="662">
        <v>0</v>
      </c>
      <c r="E220" s="662">
        <v>1295</v>
      </c>
      <c r="F220" s="662">
        <v>66697</v>
      </c>
      <c r="G220" s="662">
        <v>0</v>
      </c>
      <c r="H220" s="662">
        <v>0</v>
      </c>
      <c r="I220" s="662">
        <v>63871</v>
      </c>
      <c r="J220" s="802">
        <v>611</v>
      </c>
      <c r="K220" s="662">
        <v>0</v>
      </c>
      <c r="L220" s="662">
        <v>595</v>
      </c>
      <c r="M220" s="662">
        <v>24513</v>
      </c>
      <c r="N220" s="662">
        <v>0</v>
      </c>
      <c r="O220" s="662">
        <v>0</v>
      </c>
      <c r="P220" s="662">
        <v>23133</v>
      </c>
      <c r="Q220" s="802">
        <v>0</v>
      </c>
      <c r="R220" s="662">
        <v>0</v>
      </c>
      <c r="S220" s="662">
        <v>0</v>
      </c>
      <c r="T220" s="662">
        <v>0</v>
      </c>
      <c r="U220" s="662">
        <v>0</v>
      </c>
      <c r="V220" s="662">
        <v>0</v>
      </c>
      <c r="W220" s="802">
        <v>16</v>
      </c>
      <c r="X220" s="662">
        <v>0</v>
      </c>
      <c r="Y220" s="662">
        <v>15</v>
      </c>
      <c r="Z220" s="662">
        <v>1320</v>
      </c>
      <c r="AA220" s="662">
        <v>0</v>
      </c>
      <c r="AB220" s="662">
        <v>0</v>
      </c>
      <c r="AC220" s="662">
        <v>1300</v>
      </c>
      <c r="AD220" s="802">
        <v>263</v>
      </c>
      <c r="AE220" s="662">
        <v>0</v>
      </c>
      <c r="AF220" s="662">
        <v>256</v>
      </c>
      <c r="AG220" s="662">
        <v>7760</v>
      </c>
      <c r="AH220" s="662">
        <v>0</v>
      </c>
      <c r="AI220" s="662">
        <v>0</v>
      </c>
      <c r="AJ220" s="662">
        <v>7760</v>
      </c>
      <c r="AK220" s="802">
        <v>204</v>
      </c>
      <c r="AL220" s="662">
        <v>204</v>
      </c>
      <c r="AM220" s="662">
        <v>12755</v>
      </c>
      <c r="AN220" s="662">
        <v>0</v>
      </c>
      <c r="AO220" s="662">
        <v>0</v>
      </c>
      <c r="AP220" s="662">
        <v>12755</v>
      </c>
      <c r="AQ220" s="802">
        <v>161</v>
      </c>
      <c r="AR220" s="662">
        <v>0</v>
      </c>
      <c r="AS220" s="662">
        <v>161</v>
      </c>
      <c r="AT220" s="662">
        <v>17555</v>
      </c>
      <c r="AU220" s="662">
        <v>0</v>
      </c>
      <c r="AV220" s="662">
        <v>0</v>
      </c>
      <c r="AW220" s="662">
        <v>16180</v>
      </c>
      <c r="AX220" s="662">
        <v>0</v>
      </c>
      <c r="AY220" s="662">
        <v>0</v>
      </c>
      <c r="AZ220" s="662">
        <v>0</v>
      </c>
      <c r="BA220" s="662">
        <v>0</v>
      </c>
      <c r="BB220" s="662">
        <v>0</v>
      </c>
      <c r="BC220" s="662">
        <v>0</v>
      </c>
      <c r="BD220" s="662">
        <v>0</v>
      </c>
      <c r="BE220" s="802">
        <v>0</v>
      </c>
      <c r="BF220" s="662">
        <v>0</v>
      </c>
      <c r="BG220" s="662">
        <v>0</v>
      </c>
      <c r="BH220" s="662">
        <v>0</v>
      </c>
      <c r="BI220" s="662">
        <v>0</v>
      </c>
      <c r="BJ220" s="662">
        <v>0</v>
      </c>
      <c r="BK220" s="662">
        <v>0</v>
      </c>
      <c r="BL220" s="662">
        <v>36</v>
      </c>
      <c r="BM220" s="662">
        <v>0</v>
      </c>
      <c r="BN220" s="662">
        <v>36</v>
      </c>
      <c r="BO220" s="662">
        <v>1020</v>
      </c>
      <c r="BP220" s="662">
        <v>0</v>
      </c>
      <c r="BQ220" s="662">
        <v>0</v>
      </c>
      <c r="BR220" s="662">
        <v>1020</v>
      </c>
      <c r="BS220" s="662">
        <v>0</v>
      </c>
      <c r="BT220" s="662">
        <v>0</v>
      </c>
      <c r="BU220" s="662">
        <v>0</v>
      </c>
      <c r="BV220" s="662">
        <v>0</v>
      </c>
      <c r="BW220" s="662">
        <v>0</v>
      </c>
      <c r="BX220" s="662">
        <v>0</v>
      </c>
      <c r="BY220" s="662">
        <v>0</v>
      </c>
      <c r="BZ220" s="662">
        <v>9</v>
      </c>
      <c r="CA220" s="662">
        <v>0</v>
      </c>
      <c r="CB220" s="662">
        <v>9</v>
      </c>
      <c r="CC220" s="662">
        <v>642</v>
      </c>
      <c r="CD220" s="662">
        <v>0</v>
      </c>
      <c r="CE220" s="662">
        <v>0</v>
      </c>
      <c r="CF220" s="662">
        <v>625</v>
      </c>
      <c r="CG220" s="662">
        <v>6</v>
      </c>
      <c r="CH220" s="662">
        <v>0</v>
      </c>
      <c r="CI220" s="662">
        <v>5</v>
      </c>
      <c r="CJ220" s="662">
        <v>150</v>
      </c>
      <c r="CK220" s="662">
        <v>0</v>
      </c>
      <c r="CL220" s="662">
        <v>0</v>
      </c>
      <c r="CM220" s="662">
        <v>139</v>
      </c>
      <c r="CN220" s="662">
        <v>4</v>
      </c>
      <c r="CO220" s="662">
        <v>0</v>
      </c>
      <c r="CP220" s="662">
        <v>4</v>
      </c>
      <c r="CQ220" s="662">
        <v>22</v>
      </c>
      <c r="CR220" s="662">
        <v>0</v>
      </c>
      <c r="CS220" s="662">
        <v>0</v>
      </c>
      <c r="CT220" s="662">
        <v>20</v>
      </c>
      <c r="CU220" s="662">
        <v>0</v>
      </c>
      <c r="CV220" s="662">
        <v>0</v>
      </c>
      <c r="CW220" s="662">
        <v>0</v>
      </c>
      <c r="CX220" s="662">
        <v>0</v>
      </c>
      <c r="CY220" s="662">
        <v>0</v>
      </c>
      <c r="CZ220" s="662">
        <v>0</v>
      </c>
      <c r="DA220" s="662">
        <v>0</v>
      </c>
      <c r="DB220" s="662">
        <v>0</v>
      </c>
      <c r="DC220" s="662">
        <v>0</v>
      </c>
      <c r="DD220" s="662">
        <v>0</v>
      </c>
      <c r="DE220" s="662">
        <v>0</v>
      </c>
      <c r="DF220" s="662">
        <v>0</v>
      </c>
      <c r="DG220" s="662">
        <v>0</v>
      </c>
      <c r="DH220" s="662">
        <v>0</v>
      </c>
      <c r="DI220" s="662">
        <v>0</v>
      </c>
      <c r="DJ220" s="662">
        <v>0</v>
      </c>
      <c r="DK220" s="662">
        <v>0</v>
      </c>
      <c r="DL220" s="662">
        <v>0</v>
      </c>
      <c r="DM220" s="662">
        <v>0</v>
      </c>
      <c r="DN220" s="662">
        <v>0</v>
      </c>
      <c r="DO220" s="662">
        <v>0</v>
      </c>
      <c r="DP220" s="662">
        <v>2</v>
      </c>
      <c r="DQ220" s="662">
        <v>0</v>
      </c>
      <c r="DR220" s="662">
        <v>2</v>
      </c>
      <c r="DS220" s="662">
        <v>40</v>
      </c>
      <c r="DT220" s="662">
        <v>0</v>
      </c>
      <c r="DU220" s="662">
        <v>0</v>
      </c>
      <c r="DV220" s="662">
        <v>39</v>
      </c>
      <c r="DW220" s="662">
        <v>3</v>
      </c>
      <c r="DX220" s="662">
        <v>0</v>
      </c>
      <c r="DY220" s="662">
        <v>3</v>
      </c>
      <c r="DZ220" s="662">
        <v>250</v>
      </c>
      <c r="EA220" s="662">
        <v>0</v>
      </c>
      <c r="EB220" s="662">
        <v>0</v>
      </c>
      <c r="EC220" s="662">
        <v>230</v>
      </c>
      <c r="ED220" s="662">
        <v>6</v>
      </c>
      <c r="EE220" s="662">
        <v>0</v>
      </c>
      <c r="EF220" s="662">
        <v>5</v>
      </c>
      <c r="EG220" s="662">
        <v>670</v>
      </c>
      <c r="EH220" s="662">
        <v>0</v>
      </c>
      <c r="EI220" s="662">
        <v>0</v>
      </c>
      <c r="EJ220" s="662">
        <v>670</v>
      </c>
      <c r="EK220" s="662">
        <v>0</v>
      </c>
      <c r="EL220" s="662">
        <v>0</v>
      </c>
      <c r="EM220" s="662">
        <v>0</v>
      </c>
      <c r="EN220" s="662">
        <v>0</v>
      </c>
      <c r="EO220" s="662">
        <v>0</v>
      </c>
      <c r="EP220" s="662">
        <v>0</v>
      </c>
      <c r="EQ220" s="662">
        <v>0</v>
      </c>
    </row>
    <row r="221" spans="1:147" ht="13.95" customHeight="1" x14ac:dyDescent="0.3">
      <c r="A221" s="660" t="s">
        <v>1877</v>
      </c>
      <c r="B221" s="661" t="s">
        <v>269</v>
      </c>
      <c r="C221" s="662">
        <v>12</v>
      </c>
      <c r="D221" s="662">
        <v>0</v>
      </c>
      <c r="E221" s="662">
        <v>12</v>
      </c>
      <c r="F221" s="662">
        <v>550</v>
      </c>
      <c r="G221" s="662">
        <v>0</v>
      </c>
      <c r="H221" s="662">
        <v>0</v>
      </c>
      <c r="I221" s="662">
        <v>523</v>
      </c>
      <c r="J221" s="802">
        <v>1</v>
      </c>
      <c r="K221" s="662">
        <v>0</v>
      </c>
      <c r="L221" s="662">
        <v>1</v>
      </c>
      <c r="M221" s="662">
        <v>82</v>
      </c>
      <c r="N221" s="662">
        <v>0</v>
      </c>
      <c r="O221" s="662">
        <v>0</v>
      </c>
      <c r="P221" s="662">
        <v>80</v>
      </c>
      <c r="Q221" s="802">
        <v>0</v>
      </c>
      <c r="R221" s="662">
        <v>0</v>
      </c>
      <c r="S221" s="662">
        <v>0</v>
      </c>
      <c r="T221" s="662">
        <v>0</v>
      </c>
      <c r="U221" s="662">
        <v>0</v>
      </c>
      <c r="V221" s="662">
        <v>0</v>
      </c>
      <c r="W221" s="802">
        <v>2</v>
      </c>
      <c r="X221" s="662">
        <v>0</v>
      </c>
      <c r="Y221" s="662">
        <v>2</v>
      </c>
      <c r="Z221" s="662">
        <v>17</v>
      </c>
      <c r="AA221" s="662">
        <v>0</v>
      </c>
      <c r="AB221" s="662">
        <v>0</v>
      </c>
      <c r="AC221" s="662">
        <v>14</v>
      </c>
      <c r="AD221" s="802">
        <v>2</v>
      </c>
      <c r="AE221" s="662">
        <v>0</v>
      </c>
      <c r="AF221" s="662">
        <v>2</v>
      </c>
      <c r="AG221" s="662">
        <v>43</v>
      </c>
      <c r="AH221" s="662">
        <v>0</v>
      </c>
      <c r="AI221" s="662">
        <v>0</v>
      </c>
      <c r="AJ221" s="662">
        <v>43</v>
      </c>
      <c r="AK221" s="802">
        <v>1</v>
      </c>
      <c r="AL221" s="662">
        <v>1</v>
      </c>
      <c r="AM221" s="662">
        <v>30</v>
      </c>
      <c r="AN221" s="662">
        <v>0</v>
      </c>
      <c r="AO221" s="662">
        <v>0</v>
      </c>
      <c r="AP221" s="662">
        <v>30</v>
      </c>
      <c r="AQ221" s="802">
        <v>0</v>
      </c>
      <c r="AR221" s="662">
        <v>0</v>
      </c>
      <c r="AS221" s="662">
        <v>0</v>
      </c>
      <c r="AT221" s="662">
        <v>0</v>
      </c>
      <c r="AU221" s="662">
        <v>0</v>
      </c>
      <c r="AV221" s="662">
        <v>0</v>
      </c>
      <c r="AW221" s="662">
        <v>0</v>
      </c>
      <c r="AX221" s="662">
        <v>0</v>
      </c>
      <c r="AY221" s="662">
        <v>0</v>
      </c>
      <c r="AZ221" s="662">
        <v>0</v>
      </c>
      <c r="BA221" s="662">
        <v>0</v>
      </c>
      <c r="BB221" s="662">
        <v>0</v>
      </c>
      <c r="BC221" s="662">
        <v>0</v>
      </c>
      <c r="BD221" s="662">
        <v>0</v>
      </c>
      <c r="BE221" s="802">
        <v>0</v>
      </c>
      <c r="BF221" s="662">
        <v>0</v>
      </c>
      <c r="BG221" s="662">
        <v>0</v>
      </c>
      <c r="BH221" s="662">
        <v>0</v>
      </c>
      <c r="BI221" s="662">
        <v>0</v>
      </c>
      <c r="BJ221" s="662">
        <v>0</v>
      </c>
      <c r="BK221" s="662">
        <v>0</v>
      </c>
      <c r="BL221" s="662">
        <v>2</v>
      </c>
      <c r="BM221" s="662">
        <v>0</v>
      </c>
      <c r="BN221" s="662">
        <v>2</v>
      </c>
      <c r="BO221" s="662">
        <v>81</v>
      </c>
      <c r="BP221" s="662">
        <v>0</v>
      </c>
      <c r="BQ221" s="662">
        <v>0</v>
      </c>
      <c r="BR221" s="662">
        <v>80</v>
      </c>
      <c r="BS221" s="662">
        <v>0</v>
      </c>
      <c r="BT221" s="662">
        <v>0</v>
      </c>
      <c r="BU221" s="662">
        <v>0</v>
      </c>
      <c r="BV221" s="662">
        <v>0</v>
      </c>
      <c r="BW221" s="662">
        <v>0</v>
      </c>
      <c r="BX221" s="662">
        <v>0</v>
      </c>
      <c r="BY221" s="662">
        <v>0</v>
      </c>
      <c r="BZ221" s="662">
        <v>3</v>
      </c>
      <c r="CA221" s="662">
        <v>0</v>
      </c>
      <c r="CB221" s="662">
        <v>3</v>
      </c>
      <c r="CC221" s="662">
        <v>279</v>
      </c>
      <c r="CD221" s="662">
        <v>0</v>
      </c>
      <c r="CE221" s="662">
        <v>0</v>
      </c>
      <c r="CF221" s="662">
        <v>258</v>
      </c>
      <c r="CG221" s="662">
        <v>1</v>
      </c>
      <c r="CH221" s="662">
        <v>0</v>
      </c>
      <c r="CI221" s="662">
        <v>1</v>
      </c>
      <c r="CJ221" s="662">
        <v>18</v>
      </c>
      <c r="CK221" s="662">
        <v>0</v>
      </c>
      <c r="CL221" s="662">
        <v>0</v>
      </c>
      <c r="CM221" s="662">
        <v>18</v>
      </c>
      <c r="CN221" s="662">
        <v>0</v>
      </c>
      <c r="CO221" s="662">
        <v>0</v>
      </c>
      <c r="CP221" s="662">
        <v>0</v>
      </c>
      <c r="CQ221" s="662">
        <v>0</v>
      </c>
      <c r="CR221" s="662">
        <v>0</v>
      </c>
      <c r="CS221" s="662">
        <v>0</v>
      </c>
      <c r="CT221" s="662">
        <v>0</v>
      </c>
      <c r="CU221" s="662">
        <v>0</v>
      </c>
      <c r="CV221" s="662">
        <v>0</v>
      </c>
      <c r="CW221" s="662">
        <v>0</v>
      </c>
      <c r="CX221" s="662">
        <v>0</v>
      </c>
      <c r="CY221" s="662">
        <v>0</v>
      </c>
      <c r="CZ221" s="662">
        <v>0</v>
      </c>
      <c r="DA221" s="662">
        <v>0</v>
      </c>
      <c r="DB221" s="662">
        <v>0</v>
      </c>
      <c r="DC221" s="662">
        <v>0</v>
      </c>
      <c r="DD221" s="662">
        <v>0</v>
      </c>
      <c r="DE221" s="662">
        <v>0</v>
      </c>
      <c r="DF221" s="662">
        <v>0</v>
      </c>
      <c r="DG221" s="662">
        <v>0</v>
      </c>
      <c r="DH221" s="662">
        <v>0</v>
      </c>
      <c r="DI221" s="662">
        <v>0</v>
      </c>
      <c r="DJ221" s="662">
        <v>0</v>
      </c>
      <c r="DK221" s="662">
        <v>0</v>
      </c>
      <c r="DL221" s="662">
        <v>0</v>
      </c>
      <c r="DM221" s="662">
        <v>0</v>
      </c>
      <c r="DN221" s="662">
        <v>0</v>
      </c>
      <c r="DO221" s="662">
        <v>0</v>
      </c>
      <c r="DP221" s="662">
        <v>0</v>
      </c>
      <c r="DQ221" s="662">
        <v>0</v>
      </c>
      <c r="DR221" s="662">
        <v>0</v>
      </c>
      <c r="DS221" s="662">
        <v>0</v>
      </c>
      <c r="DT221" s="662">
        <v>0</v>
      </c>
      <c r="DU221" s="662">
        <v>0</v>
      </c>
      <c r="DV221" s="662">
        <v>0</v>
      </c>
      <c r="DW221" s="662">
        <v>0</v>
      </c>
      <c r="DX221" s="662">
        <v>0</v>
      </c>
      <c r="DY221" s="662">
        <v>0</v>
      </c>
      <c r="DZ221" s="662">
        <v>0</v>
      </c>
      <c r="EA221" s="662">
        <v>0</v>
      </c>
      <c r="EB221" s="662">
        <v>0</v>
      </c>
      <c r="EC221" s="662">
        <v>0</v>
      </c>
      <c r="ED221" s="662">
        <v>0</v>
      </c>
      <c r="EE221" s="662">
        <v>0</v>
      </c>
      <c r="EF221" s="662">
        <v>0</v>
      </c>
      <c r="EG221" s="662">
        <v>0</v>
      </c>
      <c r="EH221" s="662">
        <v>0</v>
      </c>
      <c r="EI221" s="662">
        <v>0</v>
      </c>
      <c r="EJ221" s="662">
        <v>0</v>
      </c>
      <c r="EK221" s="662">
        <v>0</v>
      </c>
      <c r="EL221" s="662">
        <v>0</v>
      </c>
      <c r="EM221" s="662">
        <v>0</v>
      </c>
      <c r="EN221" s="662">
        <v>0</v>
      </c>
      <c r="EO221" s="662">
        <v>0</v>
      </c>
      <c r="EP221" s="662">
        <v>0</v>
      </c>
      <c r="EQ221" s="662">
        <v>0</v>
      </c>
    </row>
    <row r="222" spans="1:147" ht="13.95" customHeight="1" x14ac:dyDescent="0.3">
      <c r="A222" s="660" t="s">
        <v>1878</v>
      </c>
      <c r="B222" s="661" t="s">
        <v>269</v>
      </c>
      <c r="C222" s="662">
        <v>1</v>
      </c>
      <c r="D222" s="662">
        <v>0</v>
      </c>
      <c r="E222" s="662">
        <v>1</v>
      </c>
      <c r="F222" s="662">
        <v>20</v>
      </c>
      <c r="G222" s="662">
        <v>0</v>
      </c>
      <c r="H222" s="662">
        <v>0</v>
      </c>
      <c r="I222" s="662">
        <v>20</v>
      </c>
      <c r="J222" s="802">
        <v>0</v>
      </c>
      <c r="K222" s="662">
        <v>0</v>
      </c>
      <c r="L222" s="662">
        <v>0</v>
      </c>
      <c r="M222" s="662">
        <v>0</v>
      </c>
      <c r="N222" s="662">
        <v>0</v>
      </c>
      <c r="O222" s="662">
        <v>0</v>
      </c>
      <c r="P222" s="662">
        <v>0</v>
      </c>
      <c r="Q222" s="802">
        <v>0</v>
      </c>
      <c r="R222" s="662">
        <v>0</v>
      </c>
      <c r="S222" s="662">
        <v>0</v>
      </c>
      <c r="T222" s="662">
        <v>0</v>
      </c>
      <c r="U222" s="662">
        <v>0</v>
      </c>
      <c r="V222" s="662">
        <v>0</v>
      </c>
      <c r="W222" s="802">
        <v>0</v>
      </c>
      <c r="X222" s="662">
        <v>0</v>
      </c>
      <c r="Y222" s="662">
        <v>0</v>
      </c>
      <c r="Z222" s="662">
        <v>0</v>
      </c>
      <c r="AA222" s="662">
        <v>0</v>
      </c>
      <c r="AB222" s="662">
        <v>0</v>
      </c>
      <c r="AC222" s="662">
        <v>0</v>
      </c>
      <c r="AD222" s="802">
        <v>0</v>
      </c>
      <c r="AE222" s="662">
        <v>0</v>
      </c>
      <c r="AF222" s="662">
        <v>0</v>
      </c>
      <c r="AG222" s="662">
        <v>0</v>
      </c>
      <c r="AH222" s="662">
        <v>0</v>
      </c>
      <c r="AI222" s="662">
        <v>0</v>
      </c>
      <c r="AJ222" s="662">
        <v>0</v>
      </c>
      <c r="AK222" s="802">
        <v>0</v>
      </c>
      <c r="AL222" s="662">
        <v>0</v>
      </c>
      <c r="AM222" s="662">
        <v>0</v>
      </c>
      <c r="AN222" s="662">
        <v>0</v>
      </c>
      <c r="AO222" s="662">
        <v>0</v>
      </c>
      <c r="AP222" s="662">
        <v>0</v>
      </c>
      <c r="AQ222" s="802">
        <v>0</v>
      </c>
      <c r="AR222" s="662">
        <v>0</v>
      </c>
      <c r="AS222" s="662">
        <v>0</v>
      </c>
      <c r="AT222" s="662">
        <v>0</v>
      </c>
      <c r="AU222" s="662">
        <v>0</v>
      </c>
      <c r="AV222" s="662">
        <v>0</v>
      </c>
      <c r="AW222" s="662">
        <v>0</v>
      </c>
      <c r="AX222" s="662">
        <v>0</v>
      </c>
      <c r="AY222" s="662">
        <v>0</v>
      </c>
      <c r="AZ222" s="662">
        <v>0</v>
      </c>
      <c r="BA222" s="662">
        <v>0</v>
      </c>
      <c r="BB222" s="662">
        <v>0</v>
      </c>
      <c r="BC222" s="662">
        <v>0</v>
      </c>
      <c r="BD222" s="662">
        <v>0</v>
      </c>
      <c r="BE222" s="802">
        <v>0</v>
      </c>
      <c r="BF222" s="662">
        <v>0</v>
      </c>
      <c r="BG222" s="662">
        <v>0</v>
      </c>
      <c r="BH222" s="662">
        <v>0</v>
      </c>
      <c r="BI222" s="662">
        <v>0</v>
      </c>
      <c r="BJ222" s="662">
        <v>0</v>
      </c>
      <c r="BK222" s="662">
        <v>0</v>
      </c>
      <c r="BL222" s="662">
        <v>1</v>
      </c>
      <c r="BM222" s="662">
        <v>0</v>
      </c>
      <c r="BN222" s="662">
        <v>1</v>
      </c>
      <c r="BO222" s="662">
        <v>20</v>
      </c>
      <c r="BP222" s="662">
        <v>0</v>
      </c>
      <c r="BQ222" s="662">
        <v>0</v>
      </c>
      <c r="BR222" s="662">
        <v>20</v>
      </c>
      <c r="BS222" s="662">
        <v>0</v>
      </c>
      <c r="BT222" s="662">
        <v>0</v>
      </c>
      <c r="BU222" s="662">
        <v>0</v>
      </c>
      <c r="BV222" s="662">
        <v>0</v>
      </c>
      <c r="BW222" s="662">
        <v>0</v>
      </c>
      <c r="BX222" s="662">
        <v>0</v>
      </c>
      <c r="BY222" s="662">
        <v>0</v>
      </c>
      <c r="BZ222" s="662">
        <v>0</v>
      </c>
      <c r="CA222" s="662">
        <v>0</v>
      </c>
      <c r="CB222" s="662">
        <v>0</v>
      </c>
      <c r="CC222" s="662">
        <v>0</v>
      </c>
      <c r="CD222" s="662">
        <v>0</v>
      </c>
      <c r="CE222" s="662">
        <v>0</v>
      </c>
      <c r="CF222" s="662">
        <v>0</v>
      </c>
      <c r="CG222" s="662">
        <v>0</v>
      </c>
      <c r="CH222" s="662">
        <v>0</v>
      </c>
      <c r="CI222" s="662">
        <v>0</v>
      </c>
      <c r="CJ222" s="662">
        <v>0</v>
      </c>
      <c r="CK222" s="662">
        <v>0</v>
      </c>
      <c r="CL222" s="662">
        <v>0</v>
      </c>
      <c r="CM222" s="662">
        <v>0</v>
      </c>
      <c r="CN222" s="662">
        <v>0</v>
      </c>
      <c r="CO222" s="662">
        <v>0</v>
      </c>
      <c r="CP222" s="662">
        <v>0</v>
      </c>
      <c r="CQ222" s="662">
        <v>0</v>
      </c>
      <c r="CR222" s="662">
        <v>0</v>
      </c>
      <c r="CS222" s="662">
        <v>0</v>
      </c>
      <c r="CT222" s="662">
        <v>0</v>
      </c>
      <c r="CU222" s="662">
        <v>0</v>
      </c>
      <c r="CV222" s="662">
        <v>0</v>
      </c>
      <c r="CW222" s="662">
        <v>0</v>
      </c>
      <c r="CX222" s="662">
        <v>0</v>
      </c>
      <c r="CY222" s="662">
        <v>0</v>
      </c>
      <c r="CZ222" s="662">
        <v>0</v>
      </c>
      <c r="DA222" s="662">
        <v>0</v>
      </c>
      <c r="DB222" s="662">
        <v>0</v>
      </c>
      <c r="DC222" s="662">
        <v>0</v>
      </c>
      <c r="DD222" s="662">
        <v>0</v>
      </c>
      <c r="DE222" s="662">
        <v>0</v>
      </c>
      <c r="DF222" s="662">
        <v>0</v>
      </c>
      <c r="DG222" s="662">
        <v>0</v>
      </c>
      <c r="DH222" s="662">
        <v>0</v>
      </c>
      <c r="DI222" s="662">
        <v>0</v>
      </c>
      <c r="DJ222" s="662">
        <v>0</v>
      </c>
      <c r="DK222" s="662">
        <v>0</v>
      </c>
      <c r="DL222" s="662">
        <v>0</v>
      </c>
      <c r="DM222" s="662">
        <v>0</v>
      </c>
      <c r="DN222" s="662">
        <v>0</v>
      </c>
      <c r="DO222" s="662">
        <v>0</v>
      </c>
      <c r="DP222" s="662">
        <v>0</v>
      </c>
      <c r="DQ222" s="662">
        <v>0</v>
      </c>
      <c r="DR222" s="662">
        <v>0</v>
      </c>
      <c r="DS222" s="662">
        <v>0</v>
      </c>
      <c r="DT222" s="662">
        <v>0</v>
      </c>
      <c r="DU222" s="662">
        <v>0</v>
      </c>
      <c r="DV222" s="662">
        <v>0</v>
      </c>
      <c r="DW222" s="662">
        <v>0</v>
      </c>
      <c r="DX222" s="662">
        <v>0</v>
      </c>
      <c r="DY222" s="662">
        <v>0</v>
      </c>
      <c r="DZ222" s="662">
        <v>0</v>
      </c>
      <c r="EA222" s="662">
        <v>0</v>
      </c>
      <c r="EB222" s="662">
        <v>0</v>
      </c>
      <c r="EC222" s="662">
        <v>0</v>
      </c>
      <c r="ED222" s="662">
        <v>0</v>
      </c>
      <c r="EE222" s="662">
        <v>0</v>
      </c>
      <c r="EF222" s="662">
        <v>0</v>
      </c>
      <c r="EG222" s="662">
        <v>0</v>
      </c>
      <c r="EH222" s="662">
        <v>0</v>
      </c>
      <c r="EI222" s="662">
        <v>0</v>
      </c>
      <c r="EJ222" s="662">
        <v>0</v>
      </c>
      <c r="EK222" s="662">
        <v>0</v>
      </c>
      <c r="EL222" s="662">
        <v>0</v>
      </c>
      <c r="EM222" s="662">
        <v>0</v>
      </c>
      <c r="EN222" s="662">
        <v>0</v>
      </c>
      <c r="EO222" s="662">
        <v>0</v>
      </c>
      <c r="EP222" s="662">
        <v>0</v>
      </c>
      <c r="EQ222" s="662">
        <v>0</v>
      </c>
    </row>
    <row r="223" spans="1:147" ht="20.7" customHeight="1" x14ac:dyDescent="0.3">
      <c r="A223" s="660" t="s">
        <v>1879</v>
      </c>
      <c r="B223" s="661" t="s">
        <v>269</v>
      </c>
      <c r="C223" s="662">
        <v>0</v>
      </c>
      <c r="D223" s="662">
        <v>0</v>
      </c>
      <c r="E223" s="662">
        <v>0</v>
      </c>
      <c r="F223" s="662">
        <v>0</v>
      </c>
      <c r="G223" s="662">
        <v>0</v>
      </c>
      <c r="H223" s="662">
        <v>0</v>
      </c>
      <c r="I223" s="662">
        <v>0</v>
      </c>
      <c r="J223" s="802">
        <v>0</v>
      </c>
      <c r="K223" s="662">
        <v>0</v>
      </c>
      <c r="L223" s="662">
        <v>0</v>
      </c>
      <c r="M223" s="662">
        <v>0</v>
      </c>
      <c r="N223" s="662">
        <v>0</v>
      </c>
      <c r="O223" s="662">
        <v>0</v>
      </c>
      <c r="P223" s="662">
        <v>0</v>
      </c>
      <c r="Q223" s="802">
        <v>0</v>
      </c>
      <c r="R223" s="662">
        <v>0</v>
      </c>
      <c r="S223" s="662">
        <v>0</v>
      </c>
      <c r="T223" s="662">
        <v>0</v>
      </c>
      <c r="U223" s="662">
        <v>0</v>
      </c>
      <c r="V223" s="662">
        <v>0</v>
      </c>
      <c r="W223" s="802">
        <v>0</v>
      </c>
      <c r="X223" s="662">
        <v>0</v>
      </c>
      <c r="Y223" s="662">
        <v>0</v>
      </c>
      <c r="Z223" s="662">
        <v>0</v>
      </c>
      <c r="AA223" s="662">
        <v>0</v>
      </c>
      <c r="AB223" s="662">
        <v>0</v>
      </c>
      <c r="AC223" s="662">
        <v>0</v>
      </c>
      <c r="AD223" s="802">
        <v>0</v>
      </c>
      <c r="AE223" s="662">
        <v>0</v>
      </c>
      <c r="AF223" s="662">
        <v>0</v>
      </c>
      <c r="AG223" s="662">
        <v>0</v>
      </c>
      <c r="AH223" s="662">
        <v>0</v>
      </c>
      <c r="AI223" s="662">
        <v>0</v>
      </c>
      <c r="AJ223" s="662">
        <v>0</v>
      </c>
      <c r="AK223" s="802">
        <v>0</v>
      </c>
      <c r="AL223" s="662">
        <v>0</v>
      </c>
      <c r="AM223" s="662">
        <v>0</v>
      </c>
      <c r="AN223" s="662">
        <v>0</v>
      </c>
      <c r="AO223" s="662">
        <v>0</v>
      </c>
      <c r="AP223" s="662">
        <v>0</v>
      </c>
      <c r="AQ223" s="802">
        <v>0</v>
      </c>
      <c r="AR223" s="662">
        <v>0</v>
      </c>
      <c r="AS223" s="662">
        <v>0</v>
      </c>
      <c r="AT223" s="662">
        <v>0</v>
      </c>
      <c r="AU223" s="662">
        <v>0</v>
      </c>
      <c r="AV223" s="662">
        <v>0</v>
      </c>
      <c r="AW223" s="662">
        <v>0</v>
      </c>
      <c r="AX223" s="662">
        <v>0</v>
      </c>
      <c r="AY223" s="662">
        <v>0</v>
      </c>
      <c r="AZ223" s="662">
        <v>0</v>
      </c>
      <c r="BA223" s="662">
        <v>0</v>
      </c>
      <c r="BB223" s="662">
        <v>0</v>
      </c>
      <c r="BC223" s="662">
        <v>0</v>
      </c>
      <c r="BD223" s="662">
        <v>0</v>
      </c>
      <c r="BE223" s="802">
        <v>0</v>
      </c>
      <c r="BF223" s="662">
        <v>0</v>
      </c>
      <c r="BG223" s="662">
        <v>0</v>
      </c>
      <c r="BH223" s="662">
        <v>0</v>
      </c>
      <c r="BI223" s="662">
        <v>0</v>
      </c>
      <c r="BJ223" s="662">
        <v>0</v>
      </c>
      <c r="BK223" s="662">
        <v>0</v>
      </c>
      <c r="BL223" s="662">
        <v>0</v>
      </c>
      <c r="BM223" s="662">
        <v>0</v>
      </c>
      <c r="BN223" s="662">
        <v>0</v>
      </c>
      <c r="BO223" s="662">
        <v>0</v>
      </c>
      <c r="BP223" s="662">
        <v>0</v>
      </c>
      <c r="BQ223" s="662">
        <v>0</v>
      </c>
      <c r="BR223" s="662">
        <v>0</v>
      </c>
      <c r="BS223" s="662">
        <v>0</v>
      </c>
      <c r="BT223" s="662">
        <v>0</v>
      </c>
      <c r="BU223" s="662">
        <v>0</v>
      </c>
      <c r="BV223" s="662">
        <v>0</v>
      </c>
      <c r="BW223" s="662">
        <v>0</v>
      </c>
      <c r="BX223" s="662">
        <v>0</v>
      </c>
      <c r="BY223" s="662">
        <v>0</v>
      </c>
      <c r="BZ223" s="662">
        <v>0</v>
      </c>
      <c r="CA223" s="662">
        <v>0</v>
      </c>
      <c r="CB223" s="662">
        <v>0</v>
      </c>
      <c r="CC223" s="662">
        <v>0</v>
      </c>
      <c r="CD223" s="662">
        <v>0</v>
      </c>
      <c r="CE223" s="662">
        <v>0</v>
      </c>
      <c r="CF223" s="662">
        <v>0</v>
      </c>
      <c r="CG223" s="662">
        <v>0</v>
      </c>
      <c r="CH223" s="662">
        <v>0</v>
      </c>
      <c r="CI223" s="662">
        <v>0</v>
      </c>
      <c r="CJ223" s="662">
        <v>0</v>
      </c>
      <c r="CK223" s="662">
        <v>0</v>
      </c>
      <c r="CL223" s="662">
        <v>0</v>
      </c>
      <c r="CM223" s="662">
        <v>0</v>
      </c>
      <c r="CN223" s="662">
        <v>0</v>
      </c>
      <c r="CO223" s="662">
        <v>0</v>
      </c>
      <c r="CP223" s="662">
        <v>0</v>
      </c>
      <c r="CQ223" s="662">
        <v>0</v>
      </c>
      <c r="CR223" s="662">
        <v>0</v>
      </c>
      <c r="CS223" s="662">
        <v>0</v>
      </c>
      <c r="CT223" s="662">
        <v>0</v>
      </c>
      <c r="CU223" s="662">
        <v>0</v>
      </c>
      <c r="CV223" s="662">
        <v>0</v>
      </c>
      <c r="CW223" s="662">
        <v>0</v>
      </c>
      <c r="CX223" s="662">
        <v>0</v>
      </c>
      <c r="CY223" s="662">
        <v>0</v>
      </c>
      <c r="CZ223" s="662">
        <v>0</v>
      </c>
      <c r="DA223" s="662">
        <v>0</v>
      </c>
      <c r="DB223" s="662">
        <v>0</v>
      </c>
      <c r="DC223" s="662">
        <v>0</v>
      </c>
      <c r="DD223" s="662">
        <v>0</v>
      </c>
      <c r="DE223" s="662">
        <v>0</v>
      </c>
      <c r="DF223" s="662">
        <v>0</v>
      </c>
      <c r="DG223" s="662">
        <v>0</v>
      </c>
      <c r="DH223" s="662">
        <v>0</v>
      </c>
      <c r="DI223" s="662">
        <v>0</v>
      </c>
      <c r="DJ223" s="662">
        <v>0</v>
      </c>
      <c r="DK223" s="662">
        <v>0</v>
      </c>
      <c r="DL223" s="662">
        <v>0</v>
      </c>
      <c r="DM223" s="662">
        <v>0</v>
      </c>
      <c r="DN223" s="662">
        <v>0</v>
      </c>
      <c r="DO223" s="662">
        <v>0</v>
      </c>
      <c r="DP223" s="662">
        <v>0</v>
      </c>
      <c r="DQ223" s="662">
        <v>0</v>
      </c>
      <c r="DR223" s="662">
        <v>0</v>
      </c>
      <c r="DS223" s="662">
        <v>0</v>
      </c>
      <c r="DT223" s="662">
        <v>0</v>
      </c>
      <c r="DU223" s="662">
        <v>0</v>
      </c>
      <c r="DV223" s="662">
        <v>0</v>
      </c>
      <c r="DW223" s="662">
        <v>0</v>
      </c>
      <c r="DX223" s="662">
        <v>0</v>
      </c>
      <c r="DY223" s="662">
        <v>0</v>
      </c>
      <c r="DZ223" s="662">
        <v>0</v>
      </c>
      <c r="EA223" s="662">
        <v>0</v>
      </c>
      <c r="EB223" s="662">
        <v>0</v>
      </c>
      <c r="EC223" s="662">
        <v>0</v>
      </c>
      <c r="ED223" s="662">
        <v>0</v>
      </c>
      <c r="EE223" s="662">
        <v>0</v>
      </c>
      <c r="EF223" s="662">
        <v>0</v>
      </c>
      <c r="EG223" s="662">
        <v>0</v>
      </c>
      <c r="EH223" s="662">
        <v>0</v>
      </c>
      <c r="EI223" s="662">
        <v>0</v>
      </c>
      <c r="EJ223" s="662">
        <v>0</v>
      </c>
      <c r="EK223" s="662">
        <v>0</v>
      </c>
      <c r="EL223" s="662">
        <v>0</v>
      </c>
      <c r="EM223" s="662">
        <v>0</v>
      </c>
      <c r="EN223" s="662">
        <v>0</v>
      </c>
      <c r="EO223" s="662">
        <v>0</v>
      </c>
      <c r="EP223" s="662">
        <v>0</v>
      </c>
      <c r="EQ223" s="662">
        <v>0</v>
      </c>
    </row>
    <row r="224" spans="1:147" ht="13.95" customHeight="1" x14ac:dyDescent="0.3">
      <c r="A224" s="660" t="s">
        <v>1880</v>
      </c>
      <c r="B224" s="661" t="s">
        <v>269</v>
      </c>
      <c r="C224" s="662">
        <f t="shared" ref="C224:BN224" si="91">C225+C226+C230</f>
        <v>143723</v>
      </c>
      <c r="D224" s="662">
        <f t="shared" si="91"/>
        <v>0</v>
      </c>
      <c r="E224" s="662">
        <f t="shared" si="91"/>
        <v>135234</v>
      </c>
      <c r="F224" s="662">
        <f t="shared" si="91"/>
        <v>1924479</v>
      </c>
      <c r="G224" s="662">
        <f t="shared" si="91"/>
        <v>0</v>
      </c>
      <c r="H224" s="662">
        <f t="shared" si="91"/>
        <v>0</v>
      </c>
      <c r="I224" s="662">
        <f t="shared" si="91"/>
        <v>1796775</v>
      </c>
      <c r="J224" s="802">
        <f t="shared" si="91"/>
        <v>24557</v>
      </c>
      <c r="K224" s="662">
        <f t="shared" si="91"/>
        <v>0</v>
      </c>
      <c r="L224" s="662">
        <f t="shared" si="91"/>
        <v>23122</v>
      </c>
      <c r="M224" s="662">
        <f t="shared" si="91"/>
        <v>404065</v>
      </c>
      <c r="N224" s="662">
        <f t="shared" si="91"/>
        <v>0</v>
      </c>
      <c r="O224" s="662">
        <f t="shared" si="91"/>
        <v>0</v>
      </c>
      <c r="P224" s="662">
        <f t="shared" si="91"/>
        <v>341205</v>
      </c>
      <c r="Q224" s="802">
        <f t="shared" si="91"/>
        <v>2</v>
      </c>
      <c r="R224" s="662">
        <f t="shared" si="91"/>
        <v>2</v>
      </c>
      <c r="S224" s="662">
        <f t="shared" si="91"/>
        <v>36</v>
      </c>
      <c r="T224" s="662">
        <f t="shared" si="91"/>
        <v>0</v>
      </c>
      <c r="U224" s="662">
        <f t="shared" si="91"/>
        <v>0</v>
      </c>
      <c r="V224" s="662">
        <f t="shared" si="91"/>
        <v>36</v>
      </c>
      <c r="W224" s="802">
        <f t="shared" si="91"/>
        <v>27</v>
      </c>
      <c r="X224" s="662">
        <f t="shared" si="91"/>
        <v>0</v>
      </c>
      <c r="Y224" s="662">
        <f t="shared" si="91"/>
        <v>25</v>
      </c>
      <c r="Z224" s="662">
        <f t="shared" si="91"/>
        <v>197</v>
      </c>
      <c r="AA224" s="662">
        <f t="shared" si="91"/>
        <v>0</v>
      </c>
      <c r="AB224" s="662">
        <f t="shared" si="91"/>
        <v>0</v>
      </c>
      <c r="AC224" s="662">
        <f t="shared" si="91"/>
        <v>194</v>
      </c>
      <c r="AD224" s="802">
        <f t="shared" si="91"/>
        <v>264</v>
      </c>
      <c r="AE224" s="662">
        <f t="shared" si="91"/>
        <v>0</v>
      </c>
      <c r="AF224" s="662">
        <f t="shared" si="91"/>
        <v>71</v>
      </c>
      <c r="AG224" s="662">
        <f t="shared" si="91"/>
        <v>586</v>
      </c>
      <c r="AH224" s="662">
        <f t="shared" si="91"/>
        <v>0</v>
      </c>
      <c r="AI224" s="662">
        <f t="shared" si="91"/>
        <v>0</v>
      </c>
      <c r="AJ224" s="662">
        <f t="shared" si="91"/>
        <v>584</v>
      </c>
      <c r="AK224" s="802">
        <f t="shared" si="91"/>
        <v>4</v>
      </c>
      <c r="AL224" s="662">
        <f t="shared" si="91"/>
        <v>1</v>
      </c>
      <c r="AM224" s="662">
        <f t="shared" si="91"/>
        <v>2</v>
      </c>
      <c r="AN224" s="662">
        <f t="shared" si="91"/>
        <v>0</v>
      </c>
      <c r="AO224" s="662">
        <f t="shared" si="91"/>
        <v>0</v>
      </c>
      <c r="AP224" s="662">
        <f t="shared" si="91"/>
        <v>2</v>
      </c>
      <c r="AQ224" s="802">
        <f t="shared" si="91"/>
        <v>541</v>
      </c>
      <c r="AR224" s="662">
        <f t="shared" si="91"/>
        <v>0</v>
      </c>
      <c r="AS224" s="662">
        <f t="shared" si="91"/>
        <v>541</v>
      </c>
      <c r="AT224" s="662">
        <f t="shared" si="91"/>
        <v>4164</v>
      </c>
      <c r="AU224" s="662">
        <f t="shared" si="91"/>
        <v>0</v>
      </c>
      <c r="AV224" s="662">
        <f t="shared" si="91"/>
        <v>0</v>
      </c>
      <c r="AW224" s="662">
        <f t="shared" si="91"/>
        <v>4113</v>
      </c>
      <c r="AX224" s="662">
        <f t="shared" si="91"/>
        <v>11</v>
      </c>
      <c r="AY224" s="662">
        <f t="shared" si="91"/>
        <v>0</v>
      </c>
      <c r="AZ224" s="662">
        <f t="shared" si="91"/>
        <v>9</v>
      </c>
      <c r="BA224" s="662">
        <f t="shared" si="91"/>
        <v>83</v>
      </c>
      <c r="BB224" s="662">
        <f t="shared" si="91"/>
        <v>0</v>
      </c>
      <c r="BC224" s="662">
        <f t="shared" si="91"/>
        <v>0</v>
      </c>
      <c r="BD224" s="662">
        <f t="shared" si="91"/>
        <v>74</v>
      </c>
      <c r="BE224" s="802">
        <f t="shared" si="91"/>
        <v>148</v>
      </c>
      <c r="BF224" s="662">
        <f t="shared" si="91"/>
        <v>0</v>
      </c>
      <c r="BG224" s="662">
        <f t="shared" si="91"/>
        <v>78</v>
      </c>
      <c r="BH224" s="662">
        <f t="shared" si="91"/>
        <v>1591</v>
      </c>
      <c r="BI224" s="662">
        <f t="shared" si="91"/>
        <v>0</v>
      </c>
      <c r="BJ224" s="662">
        <f t="shared" si="91"/>
        <v>0</v>
      </c>
      <c r="BK224" s="662">
        <f t="shared" si="91"/>
        <v>1591</v>
      </c>
      <c r="BL224" s="662">
        <f t="shared" si="91"/>
        <v>531</v>
      </c>
      <c r="BM224" s="662">
        <f t="shared" si="91"/>
        <v>0</v>
      </c>
      <c r="BN224" s="662">
        <f t="shared" si="91"/>
        <v>318</v>
      </c>
      <c r="BO224" s="662">
        <f t="shared" ref="BO224:DZ224" si="92">BO225+BO226+BO230</f>
        <v>5008</v>
      </c>
      <c r="BP224" s="662">
        <f t="shared" si="92"/>
        <v>0</v>
      </c>
      <c r="BQ224" s="662">
        <f t="shared" si="92"/>
        <v>0</v>
      </c>
      <c r="BR224" s="662">
        <f t="shared" si="92"/>
        <v>4551</v>
      </c>
      <c r="BS224" s="662">
        <f t="shared" si="92"/>
        <v>149</v>
      </c>
      <c r="BT224" s="662">
        <f t="shared" si="92"/>
        <v>0</v>
      </c>
      <c r="BU224" s="662">
        <f t="shared" si="92"/>
        <v>119</v>
      </c>
      <c r="BV224" s="662">
        <f t="shared" si="92"/>
        <v>2664</v>
      </c>
      <c r="BW224" s="662">
        <f t="shared" si="92"/>
        <v>0</v>
      </c>
      <c r="BX224" s="662">
        <f t="shared" si="92"/>
        <v>0</v>
      </c>
      <c r="BY224" s="662">
        <f t="shared" si="92"/>
        <v>2664</v>
      </c>
      <c r="BZ224" s="662">
        <f t="shared" si="92"/>
        <v>37</v>
      </c>
      <c r="CA224" s="662">
        <f t="shared" si="92"/>
        <v>0</v>
      </c>
      <c r="CB224" s="662">
        <f t="shared" si="92"/>
        <v>35</v>
      </c>
      <c r="CC224" s="662">
        <f t="shared" si="92"/>
        <v>449</v>
      </c>
      <c r="CD224" s="662">
        <f t="shared" si="92"/>
        <v>0</v>
      </c>
      <c r="CE224" s="662">
        <f t="shared" si="92"/>
        <v>0</v>
      </c>
      <c r="CF224" s="662">
        <f t="shared" si="92"/>
        <v>418</v>
      </c>
      <c r="CG224" s="662">
        <f t="shared" si="92"/>
        <v>24613</v>
      </c>
      <c r="CH224" s="662">
        <f t="shared" si="92"/>
        <v>0</v>
      </c>
      <c r="CI224" s="662">
        <f t="shared" si="92"/>
        <v>21992</v>
      </c>
      <c r="CJ224" s="662">
        <f t="shared" si="92"/>
        <v>324020</v>
      </c>
      <c r="CK224" s="662">
        <f t="shared" si="92"/>
        <v>0</v>
      </c>
      <c r="CL224" s="662">
        <f t="shared" si="92"/>
        <v>0</v>
      </c>
      <c r="CM224" s="662">
        <f t="shared" si="92"/>
        <v>312250</v>
      </c>
      <c r="CN224" s="662">
        <f t="shared" si="92"/>
        <v>269</v>
      </c>
      <c r="CO224" s="662">
        <f t="shared" si="92"/>
        <v>0</v>
      </c>
      <c r="CP224" s="662">
        <f t="shared" si="92"/>
        <v>269</v>
      </c>
      <c r="CQ224" s="662">
        <f t="shared" si="92"/>
        <v>1382</v>
      </c>
      <c r="CR224" s="662">
        <f t="shared" si="92"/>
        <v>0</v>
      </c>
      <c r="CS224" s="662">
        <f t="shared" si="92"/>
        <v>0</v>
      </c>
      <c r="CT224" s="662">
        <f t="shared" si="92"/>
        <v>1362</v>
      </c>
      <c r="CU224" s="662">
        <f t="shared" si="92"/>
        <v>135</v>
      </c>
      <c r="CV224" s="662">
        <f t="shared" si="92"/>
        <v>0</v>
      </c>
      <c r="CW224" s="662">
        <f t="shared" si="92"/>
        <v>110</v>
      </c>
      <c r="CX224" s="662">
        <f t="shared" si="92"/>
        <v>2865</v>
      </c>
      <c r="CY224" s="662">
        <f t="shared" si="92"/>
        <v>0</v>
      </c>
      <c r="CZ224" s="662">
        <f t="shared" si="92"/>
        <v>0</v>
      </c>
      <c r="DA224" s="662">
        <f t="shared" si="92"/>
        <v>2865</v>
      </c>
      <c r="DB224" s="662">
        <f t="shared" si="92"/>
        <v>21500</v>
      </c>
      <c r="DC224" s="662">
        <f t="shared" si="92"/>
        <v>0</v>
      </c>
      <c r="DD224" s="662">
        <f t="shared" si="92"/>
        <v>20638</v>
      </c>
      <c r="DE224" s="662">
        <f t="shared" si="92"/>
        <v>270161</v>
      </c>
      <c r="DF224" s="662">
        <f t="shared" si="92"/>
        <v>0</v>
      </c>
      <c r="DG224" s="662">
        <f t="shared" si="92"/>
        <v>0</v>
      </c>
      <c r="DH224" s="662">
        <f t="shared" si="92"/>
        <v>262730</v>
      </c>
      <c r="DI224" s="662">
        <f t="shared" si="92"/>
        <v>19836</v>
      </c>
      <c r="DJ224" s="662">
        <f t="shared" si="92"/>
        <v>0</v>
      </c>
      <c r="DK224" s="662">
        <f t="shared" si="92"/>
        <v>19586</v>
      </c>
      <c r="DL224" s="662">
        <f t="shared" si="92"/>
        <v>295241</v>
      </c>
      <c r="DM224" s="662">
        <f t="shared" si="92"/>
        <v>0</v>
      </c>
      <c r="DN224" s="662">
        <f t="shared" si="92"/>
        <v>0</v>
      </c>
      <c r="DO224" s="662">
        <f t="shared" si="92"/>
        <v>291159</v>
      </c>
      <c r="DP224" s="662">
        <f t="shared" si="92"/>
        <v>131</v>
      </c>
      <c r="DQ224" s="662">
        <f t="shared" si="92"/>
        <v>0</v>
      </c>
      <c r="DR224" s="662">
        <f t="shared" si="92"/>
        <v>129</v>
      </c>
      <c r="DS224" s="662">
        <f t="shared" si="92"/>
        <v>5321</v>
      </c>
      <c r="DT224" s="662">
        <f t="shared" si="92"/>
        <v>0</v>
      </c>
      <c r="DU224" s="662">
        <f t="shared" si="92"/>
        <v>0</v>
      </c>
      <c r="DV224" s="662">
        <f t="shared" si="92"/>
        <v>5304</v>
      </c>
      <c r="DW224" s="662">
        <f t="shared" si="92"/>
        <v>491</v>
      </c>
      <c r="DX224" s="662">
        <f t="shared" si="92"/>
        <v>0</v>
      </c>
      <c r="DY224" s="662">
        <f t="shared" si="92"/>
        <v>478</v>
      </c>
      <c r="DZ224" s="662">
        <f t="shared" si="92"/>
        <v>16311</v>
      </c>
      <c r="EA224" s="662">
        <f t="shared" ref="EA224:EQ224" si="93">EA225+EA226+EA230</f>
        <v>0</v>
      </c>
      <c r="EB224" s="662">
        <f t="shared" si="93"/>
        <v>0</v>
      </c>
      <c r="EC224" s="662">
        <f t="shared" si="93"/>
        <v>16002</v>
      </c>
      <c r="ED224" s="662">
        <f t="shared" si="93"/>
        <v>49307</v>
      </c>
      <c r="EE224" s="662">
        <f t="shared" si="93"/>
        <v>0</v>
      </c>
      <c r="EF224" s="662">
        <f t="shared" si="93"/>
        <v>46553</v>
      </c>
      <c r="EG224" s="662">
        <f t="shared" si="93"/>
        <v>578316</v>
      </c>
      <c r="EH224" s="662">
        <f t="shared" si="93"/>
        <v>0</v>
      </c>
      <c r="EI224" s="662">
        <f t="shared" si="93"/>
        <v>0</v>
      </c>
      <c r="EJ224" s="662">
        <f t="shared" si="93"/>
        <v>538121</v>
      </c>
      <c r="EK224" s="662">
        <f t="shared" si="93"/>
        <v>1170</v>
      </c>
      <c r="EL224" s="662">
        <f t="shared" si="93"/>
        <v>0</v>
      </c>
      <c r="EM224" s="662">
        <f t="shared" si="93"/>
        <v>1158</v>
      </c>
      <c r="EN224" s="662">
        <f t="shared" si="93"/>
        <v>12017</v>
      </c>
      <c r="EO224" s="662">
        <f t="shared" si="93"/>
        <v>0</v>
      </c>
      <c r="EP224" s="662">
        <f t="shared" si="93"/>
        <v>0</v>
      </c>
      <c r="EQ224" s="662">
        <f t="shared" si="93"/>
        <v>11550</v>
      </c>
    </row>
    <row r="225" spans="1:148" ht="13.95" customHeight="1" x14ac:dyDescent="0.3">
      <c r="A225" s="660" t="s">
        <v>1881</v>
      </c>
      <c r="B225" s="661" t="s">
        <v>269</v>
      </c>
      <c r="C225" s="662">
        <v>53076</v>
      </c>
      <c r="D225" s="662">
        <v>0</v>
      </c>
      <c r="E225" s="662">
        <v>52039</v>
      </c>
      <c r="F225" s="662">
        <v>815929</v>
      </c>
      <c r="G225" s="662">
        <v>0</v>
      </c>
      <c r="H225" s="662">
        <v>0</v>
      </c>
      <c r="I225" s="662">
        <v>773002</v>
      </c>
      <c r="J225" s="802">
        <v>0</v>
      </c>
      <c r="K225" s="662">
        <v>0</v>
      </c>
      <c r="L225" s="662">
        <v>0</v>
      </c>
      <c r="M225" s="662">
        <v>0</v>
      </c>
      <c r="N225" s="662">
        <v>0</v>
      </c>
      <c r="O225" s="662">
        <v>0</v>
      </c>
      <c r="P225" s="662">
        <v>0</v>
      </c>
      <c r="Q225" s="802">
        <v>0</v>
      </c>
      <c r="R225" s="662">
        <v>0</v>
      </c>
      <c r="S225" s="662">
        <v>0</v>
      </c>
      <c r="T225" s="662">
        <v>0</v>
      </c>
      <c r="U225" s="662">
        <v>0</v>
      </c>
      <c r="V225" s="662">
        <v>0</v>
      </c>
      <c r="W225" s="802">
        <v>0</v>
      </c>
      <c r="X225" s="662">
        <v>0</v>
      </c>
      <c r="Y225" s="662">
        <v>0</v>
      </c>
      <c r="Z225" s="662">
        <v>0</v>
      </c>
      <c r="AA225" s="662">
        <v>0</v>
      </c>
      <c r="AB225" s="662">
        <v>0</v>
      </c>
      <c r="AC225" s="662">
        <v>0</v>
      </c>
      <c r="AD225" s="802">
        <v>5</v>
      </c>
      <c r="AE225" s="662">
        <v>0</v>
      </c>
      <c r="AF225" s="662">
        <v>2</v>
      </c>
      <c r="AG225" s="662">
        <v>26</v>
      </c>
      <c r="AH225" s="662">
        <v>0</v>
      </c>
      <c r="AI225" s="662">
        <v>0</v>
      </c>
      <c r="AJ225" s="662">
        <v>26</v>
      </c>
      <c r="AK225" s="802">
        <v>0</v>
      </c>
      <c r="AL225" s="662">
        <v>0</v>
      </c>
      <c r="AM225" s="662">
        <v>0</v>
      </c>
      <c r="AN225" s="662">
        <v>0</v>
      </c>
      <c r="AO225" s="662">
        <v>0</v>
      </c>
      <c r="AP225" s="662">
        <v>0</v>
      </c>
      <c r="AQ225" s="802">
        <v>1</v>
      </c>
      <c r="AR225" s="662">
        <v>0</v>
      </c>
      <c r="AS225" s="662">
        <v>1</v>
      </c>
      <c r="AT225" s="662">
        <v>2</v>
      </c>
      <c r="AU225" s="662">
        <v>0</v>
      </c>
      <c r="AV225" s="662">
        <v>0</v>
      </c>
      <c r="AW225" s="662">
        <v>2</v>
      </c>
      <c r="AX225" s="662">
        <v>0</v>
      </c>
      <c r="AY225" s="662">
        <v>0</v>
      </c>
      <c r="AZ225" s="662">
        <v>0</v>
      </c>
      <c r="BA225" s="662">
        <v>0</v>
      </c>
      <c r="BB225" s="662">
        <v>0</v>
      </c>
      <c r="BC225" s="662">
        <v>0</v>
      </c>
      <c r="BD225" s="662">
        <v>0</v>
      </c>
      <c r="BE225" s="802">
        <v>7</v>
      </c>
      <c r="BF225" s="662">
        <v>0</v>
      </c>
      <c r="BG225" s="662">
        <v>1</v>
      </c>
      <c r="BH225" s="662">
        <v>50</v>
      </c>
      <c r="BI225" s="662">
        <v>0</v>
      </c>
      <c r="BJ225" s="662">
        <v>0</v>
      </c>
      <c r="BK225" s="662">
        <v>50</v>
      </c>
      <c r="BL225" s="662">
        <v>63</v>
      </c>
      <c r="BM225" s="662">
        <v>0</v>
      </c>
      <c r="BN225" s="662">
        <v>48</v>
      </c>
      <c r="BO225" s="662">
        <v>735</v>
      </c>
      <c r="BP225" s="662">
        <v>0</v>
      </c>
      <c r="BQ225" s="662">
        <v>0</v>
      </c>
      <c r="BR225" s="662">
        <v>680</v>
      </c>
      <c r="BS225" s="662">
        <v>5</v>
      </c>
      <c r="BT225" s="662">
        <v>0</v>
      </c>
      <c r="BU225" s="662">
        <v>5</v>
      </c>
      <c r="BV225" s="662">
        <v>60</v>
      </c>
      <c r="BW225" s="662">
        <v>0</v>
      </c>
      <c r="BX225" s="662">
        <v>0</v>
      </c>
      <c r="BY225" s="662">
        <v>60</v>
      </c>
      <c r="BZ225" s="662">
        <v>16</v>
      </c>
      <c r="CA225" s="662">
        <v>0</v>
      </c>
      <c r="CB225" s="662">
        <v>15</v>
      </c>
      <c r="CC225" s="662">
        <v>209</v>
      </c>
      <c r="CD225" s="662">
        <v>0</v>
      </c>
      <c r="CE225" s="662">
        <v>0</v>
      </c>
      <c r="CF225" s="662">
        <v>188</v>
      </c>
      <c r="CG225" s="662">
        <v>35</v>
      </c>
      <c r="CH225" s="662">
        <v>0</v>
      </c>
      <c r="CI225" s="662">
        <v>30</v>
      </c>
      <c r="CJ225" s="662">
        <v>270</v>
      </c>
      <c r="CK225" s="662">
        <v>0</v>
      </c>
      <c r="CL225" s="662">
        <v>0</v>
      </c>
      <c r="CM225" s="662">
        <v>200</v>
      </c>
      <c r="CN225" s="662">
        <v>137</v>
      </c>
      <c r="CO225" s="662">
        <v>0</v>
      </c>
      <c r="CP225" s="662">
        <v>137</v>
      </c>
      <c r="CQ225" s="662">
        <v>282</v>
      </c>
      <c r="CR225" s="662">
        <v>0</v>
      </c>
      <c r="CS225" s="662">
        <v>0</v>
      </c>
      <c r="CT225" s="662">
        <v>282</v>
      </c>
      <c r="CU225" s="662">
        <v>60</v>
      </c>
      <c r="CV225" s="662">
        <v>0</v>
      </c>
      <c r="CW225" s="662">
        <v>35</v>
      </c>
      <c r="CX225" s="662">
        <v>615</v>
      </c>
      <c r="CY225" s="662">
        <v>0</v>
      </c>
      <c r="CZ225" s="662">
        <v>0</v>
      </c>
      <c r="DA225" s="662">
        <v>615</v>
      </c>
      <c r="DB225" s="662">
        <v>13</v>
      </c>
      <c r="DC225" s="662">
        <v>0</v>
      </c>
      <c r="DD225" s="662">
        <v>13</v>
      </c>
      <c r="DE225" s="662">
        <v>195</v>
      </c>
      <c r="DF225" s="662">
        <v>0</v>
      </c>
      <c r="DG225" s="662">
        <v>0</v>
      </c>
      <c r="DH225" s="662">
        <v>195</v>
      </c>
      <c r="DI225" s="662">
        <v>19825</v>
      </c>
      <c r="DJ225" s="662">
        <v>0</v>
      </c>
      <c r="DK225" s="662">
        <v>19575</v>
      </c>
      <c r="DL225" s="662">
        <v>295025</v>
      </c>
      <c r="DM225" s="662">
        <v>0</v>
      </c>
      <c r="DN225" s="662">
        <v>0</v>
      </c>
      <c r="DO225" s="662">
        <v>290955</v>
      </c>
      <c r="DP225" s="662">
        <v>81</v>
      </c>
      <c r="DQ225" s="662">
        <v>0</v>
      </c>
      <c r="DR225" s="662">
        <v>80</v>
      </c>
      <c r="DS225" s="662">
        <v>4500</v>
      </c>
      <c r="DT225" s="662">
        <v>0</v>
      </c>
      <c r="DU225" s="662">
        <v>0</v>
      </c>
      <c r="DV225" s="662">
        <v>4489</v>
      </c>
      <c r="DW225" s="662">
        <v>187</v>
      </c>
      <c r="DX225" s="662">
        <v>0</v>
      </c>
      <c r="DY225" s="662">
        <v>174</v>
      </c>
      <c r="DZ225" s="662">
        <v>9724</v>
      </c>
      <c r="EA225" s="662">
        <v>0</v>
      </c>
      <c r="EB225" s="662">
        <v>0</v>
      </c>
      <c r="EC225" s="662">
        <v>9565</v>
      </c>
      <c r="ED225" s="662">
        <v>31618</v>
      </c>
      <c r="EE225" s="662">
        <v>0</v>
      </c>
      <c r="EF225" s="662">
        <v>30912</v>
      </c>
      <c r="EG225" s="662">
        <v>496290</v>
      </c>
      <c r="EH225" s="662">
        <v>0</v>
      </c>
      <c r="EI225" s="662">
        <v>0</v>
      </c>
      <c r="EJ225" s="662">
        <v>457845</v>
      </c>
      <c r="EK225" s="662">
        <v>1023</v>
      </c>
      <c r="EL225" s="662">
        <v>0</v>
      </c>
      <c r="EM225" s="662">
        <v>1011</v>
      </c>
      <c r="EN225" s="662">
        <v>7946</v>
      </c>
      <c r="EO225" s="662">
        <v>0</v>
      </c>
      <c r="EP225" s="662">
        <v>0</v>
      </c>
      <c r="EQ225" s="662">
        <v>7850</v>
      </c>
    </row>
    <row r="226" spans="1:148" ht="13.95" customHeight="1" x14ac:dyDescent="0.3">
      <c r="A226" s="660" t="s">
        <v>1882</v>
      </c>
      <c r="B226" s="661" t="s">
        <v>269</v>
      </c>
      <c r="C226" s="662">
        <v>86725</v>
      </c>
      <c r="D226" s="662">
        <v>0</v>
      </c>
      <c r="E226" s="662">
        <v>79351</v>
      </c>
      <c r="F226" s="662">
        <v>1069810</v>
      </c>
      <c r="G226" s="662">
        <v>0</v>
      </c>
      <c r="H226" s="662">
        <v>0</v>
      </c>
      <c r="I226" s="662">
        <v>985254</v>
      </c>
      <c r="J226" s="802">
        <v>24557</v>
      </c>
      <c r="K226" s="662">
        <v>0</v>
      </c>
      <c r="L226" s="662">
        <v>23122</v>
      </c>
      <c r="M226" s="662">
        <v>404065</v>
      </c>
      <c r="N226" s="662">
        <v>0</v>
      </c>
      <c r="O226" s="662">
        <v>0</v>
      </c>
      <c r="P226" s="662">
        <v>341205</v>
      </c>
      <c r="Q226" s="802">
        <v>2</v>
      </c>
      <c r="R226" s="662">
        <v>2</v>
      </c>
      <c r="S226" s="662">
        <v>36</v>
      </c>
      <c r="T226" s="662">
        <v>0</v>
      </c>
      <c r="U226" s="662">
        <v>0</v>
      </c>
      <c r="V226" s="662">
        <v>36</v>
      </c>
      <c r="W226" s="802">
        <v>27</v>
      </c>
      <c r="X226" s="662">
        <v>0</v>
      </c>
      <c r="Y226" s="662">
        <v>25</v>
      </c>
      <c r="Z226" s="662">
        <v>197</v>
      </c>
      <c r="AA226" s="662">
        <v>0</v>
      </c>
      <c r="AB226" s="662">
        <v>0</v>
      </c>
      <c r="AC226" s="662">
        <v>194</v>
      </c>
      <c r="AD226" s="802">
        <v>259</v>
      </c>
      <c r="AE226" s="662">
        <v>0</v>
      </c>
      <c r="AF226" s="662">
        <v>69</v>
      </c>
      <c r="AG226" s="662">
        <v>560</v>
      </c>
      <c r="AH226" s="662">
        <v>0</v>
      </c>
      <c r="AI226" s="662">
        <v>0</v>
      </c>
      <c r="AJ226" s="662">
        <v>558</v>
      </c>
      <c r="AK226" s="802">
        <v>4</v>
      </c>
      <c r="AL226" s="662">
        <v>1</v>
      </c>
      <c r="AM226" s="662">
        <v>2</v>
      </c>
      <c r="AN226" s="662">
        <v>0</v>
      </c>
      <c r="AO226" s="662">
        <v>0</v>
      </c>
      <c r="AP226" s="662">
        <v>2</v>
      </c>
      <c r="AQ226" s="802">
        <v>540</v>
      </c>
      <c r="AR226" s="662">
        <v>0</v>
      </c>
      <c r="AS226" s="662">
        <v>540</v>
      </c>
      <c r="AT226" s="662">
        <v>4162</v>
      </c>
      <c r="AU226" s="662">
        <v>0</v>
      </c>
      <c r="AV226" s="662">
        <v>0</v>
      </c>
      <c r="AW226" s="662">
        <v>4111</v>
      </c>
      <c r="AX226" s="662">
        <v>11</v>
      </c>
      <c r="AY226" s="662">
        <v>0</v>
      </c>
      <c r="AZ226" s="662">
        <v>9</v>
      </c>
      <c r="BA226" s="662">
        <v>83</v>
      </c>
      <c r="BB226" s="662">
        <v>0</v>
      </c>
      <c r="BC226" s="662">
        <v>0</v>
      </c>
      <c r="BD226" s="662">
        <v>74</v>
      </c>
      <c r="BE226" s="802">
        <v>141</v>
      </c>
      <c r="BF226" s="662">
        <v>0</v>
      </c>
      <c r="BG226" s="662">
        <v>77</v>
      </c>
      <c r="BH226" s="662">
        <v>1541</v>
      </c>
      <c r="BI226" s="662">
        <v>0</v>
      </c>
      <c r="BJ226" s="662">
        <v>0</v>
      </c>
      <c r="BK226" s="662">
        <v>1541</v>
      </c>
      <c r="BL226" s="662">
        <v>468</v>
      </c>
      <c r="BM226" s="662">
        <v>0</v>
      </c>
      <c r="BN226" s="662">
        <v>270</v>
      </c>
      <c r="BO226" s="662">
        <v>4273</v>
      </c>
      <c r="BP226" s="662">
        <v>0</v>
      </c>
      <c r="BQ226" s="662">
        <v>0</v>
      </c>
      <c r="BR226" s="662">
        <v>3871</v>
      </c>
      <c r="BS226" s="662">
        <v>144</v>
      </c>
      <c r="BT226" s="662">
        <v>0</v>
      </c>
      <c r="BU226" s="662">
        <v>114</v>
      </c>
      <c r="BV226" s="662">
        <v>2604</v>
      </c>
      <c r="BW226" s="662">
        <v>0</v>
      </c>
      <c r="BX226" s="662">
        <v>0</v>
      </c>
      <c r="BY226" s="662">
        <v>2604</v>
      </c>
      <c r="BZ226" s="662">
        <v>21</v>
      </c>
      <c r="CA226" s="662">
        <v>0</v>
      </c>
      <c r="CB226" s="662">
        <v>20</v>
      </c>
      <c r="CC226" s="662">
        <v>240</v>
      </c>
      <c r="CD226" s="662">
        <v>0</v>
      </c>
      <c r="CE226" s="662">
        <v>0</v>
      </c>
      <c r="CF226" s="662">
        <v>230</v>
      </c>
      <c r="CG226" s="662">
        <v>24578</v>
      </c>
      <c r="CH226" s="662">
        <v>0</v>
      </c>
      <c r="CI226" s="662">
        <v>21962</v>
      </c>
      <c r="CJ226" s="662">
        <v>323750</v>
      </c>
      <c r="CK226" s="662">
        <v>0</v>
      </c>
      <c r="CL226" s="662">
        <v>0</v>
      </c>
      <c r="CM226" s="662">
        <v>312050</v>
      </c>
      <c r="CN226" s="662">
        <v>132</v>
      </c>
      <c r="CO226" s="662">
        <v>0</v>
      </c>
      <c r="CP226" s="662">
        <v>132</v>
      </c>
      <c r="CQ226" s="662">
        <v>1100</v>
      </c>
      <c r="CR226" s="662">
        <v>0</v>
      </c>
      <c r="CS226" s="662">
        <v>0</v>
      </c>
      <c r="CT226" s="662">
        <v>1080</v>
      </c>
      <c r="CU226" s="662">
        <v>75</v>
      </c>
      <c r="CV226" s="662">
        <v>0</v>
      </c>
      <c r="CW226" s="662">
        <v>75</v>
      </c>
      <c r="CX226" s="662">
        <v>2250</v>
      </c>
      <c r="CY226" s="662">
        <v>0</v>
      </c>
      <c r="CZ226" s="662">
        <v>0</v>
      </c>
      <c r="DA226" s="662">
        <v>2250</v>
      </c>
      <c r="DB226" s="662">
        <v>21452</v>
      </c>
      <c r="DC226" s="662">
        <v>0</v>
      </c>
      <c r="DD226" s="662">
        <v>20624</v>
      </c>
      <c r="DE226" s="662">
        <v>269964</v>
      </c>
      <c r="DF226" s="662">
        <v>0</v>
      </c>
      <c r="DG226" s="662">
        <v>0</v>
      </c>
      <c r="DH226" s="662">
        <v>262535</v>
      </c>
      <c r="DI226" s="662">
        <v>10</v>
      </c>
      <c r="DJ226" s="662">
        <v>0</v>
      </c>
      <c r="DK226" s="662">
        <v>10</v>
      </c>
      <c r="DL226" s="662">
        <v>200</v>
      </c>
      <c r="DM226" s="662">
        <v>0</v>
      </c>
      <c r="DN226" s="662">
        <v>0</v>
      </c>
      <c r="DO226" s="662">
        <v>190</v>
      </c>
      <c r="DP226" s="662">
        <v>45</v>
      </c>
      <c r="DQ226" s="662">
        <v>0</v>
      </c>
      <c r="DR226" s="662">
        <v>44</v>
      </c>
      <c r="DS226" s="662">
        <v>765</v>
      </c>
      <c r="DT226" s="662">
        <v>0</v>
      </c>
      <c r="DU226" s="662">
        <v>0</v>
      </c>
      <c r="DV226" s="662">
        <v>762</v>
      </c>
      <c r="DW226" s="662">
        <v>304</v>
      </c>
      <c r="DX226" s="662">
        <v>0</v>
      </c>
      <c r="DY226" s="662">
        <v>304</v>
      </c>
      <c r="DZ226" s="662">
        <v>6587</v>
      </c>
      <c r="EA226" s="662">
        <v>0</v>
      </c>
      <c r="EB226" s="662">
        <v>0</v>
      </c>
      <c r="EC226" s="662">
        <v>6437</v>
      </c>
      <c r="ED226" s="662">
        <v>13808</v>
      </c>
      <c r="EE226" s="662">
        <v>0</v>
      </c>
      <c r="EF226" s="662">
        <v>11804</v>
      </c>
      <c r="EG226" s="662">
        <v>43360</v>
      </c>
      <c r="EH226" s="662">
        <v>0</v>
      </c>
      <c r="EI226" s="662">
        <v>0</v>
      </c>
      <c r="EJ226" s="662">
        <v>41824</v>
      </c>
      <c r="EK226" s="662">
        <v>147</v>
      </c>
      <c r="EL226" s="662">
        <v>0</v>
      </c>
      <c r="EM226" s="662">
        <v>147</v>
      </c>
      <c r="EN226" s="662">
        <v>4071</v>
      </c>
      <c r="EO226" s="662">
        <v>0</v>
      </c>
      <c r="EP226" s="662">
        <v>0</v>
      </c>
      <c r="EQ226" s="662">
        <v>3700</v>
      </c>
    </row>
    <row r="227" spans="1:148" ht="13.95" customHeight="1" x14ac:dyDescent="0.3">
      <c r="A227" s="660" t="s">
        <v>1883</v>
      </c>
      <c r="B227" s="661" t="s">
        <v>269</v>
      </c>
      <c r="C227" s="662">
        <v>0</v>
      </c>
      <c r="D227" s="662">
        <v>0</v>
      </c>
      <c r="E227" s="662">
        <v>0</v>
      </c>
      <c r="F227" s="662">
        <v>0</v>
      </c>
      <c r="G227" s="662">
        <v>0</v>
      </c>
      <c r="H227" s="662">
        <v>0</v>
      </c>
      <c r="I227" s="662">
        <v>0</v>
      </c>
      <c r="J227" s="802">
        <v>0</v>
      </c>
      <c r="K227" s="662">
        <v>0</v>
      </c>
      <c r="L227" s="662">
        <v>0</v>
      </c>
      <c r="M227" s="662">
        <v>0</v>
      </c>
      <c r="N227" s="662">
        <v>0</v>
      </c>
      <c r="O227" s="662">
        <v>0</v>
      </c>
      <c r="P227" s="662">
        <v>0</v>
      </c>
      <c r="Q227" s="802">
        <v>0</v>
      </c>
      <c r="R227" s="662">
        <v>0</v>
      </c>
      <c r="S227" s="662">
        <v>0</v>
      </c>
      <c r="T227" s="662">
        <v>0</v>
      </c>
      <c r="U227" s="662">
        <v>0</v>
      </c>
      <c r="V227" s="662">
        <v>0</v>
      </c>
      <c r="W227" s="802">
        <v>0</v>
      </c>
      <c r="X227" s="662">
        <v>0</v>
      </c>
      <c r="Y227" s="662">
        <v>0</v>
      </c>
      <c r="Z227" s="662">
        <v>0</v>
      </c>
      <c r="AA227" s="662">
        <v>0</v>
      </c>
      <c r="AB227" s="662">
        <v>0</v>
      </c>
      <c r="AC227" s="662">
        <v>0</v>
      </c>
      <c r="AD227" s="802">
        <v>0</v>
      </c>
      <c r="AE227" s="662">
        <v>0</v>
      </c>
      <c r="AF227" s="662">
        <v>0</v>
      </c>
      <c r="AG227" s="662">
        <v>0</v>
      </c>
      <c r="AH227" s="662">
        <v>0</v>
      </c>
      <c r="AI227" s="662">
        <v>0</v>
      </c>
      <c r="AJ227" s="662">
        <v>0</v>
      </c>
      <c r="AK227" s="802">
        <v>0</v>
      </c>
      <c r="AL227" s="662">
        <v>0</v>
      </c>
      <c r="AM227" s="662">
        <v>0</v>
      </c>
      <c r="AN227" s="662">
        <v>0</v>
      </c>
      <c r="AO227" s="662">
        <v>0</v>
      </c>
      <c r="AP227" s="662">
        <v>0</v>
      </c>
      <c r="AQ227" s="802">
        <v>0</v>
      </c>
      <c r="AR227" s="662">
        <v>0</v>
      </c>
      <c r="AS227" s="662">
        <v>0</v>
      </c>
      <c r="AT227" s="662">
        <v>0</v>
      </c>
      <c r="AU227" s="662">
        <v>0</v>
      </c>
      <c r="AV227" s="662">
        <v>0</v>
      </c>
      <c r="AW227" s="662">
        <v>0</v>
      </c>
      <c r="AX227" s="662">
        <v>0</v>
      </c>
      <c r="AY227" s="662">
        <v>0</v>
      </c>
      <c r="AZ227" s="662">
        <v>0</v>
      </c>
      <c r="BA227" s="662">
        <v>0</v>
      </c>
      <c r="BB227" s="662">
        <v>0</v>
      </c>
      <c r="BC227" s="662">
        <v>0</v>
      </c>
      <c r="BD227" s="662">
        <v>0</v>
      </c>
      <c r="BE227" s="802">
        <v>0</v>
      </c>
      <c r="BF227" s="662">
        <v>0</v>
      </c>
      <c r="BG227" s="662">
        <v>0</v>
      </c>
      <c r="BH227" s="662">
        <v>0</v>
      </c>
      <c r="BI227" s="662">
        <v>0</v>
      </c>
      <c r="BJ227" s="662">
        <v>0</v>
      </c>
      <c r="BK227" s="662">
        <v>0</v>
      </c>
      <c r="BL227" s="662">
        <v>0</v>
      </c>
      <c r="BM227" s="662">
        <v>0</v>
      </c>
      <c r="BN227" s="662">
        <v>0</v>
      </c>
      <c r="BO227" s="662">
        <v>0</v>
      </c>
      <c r="BP227" s="662">
        <v>0</v>
      </c>
      <c r="BQ227" s="662">
        <v>0</v>
      </c>
      <c r="BR227" s="662">
        <v>0</v>
      </c>
      <c r="BS227" s="662">
        <v>0</v>
      </c>
      <c r="BT227" s="662">
        <v>0</v>
      </c>
      <c r="BU227" s="662">
        <v>0</v>
      </c>
      <c r="BV227" s="662">
        <v>0</v>
      </c>
      <c r="BW227" s="662">
        <v>0</v>
      </c>
      <c r="BX227" s="662">
        <v>0</v>
      </c>
      <c r="BY227" s="662">
        <v>0</v>
      </c>
      <c r="BZ227" s="662">
        <v>0</v>
      </c>
      <c r="CA227" s="662">
        <v>0</v>
      </c>
      <c r="CB227" s="662">
        <v>0</v>
      </c>
      <c r="CC227" s="662">
        <v>0</v>
      </c>
      <c r="CD227" s="662">
        <v>0</v>
      </c>
      <c r="CE227" s="662">
        <v>0</v>
      </c>
      <c r="CF227" s="662">
        <v>0</v>
      </c>
      <c r="CG227" s="662">
        <v>0</v>
      </c>
      <c r="CH227" s="662">
        <v>0</v>
      </c>
      <c r="CI227" s="662">
        <v>0</v>
      </c>
      <c r="CJ227" s="662">
        <v>0</v>
      </c>
      <c r="CK227" s="662">
        <v>0</v>
      </c>
      <c r="CL227" s="662">
        <v>0</v>
      </c>
      <c r="CM227" s="662">
        <v>0</v>
      </c>
      <c r="CN227" s="662">
        <v>0</v>
      </c>
      <c r="CO227" s="662">
        <v>0</v>
      </c>
      <c r="CP227" s="662">
        <v>0</v>
      </c>
      <c r="CQ227" s="662">
        <v>0</v>
      </c>
      <c r="CR227" s="662">
        <v>0</v>
      </c>
      <c r="CS227" s="662">
        <v>0</v>
      </c>
      <c r="CT227" s="662">
        <v>0</v>
      </c>
      <c r="CU227" s="662">
        <v>0</v>
      </c>
      <c r="CV227" s="662">
        <v>0</v>
      </c>
      <c r="CW227" s="662">
        <v>0</v>
      </c>
      <c r="CX227" s="662">
        <v>0</v>
      </c>
      <c r="CY227" s="662">
        <v>0</v>
      </c>
      <c r="CZ227" s="662">
        <v>0</v>
      </c>
      <c r="DA227" s="662">
        <v>0</v>
      </c>
      <c r="DB227" s="662">
        <v>0</v>
      </c>
      <c r="DC227" s="662">
        <v>0</v>
      </c>
      <c r="DD227" s="662">
        <v>0</v>
      </c>
      <c r="DE227" s="662">
        <v>0</v>
      </c>
      <c r="DF227" s="662">
        <v>0</v>
      </c>
      <c r="DG227" s="662">
        <v>0</v>
      </c>
      <c r="DH227" s="662">
        <v>0</v>
      </c>
      <c r="DI227" s="662">
        <v>0</v>
      </c>
      <c r="DJ227" s="662">
        <v>0</v>
      </c>
      <c r="DK227" s="662">
        <v>0</v>
      </c>
      <c r="DL227" s="662">
        <v>0</v>
      </c>
      <c r="DM227" s="662">
        <v>0</v>
      </c>
      <c r="DN227" s="662">
        <v>0</v>
      </c>
      <c r="DO227" s="662">
        <v>0</v>
      </c>
      <c r="DP227" s="662">
        <v>0</v>
      </c>
      <c r="DQ227" s="662">
        <v>0</v>
      </c>
      <c r="DR227" s="662">
        <v>0</v>
      </c>
      <c r="DS227" s="662">
        <v>0</v>
      </c>
      <c r="DT227" s="662">
        <v>0</v>
      </c>
      <c r="DU227" s="662">
        <v>0</v>
      </c>
      <c r="DV227" s="662">
        <v>0</v>
      </c>
      <c r="DW227" s="662">
        <v>0</v>
      </c>
      <c r="DX227" s="662">
        <v>0</v>
      </c>
      <c r="DY227" s="662">
        <v>0</v>
      </c>
      <c r="DZ227" s="662">
        <v>0</v>
      </c>
      <c r="EA227" s="662">
        <v>0</v>
      </c>
      <c r="EB227" s="662">
        <v>0</v>
      </c>
      <c r="EC227" s="662">
        <v>0</v>
      </c>
      <c r="ED227" s="662">
        <v>0</v>
      </c>
      <c r="EE227" s="662">
        <v>0</v>
      </c>
      <c r="EF227" s="662">
        <v>0</v>
      </c>
      <c r="EG227" s="662">
        <v>0</v>
      </c>
      <c r="EH227" s="662">
        <v>0</v>
      </c>
      <c r="EI227" s="662">
        <v>0</v>
      </c>
      <c r="EJ227" s="662">
        <v>0</v>
      </c>
      <c r="EK227" s="662">
        <v>0</v>
      </c>
      <c r="EL227" s="662">
        <v>0</v>
      </c>
      <c r="EM227" s="662">
        <v>0</v>
      </c>
      <c r="EN227" s="662">
        <v>0</v>
      </c>
      <c r="EO227" s="662">
        <v>0</v>
      </c>
      <c r="EP227" s="662">
        <v>0</v>
      </c>
      <c r="EQ227" s="662">
        <v>0</v>
      </c>
    </row>
    <row r="228" spans="1:148" ht="13.95" customHeight="1" x14ac:dyDescent="0.3">
      <c r="A228" s="660" t="s">
        <v>1884</v>
      </c>
      <c r="B228" s="661" t="s">
        <v>269</v>
      </c>
      <c r="C228" s="662">
        <v>0</v>
      </c>
      <c r="D228" s="662">
        <v>0</v>
      </c>
      <c r="E228" s="662">
        <v>0</v>
      </c>
      <c r="F228" s="662">
        <v>0</v>
      </c>
      <c r="G228" s="662">
        <v>0</v>
      </c>
      <c r="H228" s="662">
        <v>0</v>
      </c>
      <c r="I228" s="662">
        <v>0</v>
      </c>
      <c r="J228" s="802">
        <v>0</v>
      </c>
      <c r="K228" s="662">
        <v>0</v>
      </c>
      <c r="L228" s="662">
        <v>0</v>
      </c>
      <c r="M228" s="662">
        <v>0</v>
      </c>
      <c r="N228" s="662">
        <v>0</v>
      </c>
      <c r="O228" s="662">
        <v>0</v>
      </c>
      <c r="P228" s="662">
        <v>0</v>
      </c>
      <c r="Q228" s="802">
        <v>0</v>
      </c>
      <c r="R228" s="662">
        <v>0</v>
      </c>
      <c r="S228" s="662">
        <v>0</v>
      </c>
      <c r="T228" s="662">
        <v>0</v>
      </c>
      <c r="U228" s="662">
        <v>0</v>
      </c>
      <c r="V228" s="662">
        <v>0</v>
      </c>
      <c r="W228" s="802">
        <v>0</v>
      </c>
      <c r="X228" s="662">
        <v>0</v>
      </c>
      <c r="Y228" s="662">
        <v>0</v>
      </c>
      <c r="Z228" s="662">
        <v>0</v>
      </c>
      <c r="AA228" s="662">
        <v>0</v>
      </c>
      <c r="AB228" s="662">
        <v>0</v>
      </c>
      <c r="AC228" s="662">
        <v>0</v>
      </c>
      <c r="AD228" s="802">
        <v>0</v>
      </c>
      <c r="AE228" s="662">
        <v>0</v>
      </c>
      <c r="AF228" s="662">
        <v>0</v>
      </c>
      <c r="AG228" s="662">
        <v>0</v>
      </c>
      <c r="AH228" s="662">
        <v>0</v>
      </c>
      <c r="AI228" s="662">
        <v>0</v>
      </c>
      <c r="AJ228" s="662">
        <v>0</v>
      </c>
      <c r="AK228" s="802">
        <v>0</v>
      </c>
      <c r="AL228" s="662">
        <v>0</v>
      </c>
      <c r="AM228" s="662">
        <v>0</v>
      </c>
      <c r="AN228" s="662">
        <v>0</v>
      </c>
      <c r="AO228" s="662">
        <v>0</v>
      </c>
      <c r="AP228" s="662">
        <v>0</v>
      </c>
      <c r="AQ228" s="802">
        <v>0</v>
      </c>
      <c r="AR228" s="662">
        <v>0</v>
      </c>
      <c r="AS228" s="662">
        <v>0</v>
      </c>
      <c r="AT228" s="662">
        <v>0</v>
      </c>
      <c r="AU228" s="662">
        <v>0</v>
      </c>
      <c r="AV228" s="662">
        <v>0</v>
      </c>
      <c r="AW228" s="662">
        <v>0</v>
      </c>
      <c r="AX228" s="662">
        <v>0</v>
      </c>
      <c r="AY228" s="662">
        <v>0</v>
      </c>
      <c r="AZ228" s="662">
        <v>0</v>
      </c>
      <c r="BA228" s="662">
        <v>0</v>
      </c>
      <c r="BB228" s="662">
        <v>0</v>
      </c>
      <c r="BC228" s="662">
        <v>0</v>
      </c>
      <c r="BD228" s="662">
        <v>0</v>
      </c>
      <c r="BE228" s="802">
        <v>0</v>
      </c>
      <c r="BF228" s="662">
        <v>0</v>
      </c>
      <c r="BG228" s="662">
        <v>0</v>
      </c>
      <c r="BH228" s="662">
        <v>0</v>
      </c>
      <c r="BI228" s="662">
        <v>0</v>
      </c>
      <c r="BJ228" s="662">
        <v>0</v>
      </c>
      <c r="BK228" s="662">
        <v>0</v>
      </c>
      <c r="BL228" s="662">
        <v>0</v>
      </c>
      <c r="BM228" s="662">
        <v>0</v>
      </c>
      <c r="BN228" s="662">
        <v>0</v>
      </c>
      <c r="BO228" s="662">
        <v>0</v>
      </c>
      <c r="BP228" s="662">
        <v>0</v>
      </c>
      <c r="BQ228" s="662">
        <v>0</v>
      </c>
      <c r="BR228" s="662">
        <v>0</v>
      </c>
      <c r="BS228" s="662">
        <v>0</v>
      </c>
      <c r="BT228" s="662">
        <v>0</v>
      </c>
      <c r="BU228" s="662">
        <v>0</v>
      </c>
      <c r="BV228" s="662">
        <v>0</v>
      </c>
      <c r="BW228" s="662">
        <v>0</v>
      </c>
      <c r="BX228" s="662">
        <v>0</v>
      </c>
      <c r="BY228" s="662">
        <v>0</v>
      </c>
      <c r="BZ228" s="662">
        <v>0</v>
      </c>
      <c r="CA228" s="662">
        <v>0</v>
      </c>
      <c r="CB228" s="662">
        <v>0</v>
      </c>
      <c r="CC228" s="662">
        <v>0</v>
      </c>
      <c r="CD228" s="662">
        <v>0</v>
      </c>
      <c r="CE228" s="662">
        <v>0</v>
      </c>
      <c r="CF228" s="662">
        <v>0</v>
      </c>
      <c r="CG228" s="662">
        <v>0</v>
      </c>
      <c r="CH228" s="662">
        <v>0</v>
      </c>
      <c r="CI228" s="662">
        <v>0</v>
      </c>
      <c r="CJ228" s="662">
        <v>0</v>
      </c>
      <c r="CK228" s="662">
        <v>0</v>
      </c>
      <c r="CL228" s="662">
        <v>0</v>
      </c>
      <c r="CM228" s="662">
        <v>0</v>
      </c>
      <c r="CN228" s="662">
        <v>0</v>
      </c>
      <c r="CO228" s="662">
        <v>0</v>
      </c>
      <c r="CP228" s="662">
        <v>0</v>
      </c>
      <c r="CQ228" s="662">
        <v>0</v>
      </c>
      <c r="CR228" s="662">
        <v>0</v>
      </c>
      <c r="CS228" s="662">
        <v>0</v>
      </c>
      <c r="CT228" s="662">
        <v>0</v>
      </c>
      <c r="CU228" s="662">
        <v>0</v>
      </c>
      <c r="CV228" s="662">
        <v>0</v>
      </c>
      <c r="CW228" s="662">
        <v>0</v>
      </c>
      <c r="CX228" s="662">
        <v>0</v>
      </c>
      <c r="CY228" s="662">
        <v>0</v>
      </c>
      <c r="CZ228" s="662">
        <v>0</v>
      </c>
      <c r="DA228" s="662">
        <v>0</v>
      </c>
      <c r="DB228" s="662">
        <v>0</v>
      </c>
      <c r="DC228" s="662">
        <v>0</v>
      </c>
      <c r="DD228" s="662">
        <v>0</v>
      </c>
      <c r="DE228" s="662">
        <v>0</v>
      </c>
      <c r="DF228" s="662">
        <v>0</v>
      </c>
      <c r="DG228" s="662">
        <v>0</v>
      </c>
      <c r="DH228" s="662">
        <v>0</v>
      </c>
      <c r="DI228" s="662">
        <v>0</v>
      </c>
      <c r="DJ228" s="662">
        <v>0</v>
      </c>
      <c r="DK228" s="662">
        <v>0</v>
      </c>
      <c r="DL228" s="662">
        <v>0</v>
      </c>
      <c r="DM228" s="662">
        <v>0</v>
      </c>
      <c r="DN228" s="662">
        <v>0</v>
      </c>
      <c r="DO228" s="662">
        <v>0</v>
      </c>
      <c r="DP228" s="662">
        <v>0</v>
      </c>
      <c r="DQ228" s="662">
        <v>0</v>
      </c>
      <c r="DR228" s="662">
        <v>0</v>
      </c>
      <c r="DS228" s="662">
        <v>0</v>
      </c>
      <c r="DT228" s="662">
        <v>0</v>
      </c>
      <c r="DU228" s="662">
        <v>0</v>
      </c>
      <c r="DV228" s="662">
        <v>0</v>
      </c>
      <c r="DW228" s="662">
        <v>0</v>
      </c>
      <c r="DX228" s="662">
        <v>0</v>
      </c>
      <c r="DY228" s="662">
        <v>0</v>
      </c>
      <c r="DZ228" s="662">
        <v>0</v>
      </c>
      <c r="EA228" s="662">
        <v>0</v>
      </c>
      <c r="EB228" s="662">
        <v>0</v>
      </c>
      <c r="EC228" s="662">
        <v>0</v>
      </c>
      <c r="ED228" s="662">
        <v>0</v>
      </c>
      <c r="EE228" s="662">
        <v>0</v>
      </c>
      <c r="EF228" s="662">
        <v>0</v>
      </c>
      <c r="EG228" s="662">
        <v>0</v>
      </c>
      <c r="EH228" s="662">
        <v>0</v>
      </c>
      <c r="EI228" s="662">
        <v>0</v>
      </c>
      <c r="EJ228" s="662">
        <v>0</v>
      </c>
      <c r="EK228" s="662">
        <v>0</v>
      </c>
      <c r="EL228" s="662">
        <v>0</v>
      </c>
      <c r="EM228" s="662">
        <v>0</v>
      </c>
      <c r="EN228" s="662">
        <v>0</v>
      </c>
      <c r="EO228" s="662">
        <v>0</v>
      </c>
      <c r="EP228" s="662">
        <v>0</v>
      </c>
      <c r="EQ228" s="662">
        <v>0</v>
      </c>
    </row>
    <row r="229" spans="1:148" ht="13.95" customHeight="1" x14ac:dyDescent="0.3">
      <c r="A229" s="660" t="s">
        <v>1885</v>
      </c>
      <c r="B229" s="661" t="s">
        <v>269</v>
      </c>
      <c r="C229" s="662">
        <v>0</v>
      </c>
      <c r="D229" s="662">
        <v>0</v>
      </c>
      <c r="E229" s="662">
        <v>0</v>
      </c>
      <c r="F229" s="662">
        <v>0</v>
      </c>
      <c r="G229" s="662">
        <v>0</v>
      </c>
      <c r="H229" s="662">
        <v>0</v>
      </c>
      <c r="I229" s="662">
        <v>0</v>
      </c>
      <c r="J229" s="802">
        <v>0</v>
      </c>
      <c r="K229" s="662">
        <v>0</v>
      </c>
      <c r="L229" s="662">
        <v>0</v>
      </c>
      <c r="M229" s="662">
        <v>0</v>
      </c>
      <c r="N229" s="662">
        <v>0</v>
      </c>
      <c r="O229" s="662">
        <v>0</v>
      </c>
      <c r="P229" s="662">
        <v>0</v>
      </c>
      <c r="Q229" s="802">
        <v>0</v>
      </c>
      <c r="R229" s="662">
        <v>0</v>
      </c>
      <c r="S229" s="662">
        <v>0</v>
      </c>
      <c r="T229" s="662">
        <v>0</v>
      </c>
      <c r="U229" s="662">
        <v>0</v>
      </c>
      <c r="V229" s="662">
        <v>0</v>
      </c>
      <c r="W229" s="802">
        <v>0</v>
      </c>
      <c r="X229" s="662">
        <v>0</v>
      </c>
      <c r="Y229" s="662">
        <v>0</v>
      </c>
      <c r="Z229" s="662">
        <v>0</v>
      </c>
      <c r="AA229" s="662">
        <v>0</v>
      </c>
      <c r="AB229" s="662">
        <v>0</v>
      </c>
      <c r="AC229" s="662">
        <v>0</v>
      </c>
      <c r="AD229" s="802">
        <v>0</v>
      </c>
      <c r="AE229" s="662">
        <v>0</v>
      </c>
      <c r="AF229" s="662">
        <v>0</v>
      </c>
      <c r="AG229" s="662">
        <v>0</v>
      </c>
      <c r="AH229" s="662">
        <v>0</v>
      </c>
      <c r="AI229" s="662">
        <v>0</v>
      </c>
      <c r="AJ229" s="662">
        <v>0</v>
      </c>
      <c r="AK229" s="802">
        <v>0</v>
      </c>
      <c r="AL229" s="662">
        <v>0</v>
      </c>
      <c r="AM229" s="662">
        <v>0</v>
      </c>
      <c r="AN229" s="662">
        <v>0</v>
      </c>
      <c r="AO229" s="662">
        <v>0</v>
      </c>
      <c r="AP229" s="662">
        <v>0</v>
      </c>
      <c r="AQ229" s="802">
        <v>0</v>
      </c>
      <c r="AR229" s="662">
        <v>0</v>
      </c>
      <c r="AS229" s="662">
        <v>0</v>
      </c>
      <c r="AT229" s="662">
        <v>0</v>
      </c>
      <c r="AU229" s="662">
        <v>0</v>
      </c>
      <c r="AV229" s="662">
        <v>0</v>
      </c>
      <c r="AW229" s="662">
        <v>0</v>
      </c>
      <c r="AX229" s="662">
        <v>0</v>
      </c>
      <c r="AY229" s="662">
        <v>0</v>
      </c>
      <c r="AZ229" s="662">
        <v>0</v>
      </c>
      <c r="BA229" s="662">
        <v>0</v>
      </c>
      <c r="BB229" s="662">
        <v>0</v>
      </c>
      <c r="BC229" s="662">
        <v>0</v>
      </c>
      <c r="BD229" s="662">
        <v>0</v>
      </c>
      <c r="BE229" s="802">
        <v>0</v>
      </c>
      <c r="BF229" s="662">
        <v>0</v>
      </c>
      <c r="BG229" s="662">
        <v>0</v>
      </c>
      <c r="BH229" s="662">
        <v>0</v>
      </c>
      <c r="BI229" s="662">
        <v>0</v>
      </c>
      <c r="BJ229" s="662">
        <v>0</v>
      </c>
      <c r="BK229" s="662">
        <v>0</v>
      </c>
      <c r="BL229" s="662">
        <v>0</v>
      </c>
      <c r="BM229" s="662">
        <v>0</v>
      </c>
      <c r="BN229" s="662">
        <v>0</v>
      </c>
      <c r="BO229" s="662">
        <v>0</v>
      </c>
      <c r="BP229" s="662">
        <v>0</v>
      </c>
      <c r="BQ229" s="662">
        <v>0</v>
      </c>
      <c r="BR229" s="662">
        <v>0</v>
      </c>
      <c r="BS229" s="662">
        <v>0</v>
      </c>
      <c r="BT229" s="662">
        <v>0</v>
      </c>
      <c r="BU229" s="662">
        <v>0</v>
      </c>
      <c r="BV229" s="662">
        <v>0</v>
      </c>
      <c r="BW229" s="662">
        <v>0</v>
      </c>
      <c r="BX229" s="662">
        <v>0</v>
      </c>
      <c r="BY229" s="662">
        <v>0</v>
      </c>
      <c r="BZ229" s="662">
        <v>0</v>
      </c>
      <c r="CA229" s="662">
        <v>0</v>
      </c>
      <c r="CB229" s="662">
        <v>0</v>
      </c>
      <c r="CC229" s="662">
        <v>0</v>
      </c>
      <c r="CD229" s="662">
        <v>0</v>
      </c>
      <c r="CE229" s="662">
        <v>0</v>
      </c>
      <c r="CF229" s="662">
        <v>0</v>
      </c>
      <c r="CG229" s="662">
        <v>0</v>
      </c>
      <c r="CH229" s="662">
        <v>0</v>
      </c>
      <c r="CI229" s="662">
        <v>0</v>
      </c>
      <c r="CJ229" s="662">
        <v>0</v>
      </c>
      <c r="CK229" s="662">
        <v>0</v>
      </c>
      <c r="CL229" s="662">
        <v>0</v>
      </c>
      <c r="CM229" s="662">
        <v>0</v>
      </c>
      <c r="CN229" s="662">
        <v>0</v>
      </c>
      <c r="CO229" s="662">
        <v>0</v>
      </c>
      <c r="CP229" s="662">
        <v>0</v>
      </c>
      <c r="CQ229" s="662">
        <v>0</v>
      </c>
      <c r="CR229" s="662">
        <v>0</v>
      </c>
      <c r="CS229" s="662">
        <v>0</v>
      </c>
      <c r="CT229" s="662">
        <v>0</v>
      </c>
      <c r="CU229" s="662">
        <v>0</v>
      </c>
      <c r="CV229" s="662">
        <v>0</v>
      </c>
      <c r="CW229" s="662">
        <v>0</v>
      </c>
      <c r="CX229" s="662">
        <v>0</v>
      </c>
      <c r="CY229" s="662">
        <v>0</v>
      </c>
      <c r="CZ229" s="662">
        <v>0</v>
      </c>
      <c r="DA229" s="662">
        <v>0</v>
      </c>
      <c r="DB229" s="662">
        <v>0</v>
      </c>
      <c r="DC229" s="662">
        <v>0</v>
      </c>
      <c r="DD229" s="662">
        <v>0</v>
      </c>
      <c r="DE229" s="662">
        <v>0</v>
      </c>
      <c r="DF229" s="662">
        <v>0</v>
      </c>
      <c r="DG229" s="662">
        <v>0</v>
      </c>
      <c r="DH229" s="662">
        <v>0</v>
      </c>
      <c r="DI229" s="662">
        <v>0</v>
      </c>
      <c r="DJ229" s="662">
        <v>0</v>
      </c>
      <c r="DK229" s="662">
        <v>0</v>
      </c>
      <c r="DL229" s="662">
        <v>0</v>
      </c>
      <c r="DM229" s="662">
        <v>0</v>
      </c>
      <c r="DN229" s="662">
        <v>0</v>
      </c>
      <c r="DO229" s="662">
        <v>0</v>
      </c>
      <c r="DP229" s="662">
        <v>0</v>
      </c>
      <c r="DQ229" s="662">
        <v>0</v>
      </c>
      <c r="DR229" s="662">
        <v>0</v>
      </c>
      <c r="DS229" s="662">
        <v>0</v>
      </c>
      <c r="DT229" s="662">
        <v>0</v>
      </c>
      <c r="DU229" s="662">
        <v>0</v>
      </c>
      <c r="DV229" s="662">
        <v>0</v>
      </c>
      <c r="DW229" s="662">
        <v>0</v>
      </c>
      <c r="DX229" s="662">
        <v>0</v>
      </c>
      <c r="DY229" s="662">
        <v>0</v>
      </c>
      <c r="DZ229" s="662">
        <v>0</v>
      </c>
      <c r="EA229" s="662">
        <v>0</v>
      </c>
      <c r="EB229" s="662">
        <v>0</v>
      </c>
      <c r="EC229" s="662">
        <v>0</v>
      </c>
      <c r="ED229" s="662">
        <v>0</v>
      </c>
      <c r="EE229" s="662">
        <v>0</v>
      </c>
      <c r="EF229" s="662">
        <v>0</v>
      </c>
      <c r="EG229" s="662">
        <v>0</v>
      </c>
      <c r="EH229" s="662">
        <v>0</v>
      </c>
      <c r="EI229" s="662">
        <v>0</v>
      </c>
      <c r="EJ229" s="662">
        <v>0</v>
      </c>
      <c r="EK229" s="662">
        <v>0</v>
      </c>
      <c r="EL229" s="662">
        <v>0</v>
      </c>
      <c r="EM229" s="662">
        <v>0</v>
      </c>
      <c r="EN229" s="662">
        <v>0</v>
      </c>
      <c r="EO229" s="662">
        <v>0</v>
      </c>
      <c r="EP229" s="662">
        <v>0</v>
      </c>
      <c r="EQ229" s="662">
        <v>0</v>
      </c>
    </row>
    <row r="230" spans="1:148" ht="13.95" customHeight="1" x14ac:dyDescent="0.3">
      <c r="A230" s="660" t="s">
        <v>1886</v>
      </c>
      <c r="B230" s="661" t="s">
        <v>269</v>
      </c>
      <c r="C230" s="662">
        <v>3922</v>
      </c>
      <c r="D230" s="662">
        <v>0</v>
      </c>
      <c r="E230" s="662">
        <v>3844</v>
      </c>
      <c r="F230" s="662">
        <v>38740</v>
      </c>
      <c r="G230" s="662">
        <v>0</v>
      </c>
      <c r="H230" s="662">
        <v>0</v>
      </c>
      <c r="I230" s="662">
        <v>38519</v>
      </c>
      <c r="J230" s="802">
        <v>0</v>
      </c>
      <c r="K230" s="662">
        <v>0</v>
      </c>
      <c r="L230" s="662">
        <v>0</v>
      </c>
      <c r="M230" s="662">
        <v>0</v>
      </c>
      <c r="N230" s="662">
        <v>0</v>
      </c>
      <c r="O230" s="662">
        <v>0</v>
      </c>
      <c r="P230" s="662">
        <v>0</v>
      </c>
      <c r="Q230" s="802">
        <v>0</v>
      </c>
      <c r="R230" s="662">
        <v>0</v>
      </c>
      <c r="S230" s="662">
        <v>0</v>
      </c>
      <c r="T230" s="662">
        <v>0</v>
      </c>
      <c r="U230" s="662">
        <v>0</v>
      </c>
      <c r="V230" s="662">
        <v>0</v>
      </c>
      <c r="W230" s="802">
        <v>0</v>
      </c>
      <c r="X230" s="662">
        <v>0</v>
      </c>
      <c r="Y230" s="662">
        <v>0</v>
      </c>
      <c r="Z230" s="662">
        <v>0</v>
      </c>
      <c r="AA230" s="662">
        <v>0</v>
      </c>
      <c r="AB230" s="662">
        <v>0</v>
      </c>
      <c r="AC230" s="662">
        <v>0</v>
      </c>
      <c r="AD230" s="802">
        <v>0</v>
      </c>
      <c r="AE230" s="662">
        <v>0</v>
      </c>
      <c r="AF230" s="662">
        <v>0</v>
      </c>
      <c r="AG230" s="662">
        <v>0</v>
      </c>
      <c r="AH230" s="662">
        <v>0</v>
      </c>
      <c r="AI230" s="662">
        <v>0</v>
      </c>
      <c r="AJ230" s="662">
        <v>0</v>
      </c>
      <c r="AK230" s="802">
        <v>0</v>
      </c>
      <c r="AL230" s="662">
        <v>0</v>
      </c>
      <c r="AM230" s="662">
        <v>0</v>
      </c>
      <c r="AN230" s="662">
        <v>0</v>
      </c>
      <c r="AO230" s="662">
        <v>0</v>
      </c>
      <c r="AP230" s="662">
        <v>0</v>
      </c>
      <c r="AQ230" s="802">
        <v>0</v>
      </c>
      <c r="AR230" s="662">
        <v>0</v>
      </c>
      <c r="AS230" s="662">
        <v>0</v>
      </c>
      <c r="AT230" s="662">
        <v>0</v>
      </c>
      <c r="AU230" s="662">
        <v>0</v>
      </c>
      <c r="AV230" s="662">
        <v>0</v>
      </c>
      <c r="AW230" s="662">
        <v>0</v>
      </c>
      <c r="AX230" s="662">
        <v>0</v>
      </c>
      <c r="AY230" s="662">
        <v>0</v>
      </c>
      <c r="AZ230" s="662">
        <v>0</v>
      </c>
      <c r="BA230" s="662">
        <v>0</v>
      </c>
      <c r="BB230" s="662">
        <v>0</v>
      </c>
      <c r="BC230" s="662">
        <v>0</v>
      </c>
      <c r="BD230" s="662">
        <v>0</v>
      </c>
      <c r="BE230" s="802">
        <v>0</v>
      </c>
      <c r="BF230" s="662">
        <v>0</v>
      </c>
      <c r="BG230" s="662">
        <v>0</v>
      </c>
      <c r="BH230" s="662">
        <v>0</v>
      </c>
      <c r="BI230" s="662">
        <v>0</v>
      </c>
      <c r="BJ230" s="662">
        <v>0</v>
      </c>
      <c r="BK230" s="662">
        <v>0</v>
      </c>
      <c r="BL230" s="662">
        <v>0</v>
      </c>
      <c r="BM230" s="662">
        <v>0</v>
      </c>
      <c r="BN230" s="662">
        <v>0</v>
      </c>
      <c r="BO230" s="662">
        <v>0</v>
      </c>
      <c r="BP230" s="662">
        <v>0</v>
      </c>
      <c r="BQ230" s="662">
        <v>0</v>
      </c>
      <c r="BR230" s="662">
        <v>0</v>
      </c>
      <c r="BS230" s="662">
        <v>0</v>
      </c>
      <c r="BT230" s="662">
        <v>0</v>
      </c>
      <c r="BU230" s="662">
        <v>0</v>
      </c>
      <c r="BV230" s="662">
        <v>0</v>
      </c>
      <c r="BW230" s="662">
        <v>0</v>
      </c>
      <c r="BX230" s="662">
        <v>0</v>
      </c>
      <c r="BY230" s="662">
        <v>0</v>
      </c>
      <c r="BZ230" s="662">
        <v>0</v>
      </c>
      <c r="CA230" s="662">
        <v>0</v>
      </c>
      <c r="CB230" s="662">
        <v>0</v>
      </c>
      <c r="CC230" s="662">
        <v>0</v>
      </c>
      <c r="CD230" s="662">
        <v>0</v>
      </c>
      <c r="CE230" s="662">
        <v>0</v>
      </c>
      <c r="CF230" s="662">
        <v>0</v>
      </c>
      <c r="CG230" s="662">
        <v>0</v>
      </c>
      <c r="CH230" s="662">
        <v>0</v>
      </c>
      <c r="CI230" s="662">
        <v>0</v>
      </c>
      <c r="CJ230" s="662">
        <v>0</v>
      </c>
      <c r="CK230" s="662">
        <v>0</v>
      </c>
      <c r="CL230" s="662">
        <v>0</v>
      </c>
      <c r="CM230" s="662">
        <v>0</v>
      </c>
      <c r="CN230" s="662">
        <v>0</v>
      </c>
      <c r="CO230" s="662">
        <v>0</v>
      </c>
      <c r="CP230" s="662">
        <v>0</v>
      </c>
      <c r="CQ230" s="662">
        <v>0</v>
      </c>
      <c r="CR230" s="662">
        <v>0</v>
      </c>
      <c r="CS230" s="662">
        <v>0</v>
      </c>
      <c r="CT230" s="662">
        <v>0</v>
      </c>
      <c r="CU230" s="662">
        <v>0</v>
      </c>
      <c r="CV230" s="662">
        <v>0</v>
      </c>
      <c r="CW230" s="662">
        <v>0</v>
      </c>
      <c r="CX230" s="662">
        <v>0</v>
      </c>
      <c r="CY230" s="662">
        <v>0</v>
      </c>
      <c r="CZ230" s="662">
        <v>0</v>
      </c>
      <c r="DA230" s="662">
        <v>0</v>
      </c>
      <c r="DB230" s="662">
        <v>35</v>
      </c>
      <c r="DC230" s="662">
        <v>0</v>
      </c>
      <c r="DD230" s="662">
        <v>1</v>
      </c>
      <c r="DE230" s="662">
        <v>2</v>
      </c>
      <c r="DF230" s="662">
        <v>0</v>
      </c>
      <c r="DG230" s="662">
        <v>0</v>
      </c>
      <c r="DH230" s="662">
        <v>0</v>
      </c>
      <c r="DI230" s="662">
        <v>1</v>
      </c>
      <c r="DJ230" s="662">
        <v>0</v>
      </c>
      <c r="DK230" s="662">
        <v>1</v>
      </c>
      <c r="DL230" s="662">
        <v>16</v>
      </c>
      <c r="DM230" s="662">
        <v>0</v>
      </c>
      <c r="DN230" s="662">
        <v>0</v>
      </c>
      <c r="DO230" s="662">
        <v>14</v>
      </c>
      <c r="DP230" s="662">
        <v>5</v>
      </c>
      <c r="DQ230" s="662">
        <v>0</v>
      </c>
      <c r="DR230" s="662">
        <v>5</v>
      </c>
      <c r="DS230" s="662">
        <v>56</v>
      </c>
      <c r="DT230" s="662">
        <v>0</v>
      </c>
      <c r="DU230" s="662">
        <v>0</v>
      </c>
      <c r="DV230" s="662">
        <v>53</v>
      </c>
      <c r="DW230" s="662">
        <v>0</v>
      </c>
      <c r="DX230" s="662">
        <v>0</v>
      </c>
      <c r="DY230" s="662">
        <v>0</v>
      </c>
      <c r="DZ230" s="662">
        <v>0</v>
      </c>
      <c r="EA230" s="662">
        <v>0</v>
      </c>
      <c r="EB230" s="662">
        <v>0</v>
      </c>
      <c r="EC230" s="662">
        <v>0</v>
      </c>
      <c r="ED230" s="662">
        <v>3881</v>
      </c>
      <c r="EE230" s="662">
        <v>0</v>
      </c>
      <c r="EF230" s="662">
        <v>3837</v>
      </c>
      <c r="EG230" s="662">
        <v>38666</v>
      </c>
      <c r="EH230" s="662">
        <v>0</v>
      </c>
      <c r="EI230" s="662">
        <v>0</v>
      </c>
      <c r="EJ230" s="662">
        <v>38452</v>
      </c>
      <c r="EK230" s="662">
        <v>0</v>
      </c>
      <c r="EL230" s="662">
        <v>0</v>
      </c>
      <c r="EM230" s="662">
        <v>0</v>
      </c>
      <c r="EN230" s="662">
        <v>0</v>
      </c>
      <c r="EO230" s="662">
        <v>0</v>
      </c>
      <c r="EP230" s="662">
        <v>0</v>
      </c>
      <c r="EQ230" s="662">
        <v>0</v>
      </c>
    </row>
    <row r="231" spans="1:148" ht="20.7" customHeight="1" x14ac:dyDescent="0.3">
      <c r="A231" s="660" t="s">
        <v>1887</v>
      </c>
      <c r="B231" s="661" t="s">
        <v>269</v>
      </c>
      <c r="C231" s="662">
        <v>0</v>
      </c>
      <c r="D231" s="662">
        <v>0</v>
      </c>
      <c r="E231" s="662">
        <v>0</v>
      </c>
      <c r="F231" s="662">
        <v>0</v>
      </c>
      <c r="G231" s="662">
        <v>0</v>
      </c>
      <c r="H231" s="662">
        <v>0</v>
      </c>
      <c r="I231" s="662">
        <v>0</v>
      </c>
      <c r="J231" s="802">
        <v>0</v>
      </c>
      <c r="K231" s="662">
        <v>0</v>
      </c>
      <c r="L231" s="662">
        <v>0</v>
      </c>
      <c r="M231" s="662">
        <v>0</v>
      </c>
      <c r="N231" s="662">
        <v>0</v>
      </c>
      <c r="O231" s="662">
        <v>0</v>
      </c>
      <c r="P231" s="662">
        <v>0</v>
      </c>
      <c r="Q231" s="802">
        <v>0</v>
      </c>
      <c r="R231" s="662">
        <v>0</v>
      </c>
      <c r="S231" s="662">
        <v>0</v>
      </c>
      <c r="T231" s="662">
        <v>0</v>
      </c>
      <c r="U231" s="662">
        <v>0</v>
      </c>
      <c r="V231" s="662">
        <v>0</v>
      </c>
      <c r="W231" s="802">
        <v>0</v>
      </c>
      <c r="X231" s="662">
        <v>0</v>
      </c>
      <c r="Y231" s="662">
        <v>0</v>
      </c>
      <c r="Z231" s="662">
        <v>0</v>
      </c>
      <c r="AA231" s="662">
        <v>0</v>
      </c>
      <c r="AB231" s="662">
        <v>0</v>
      </c>
      <c r="AC231" s="662">
        <v>0</v>
      </c>
      <c r="AD231" s="802">
        <v>0</v>
      </c>
      <c r="AE231" s="662">
        <v>0</v>
      </c>
      <c r="AF231" s="662">
        <v>0</v>
      </c>
      <c r="AG231" s="662">
        <v>0</v>
      </c>
      <c r="AH231" s="662">
        <v>0</v>
      </c>
      <c r="AI231" s="662">
        <v>0</v>
      </c>
      <c r="AJ231" s="662">
        <v>0</v>
      </c>
      <c r="AK231" s="802">
        <v>0</v>
      </c>
      <c r="AL231" s="662">
        <v>0</v>
      </c>
      <c r="AM231" s="662">
        <v>0</v>
      </c>
      <c r="AN231" s="662">
        <v>0</v>
      </c>
      <c r="AO231" s="662">
        <v>0</v>
      </c>
      <c r="AP231" s="662">
        <v>0</v>
      </c>
      <c r="AQ231" s="802">
        <v>0</v>
      </c>
      <c r="AR231" s="662">
        <v>0</v>
      </c>
      <c r="AS231" s="662">
        <v>0</v>
      </c>
      <c r="AT231" s="662">
        <v>0</v>
      </c>
      <c r="AU231" s="662">
        <v>0</v>
      </c>
      <c r="AV231" s="662">
        <v>0</v>
      </c>
      <c r="AW231" s="662">
        <v>0</v>
      </c>
      <c r="AX231" s="662">
        <v>0</v>
      </c>
      <c r="AY231" s="662">
        <v>0</v>
      </c>
      <c r="AZ231" s="662">
        <v>0</v>
      </c>
      <c r="BA231" s="662">
        <v>0</v>
      </c>
      <c r="BB231" s="662">
        <v>0</v>
      </c>
      <c r="BC231" s="662">
        <v>0</v>
      </c>
      <c r="BD231" s="662">
        <v>0</v>
      </c>
      <c r="BE231" s="802">
        <v>0</v>
      </c>
      <c r="BF231" s="662">
        <v>0</v>
      </c>
      <c r="BG231" s="662">
        <v>0</v>
      </c>
      <c r="BH231" s="662">
        <v>0</v>
      </c>
      <c r="BI231" s="662">
        <v>0</v>
      </c>
      <c r="BJ231" s="662">
        <v>0</v>
      </c>
      <c r="BK231" s="662">
        <v>0</v>
      </c>
      <c r="BL231" s="662">
        <v>0</v>
      </c>
      <c r="BM231" s="662">
        <v>0</v>
      </c>
      <c r="BN231" s="662">
        <v>0</v>
      </c>
      <c r="BO231" s="662">
        <v>0</v>
      </c>
      <c r="BP231" s="662">
        <v>0</v>
      </c>
      <c r="BQ231" s="662">
        <v>0</v>
      </c>
      <c r="BR231" s="662">
        <v>0</v>
      </c>
      <c r="BS231" s="662">
        <v>0</v>
      </c>
      <c r="BT231" s="662">
        <v>0</v>
      </c>
      <c r="BU231" s="662">
        <v>0</v>
      </c>
      <c r="BV231" s="662">
        <v>0</v>
      </c>
      <c r="BW231" s="662">
        <v>0</v>
      </c>
      <c r="BX231" s="662">
        <v>0</v>
      </c>
      <c r="BY231" s="662">
        <v>0</v>
      </c>
      <c r="BZ231" s="662">
        <v>0</v>
      </c>
      <c r="CA231" s="662">
        <v>0</v>
      </c>
      <c r="CB231" s="662">
        <v>0</v>
      </c>
      <c r="CC231" s="662">
        <v>0</v>
      </c>
      <c r="CD231" s="662">
        <v>0</v>
      </c>
      <c r="CE231" s="662">
        <v>0</v>
      </c>
      <c r="CF231" s="662">
        <v>0</v>
      </c>
      <c r="CG231" s="662">
        <v>0</v>
      </c>
      <c r="CH231" s="662">
        <v>0</v>
      </c>
      <c r="CI231" s="662">
        <v>0</v>
      </c>
      <c r="CJ231" s="662">
        <v>0</v>
      </c>
      <c r="CK231" s="662">
        <v>0</v>
      </c>
      <c r="CL231" s="662">
        <v>0</v>
      </c>
      <c r="CM231" s="662">
        <v>0</v>
      </c>
      <c r="CN231" s="662">
        <v>0</v>
      </c>
      <c r="CO231" s="662">
        <v>0</v>
      </c>
      <c r="CP231" s="662">
        <v>0</v>
      </c>
      <c r="CQ231" s="662">
        <v>0</v>
      </c>
      <c r="CR231" s="662">
        <v>0</v>
      </c>
      <c r="CS231" s="662">
        <v>0</v>
      </c>
      <c r="CT231" s="662">
        <v>0</v>
      </c>
      <c r="CU231" s="662">
        <v>0</v>
      </c>
      <c r="CV231" s="662">
        <v>0</v>
      </c>
      <c r="CW231" s="662">
        <v>0</v>
      </c>
      <c r="CX231" s="662">
        <v>0</v>
      </c>
      <c r="CY231" s="662">
        <v>0</v>
      </c>
      <c r="CZ231" s="662">
        <v>0</v>
      </c>
      <c r="DA231" s="662">
        <v>0</v>
      </c>
      <c r="DB231" s="662">
        <v>0</v>
      </c>
      <c r="DC231" s="662">
        <v>0</v>
      </c>
      <c r="DD231" s="662">
        <v>0</v>
      </c>
      <c r="DE231" s="662">
        <v>0</v>
      </c>
      <c r="DF231" s="662">
        <v>0</v>
      </c>
      <c r="DG231" s="662">
        <v>0</v>
      </c>
      <c r="DH231" s="662">
        <v>0</v>
      </c>
      <c r="DI231" s="662">
        <v>0</v>
      </c>
      <c r="DJ231" s="662">
        <v>0</v>
      </c>
      <c r="DK231" s="662">
        <v>0</v>
      </c>
      <c r="DL231" s="662">
        <v>0</v>
      </c>
      <c r="DM231" s="662">
        <v>0</v>
      </c>
      <c r="DN231" s="662">
        <v>0</v>
      </c>
      <c r="DO231" s="662">
        <v>0</v>
      </c>
      <c r="DP231" s="662">
        <v>0</v>
      </c>
      <c r="DQ231" s="662">
        <v>0</v>
      </c>
      <c r="DR231" s="662">
        <v>0</v>
      </c>
      <c r="DS231" s="662">
        <v>0</v>
      </c>
      <c r="DT231" s="662">
        <v>0</v>
      </c>
      <c r="DU231" s="662">
        <v>0</v>
      </c>
      <c r="DV231" s="662">
        <v>0</v>
      </c>
      <c r="DW231" s="662">
        <v>0</v>
      </c>
      <c r="DX231" s="662">
        <v>0</v>
      </c>
      <c r="DY231" s="662">
        <v>0</v>
      </c>
      <c r="DZ231" s="662">
        <v>0</v>
      </c>
      <c r="EA231" s="662">
        <v>0</v>
      </c>
      <c r="EB231" s="662">
        <v>0</v>
      </c>
      <c r="EC231" s="662">
        <v>0</v>
      </c>
      <c r="ED231" s="662">
        <v>0</v>
      </c>
      <c r="EE231" s="662">
        <v>0</v>
      </c>
      <c r="EF231" s="662">
        <v>0</v>
      </c>
      <c r="EG231" s="662">
        <v>0</v>
      </c>
      <c r="EH231" s="662">
        <v>0</v>
      </c>
      <c r="EI231" s="662">
        <v>0</v>
      </c>
      <c r="EJ231" s="662">
        <v>0</v>
      </c>
      <c r="EK231" s="662">
        <v>0</v>
      </c>
      <c r="EL231" s="662">
        <v>0</v>
      </c>
      <c r="EM231" s="662">
        <v>0</v>
      </c>
      <c r="EN231" s="662">
        <v>0</v>
      </c>
      <c r="EO231" s="662">
        <v>0</v>
      </c>
      <c r="EP231" s="662">
        <v>0</v>
      </c>
      <c r="EQ231" s="662">
        <v>0</v>
      </c>
    </row>
    <row r="232" spans="1:148" ht="13.95" customHeight="1" x14ac:dyDescent="0.3">
      <c r="A232" s="660" t="s">
        <v>1888</v>
      </c>
      <c r="B232" s="661" t="s">
        <v>269</v>
      </c>
      <c r="C232" s="662">
        <v>0</v>
      </c>
      <c r="D232" s="662">
        <v>0</v>
      </c>
      <c r="E232" s="662">
        <v>0</v>
      </c>
      <c r="F232" s="662">
        <v>0</v>
      </c>
      <c r="G232" s="662">
        <v>0</v>
      </c>
      <c r="H232" s="662">
        <v>0</v>
      </c>
      <c r="I232" s="662">
        <v>0</v>
      </c>
      <c r="J232" s="802">
        <v>0</v>
      </c>
      <c r="K232" s="662">
        <v>0</v>
      </c>
      <c r="L232" s="662">
        <v>0</v>
      </c>
      <c r="M232" s="662">
        <v>0</v>
      </c>
      <c r="N232" s="662">
        <v>0</v>
      </c>
      <c r="O232" s="662">
        <v>0</v>
      </c>
      <c r="P232" s="662">
        <v>0</v>
      </c>
      <c r="Q232" s="802">
        <v>0</v>
      </c>
      <c r="R232" s="662">
        <v>0</v>
      </c>
      <c r="S232" s="662">
        <v>0</v>
      </c>
      <c r="T232" s="662">
        <v>0</v>
      </c>
      <c r="U232" s="662">
        <v>0</v>
      </c>
      <c r="V232" s="662">
        <v>0</v>
      </c>
      <c r="W232" s="802">
        <v>0</v>
      </c>
      <c r="X232" s="662">
        <v>0</v>
      </c>
      <c r="Y232" s="662">
        <v>0</v>
      </c>
      <c r="Z232" s="662">
        <v>0</v>
      </c>
      <c r="AA232" s="662">
        <v>0</v>
      </c>
      <c r="AB232" s="662">
        <v>0</v>
      </c>
      <c r="AC232" s="662">
        <v>0</v>
      </c>
      <c r="AD232" s="802">
        <v>0</v>
      </c>
      <c r="AE232" s="662">
        <v>0</v>
      </c>
      <c r="AF232" s="662">
        <v>0</v>
      </c>
      <c r="AG232" s="662">
        <v>0</v>
      </c>
      <c r="AH232" s="662">
        <v>0</v>
      </c>
      <c r="AI232" s="662">
        <v>0</v>
      </c>
      <c r="AJ232" s="662">
        <v>0</v>
      </c>
      <c r="AK232" s="802">
        <v>0</v>
      </c>
      <c r="AL232" s="662">
        <v>0</v>
      </c>
      <c r="AM232" s="662">
        <v>0</v>
      </c>
      <c r="AN232" s="662">
        <v>0</v>
      </c>
      <c r="AO232" s="662">
        <v>0</v>
      </c>
      <c r="AP232" s="662">
        <v>0</v>
      </c>
      <c r="AQ232" s="802">
        <v>0</v>
      </c>
      <c r="AR232" s="662">
        <v>0</v>
      </c>
      <c r="AS232" s="662">
        <v>0</v>
      </c>
      <c r="AT232" s="662">
        <v>0</v>
      </c>
      <c r="AU232" s="662">
        <v>0</v>
      </c>
      <c r="AV232" s="662">
        <v>0</v>
      </c>
      <c r="AW232" s="662">
        <v>0</v>
      </c>
      <c r="AX232" s="662">
        <v>0</v>
      </c>
      <c r="AY232" s="662">
        <v>0</v>
      </c>
      <c r="AZ232" s="662">
        <v>0</v>
      </c>
      <c r="BA232" s="662">
        <v>0</v>
      </c>
      <c r="BB232" s="662">
        <v>0</v>
      </c>
      <c r="BC232" s="662">
        <v>0</v>
      </c>
      <c r="BD232" s="662">
        <v>0</v>
      </c>
      <c r="BE232" s="802">
        <v>0</v>
      </c>
      <c r="BF232" s="662">
        <v>0</v>
      </c>
      <c r="BG232" s="662">
        <v>0</v>
      </c>
      <c r="BH232" s="662">
        <v>0</v>
      </c>
      <c r="BI232" s="662">
        <v>0</v>
      </c>
      <c r="BJ232" s="662">
        <v>0</v>
      </c>
      <c r="BK232" s="662">
        <v>0</v>
      </c>
      <c r="BL232" s="662">
        <v>0</v>
      </c>
      <c r="BM232" s="662">
        <v>0</v>
      </c>
      <c r="BN232" s="662">
        <v>0</v>
      </c>
      <c r="BO232" s="662">
        <v>0</v>
      </c>
      <c r="BP232" s="662">
        <v>0</v>
      </c>
      <c r="BQ232" s="662">
        <v>0</v>
      </c>
      <c r="BR232" s="662">
        <v>0</v>
      </c>
      <c r="BS232" s="662">
        <v>0</v>
      </c>
      <c r="BT232" s="662">
        <v>0</v>
      </c>
      <c r="BU232" s="662">
        <v>0</v>
      </c>
      <c r="BV232" s="662">
        <v>0</v>
      </c>
      <c r="BW232" s="662">
        <v>0</v>
      </c>
      <c r="BX232" s="662">
        <v>0</v>
      </c>
      <c r="BY232" s="662">
        <v>0</v>
      </c>
      <c r="BZ232" s="662">
        <v>0</v>
      </c>
      <c r="CA232" s="662">
        <v>0</v>
      </c>
      <c r="CB232" s="662">
        <v>0</v>
      </c>
      <c r="CC232" s="662">
        <v>0</v>
      </c>
      <c r="CD232" s="662">
        <v>0</v>
      </c>
      <c r="CE232" s="662">
        <v>0</v>
      </c>
      <c r="CF232" s="662">
        <v>0</v>
      </c>
      <c r="CG232" s="662">
        <v>0</v>
      </c>
      <c r="CH232" s="662">
        <v>0</v>
      </c>
      <c r="CI232" s="662">
        <v>0</v>
      </c>
      <c r="CJ232" s="662">
        <v>0</v>
      </c>
      <c r="CK232" s="662">
        <v>0</v>
      </c>
      <c r="CL232" s="662">
        <v>0</v>
      </c>
      <c r="CM232" s="662">
        <v>0</v>
      </c>
      <c r="CN232" s="662">
        <v>0</v>
      </c>
      <c r="CO232" s="662">
        <v>0</v>
      </c>
      <c r="CP232" s="662">
        <v>0</v>
      </c>
      <c r="CQ232" s="662">
        <v>0</v>
      </c>
      <c r="CR232" s="662">
        <v>0</v>
      </c>
      <c r="CS232" s="662">
        <v>0</v>
      </c>
      <c r="CT232" s="662">
        <v>0</v>
      </c>
      <c r="CU232" s="662">
        <v>0</v>
      </c>
      <c r="CV232" s="662">
        <v>0</v>
      </c>
      <c r="CW232" s="662">
        <v>0</v>
      </c>
      <c r="CX232" s="662">
        <v>0</v>
      </c>
      <c r="CY232" s="662">
        <v>0</v>
      </c>
      <c r="CZ232" s="662">
        <v>0</v>
      </c>
      <c r="DA232" s="662">
        <v>0</v>
      </c>
      <c r="DB232" s="662">
        <v>0</v>
      </c>
      <c r="DC232" s="662">
        <v>0</v>
      </c>
      <c r="DD232" s="662">
        <v>0</v>
      </c>
      <c r="DE232" s="662">
        <v>0</v>
      </c>
      <c r="DF232" s="662">
        <v>0</v>
      </c>
      <c r="DG232" s="662">
        <v>0</v>
      </c>
      <c r="DH232" s="662">
        <v>0</v>
      </c>
      <c r="DI232" s="662">
        <v>0</v>
      </c>
      <c r="DJ232" s="662">
        <v>0</v>
      </c>
      <c r="DK232" s="662">
        <v>0</v>
      </c>
      <c r="DL232" s="662">
        <v>0</v>
      </c>
      <c r="DM232" s="662">
        <v>0</v>
      </c>
      <c r="DN232" s="662">
        <v>0</v>
      </c>
      <c r="DO232" s="662">
        <v>0</v>
      </c>
      <c r="DP232" s="662">
        <v>0</v>
      </c>
      <c r="DQ232" s="662">
        <v>0</v>
      </c>
      <c r="DR232" s="662">
        <v>0</v>
      </c>
      <c r="DS232" s="662">
        <v>0</v>
      </c>
      <c r="DT232" s="662">
        <v>0</v>
      </c>
      <c r="DU232" s="662">
        <v>0</v>
      </c>
      <c r="DV232" s="662">
        <v>0</v>
      </c>
      <c r="DW232" s="662">
        <v>0</v>
      </c>
      <c r="DX232" s="662">
        <v>0</v>
      </c>
      <c r="DY232" s="662">
        <v>0</v>
      </c>
      <c r="DZ232" s="662">
        <v>0</v>
      </c>
      <c r="EA232" s="662">
        <v>0</v>
      </c>
      <c r="EB232" s="662">
        <v>0</v>
      </c>
      <c r="EC232" s="662">
        <v>0</v>
      </c>
      <c r="ED232" s="662">
        <v>0</v>
      </c>
      <c r="EE232" s="662">
        <v>0</v>
      </c>
      <c r="EF232" s="662">
        <v>0</v>
      </c>
      <c r="EG232" s="662">
        <v>0</v>
      </c>
      <c r="EH232" s="662">
        <v>0</v>
      </c>
      <c r="EI232" s="662">
        <v>0</v>
      </c>
      <c r="EJ232" s="662">
        <v>0</v>
      </c>
      <c r="EK232" s="662">
        <v>0</v>
      </c>
      <c r="EL232" s="662">
        <v>0</v>
      </c>
      <c r="EM232" s="662">
        <v>0</v>
      </c>
      <c r="EN232" s="662">
        <v>0</v>
      </c>
      <c r="EO232" s="662">
        <v>0</v>
      </c>
      <c r="EP232" s="662">
        <v>0</v>
      </c>
      <c r="EQ232" s="662">
        <v>0</v>
      </c>
    </row>
    <row r="233" spans="1:148" ht="20.7" customHeight="1" x14ac:dyDescent="0.3">
      <c r="A233" s="660" t="s">
        <v>1889</v>
      </c>
      <c r="B233" s="661" t="s">
        <v>269</v>
      </c>
      <c r="C233" s="662">
        <f t="shared" ref="C233:BN233" si="94">C234+C237</f>
        <v>3791892</v>
      </c>
      <c r="D233" s="662">
        <f t="shared" si="94"/>
        <v>0</v>
      </c>
      <c r="E233" s="662">
        <f t="shared" si="94"/>
        <v>3671744</v>
      </c>
      <c r="F233" s="662">
        <f t="shared" si="94"/>
        <v>0</v>
      </c>
      <c r="G233" s="662">
        <f t="shared" si="94"/>
        <v>182729</v>
      </c>
      <c r="H233" s="662">
        <f t="shared" si="94"/>
        <v>0</v>
      </c>
      <c r="I233" s="662">
        <f t="shared" si="94"/>
        <v>0</v>
      </c>
      <c r="J233" s="802">
        <f t="shared" si="94"/>
        <v>231969</v>
      </c>
      <c r="K233" s="662">
        <f t="shared" si="94"/>
        <v>0</v>
      </c>
      <c r="L233" s="662">
        <f t="shared" si="94"/>
        <v>231969</v>
      </c>
      <c r="M233" s="662">
        <f t="shared" si="94"/>
        <v>0</v>
      </c>
      <c r="N233" s="662">
        <f t="shared" si="94"/>
        <v>6601</v>
      </c>
      <c r="O233" s="662">
        <f t="shared" si="94"/>
        <v>0</v>
      </c>
      <c r="P233" s="662">
        <f t="shared" si="94"/>
        <v>0</v>
      </c>
      <c r="Q233" s="802">
        <f t="shared" si="94"/>
        <v>54500</v>
      </c>
      <c r="R233" s="662">
        <f t="shared" si="94"/>
        <v>54500</v>
      </c>
      <c r="S233" s="662">
        <f t="shared" si="94"/>
        <v>0</v>
      </c>
      <c r="T233" s="662">
        <f t="shared" si="94"/>
        <v>1095</v>
      </c>
      <c r="U233" s="662">
        <f t="shared" si="94"/>
        <v>0</v>
      </c>
      <c r="V233" s="662">
        <f t="shared" si="94"/>
        <v>0</v>
      </c>
      <c r="W233" s="802">
        <f t="shared" si="94"/>
        <v>36628</v>
      </c>
      <c r="X233" s="662">
        <f t="shared" si="94"/>
        <v>0</v>
      </c>
      <c r="Y233" s="662">
        <f t="shared" si="94"/>
        <v>36578</v>
      </c>
      <c r="Z233" s="662">
        <f t="shared" si="94"/>
        <v>0</v>
      </c>
      <c r="AA233" s="662">
        <f t="shared" si="94"/>
        <v>704</v>
      </c>
      <c r="AB233" s="662">
        <f t="shared" si="94"/>
        <v>0</v>
      </c>
      <c r="AC233" s="662">
        <f t="shared" si="94"/>
        <v>0</v>
      </c>
      <c r="AD233" s="802">
        <f t="shared" si="94"/>
        <v>206533</v>
      </c>
      <c r="AE233" s="662">
        <f t="shared" si="94"/>
        <v>0</v>
      </c>
      <c r="AF233" s="662">
        <f t="shared" si="94"/>
        <v>206533</v>
      </c>
      <c r="AG233" s="662">
        <f t="shared" si="94"/>
        <v>0</v>
      </c>
      <c r="AH233" s="662">
        <f t="shared" si="94"/>
        <v>22634</v>
      </c>
      <c r="AI233" s="662">
        <f t="shared" si="94"/>
        <v>0</v>
      </c>
      <c r="AJ233" s="662">
        <f t="shared" si="94"/>
        <v>0</v>
      </c>
      <c r="AK233" s="802">
        <f t="shared" si="94"/>
        <v>318917</v>
      </c>
      <c r="AL233" s="662">
        <f t="shared" si="94"/>
        <v>263461</v>
      </c>
      <c r="AM233" s="662">
        <f t="shared" si="94"/>
        <v>0</v>
      </c>
      <c r="AN233" s="662">
        <f t="shared" si="94"/>
        <v>47185</v>
      </c>
      <c r="AO233" s="662">
        <f t="shared" si="94"/>
        <v>0</v>
      </c>
      <c r="AP233" s="662">
        <f t="shared" si="94"/>
        <v>0</v>
      </c>
      <c r="AQ233" s="802">
        <f t="shared" si="94"/>
        <v>100108</v>
      </c>
      <c r="AR233" s="662">
        <f t="shared" si="94"/>
        <v>0</v>
      </c>
      <c r="AS233" s="662">
        <f t="shared" si="94"/>
        <v>100108</v>
      </c>
      <c r="AT233" s="662">
        <f t="shared" si="94"/>
        <v>0</v>
      </c>
      <c r="AU233" s="662">
        <f t="shared" si="94"/>
        <v>4522</v>
      </c>
      <c r="AV233" s="662">
        <f t="shared" si="94"/>
        <v>0</v>
      </c>
      <c r="AW233" s="662">
        <f t="shared" si="94"/>
        <v>0</v>
      </c>
      <c r="AX233" s="662">
        <f t="shared" si="94"/>
        <v>45863</v>
      </c>
      <c r="AY233" s="662">
        <f t="shared" si="94"/>
        <v>0</v>
      </c>
      <c r="AZ233" s="662">
        <f t="shared" si="94"/>
        <v>45612</v>
      </c>
      <c r="BA233" s="662">
        <f t="shared" si="94"/>
        <v>0</v>
      </c>
      <c r="BB233" s="662">
        <f t="shared" si="94"/>
        <v>2231</v>
      </c>
      <c r="BC233" s="662">
        <f t="shared" si="94"/>
        <v>0</v>
      </c>
      <c r="BD233" s="662">
        <f t="shared" si="94"/>
        <v>0</v>
      </c>
      <c r="BE233" s="802">
        <f t="shared" si="94"/>
        <v>110299</v>
      </c>
      <c r="BF233" s="662">
        <f t="shared" si="94"/>
        <v>0</v>
      </c>
      <c r="BG233" s="662">
        <f t="shared" si="94"/>
        <v>110299</v>
      </c>
      <c r="BH233" s="662">
        <f t="shared" si="94"/>
        <v>0</v>
      </c>
      <c r="BI233" s="662">
        <f t="shared" si="94"/>
        <v>12038</v>
      </c>
      <c r="BJ233" s="662">
        <f t="shared" si="94"/>
        <v>0</v>
      </c>
      <c r="BK233" s="662">
        <f t="shared" si="94"/>
        <v>0</v>
      </c>
      <c r="BL233" s="662">
        <f t="shared" si="94"/>
        <v>108537</v>
      </c>
      <c r="BM233" s="662">
        <f t="shared" si="94"/>
        <v>0</v>
      </c>
      <c r="BN233" s="662">
        <f t="shared" si="94"/>
        <v>106143</v>
      </c>
      <c r="BO233" s="662">
        <f t="shared" ref="BO233:DZ233" si="95">BO234+BO237</f>
        <v>0</v>
      </c>
      <c r="BP233" s="662">
        <f t="shared" si="95"/>
        <v>6418</v>
      </c>
      <c r="BQ233" s="662">
        <f t="shared" si="95"/>
        <v>0</v>
      </c>
      <c r="BR233" s="662">
        <f t="shared" si="95"/>
        <v>0</v>
      </c>
      <c r="BS233" s="662">
        <f t="shared" si="95"/>
        <v>79200</v>
      </c>
      <c r="BT233" s="662">
        <f t="shared" si="95"/>
        <v>0</v>
      </c>
      <c r="BU233" s="662">
        <f t="shared" si="95"/>
        <v>79200</v>
      </c>
      <c r="BV233" s="662">
        <f t="shared" si="95"/>
        <v>0</v>
      </c>
      <c r="BW233" s="662">
        <f t="shared" si="95"/>
        <v>2158</v>
      </c>
      <c r="BX233" s="662">
        <f t="shared" si="95"/>
        <v>0</v>
      </c>
      <c r="BY233" s="662">
        <f t="shared" si="95"/>
        <v>0</v>
      </c>
      <c r="BZ233" s="662">
        <f t="shared" si="95"/>
        <v>62420</v>
      </c>
      <c r="CA233" s="662">
        <f t="shared" si="95"/>
        <v>0</v>
      </c>
      <c r="CB233" s="662">
        <f t="shared" si="95"/>
        <v>62149</v>
      </c>
      <c r="CC233" s="662">
        <f t="shared" si="95"/>
        <v>0</v>
      </c>
      <c r="CD233" s="662">
        <f t="shared" si="95"/>
        <v>1787</v>
      </c>
      <c r="CE233" s="662">
        <f t="shared" si="95"/>
        <v>0</v>
      </c>
      <c r="CF233" s="662">
        <f t="shared" si="95"/>
        <v>0</v>
      </c>
      <c r="CG233" s="662">
        <f t="shared" si="95"/>
        <v>302970</v>
      </c>
      <c r="CH233" s="662">
        <f t="shared" si="95"/>
        <v>0</v>
      </c>
      <c r="CI233" s="662">
        <f t="shared" si="95"/>
        <v>260700</v>
      </c>
      <c r="CJ233" s="662">
        <f t="shared" si="95"/>
        <v>0</v>
      </c>
      <c r="CK233" s="662">
        <f t="shared" si="95"/>
        <v>5755</v>
      </c>
      <c r="CL233" s="662">
        <f t="shared" si="95"/>
        <v>0</v>
      </c>
      <c r="CM233" s="662">
        <f t="shared" si="95"/>
        <v>0</v>
      </c>
      <c r="CN233" s="662">
        <f t="shared" si="95"/>
        <v>233239</v>
      </c>
      <c r="CO233" s="662">
        <f t="shared" si="95"/>
        <v>0</v>
      </c>
      <c r="CP233" s="662">
        <f t="shared" si="95"/>
        <v>226958</v>
      </c>
      <c r="CQ233" s="662">
        <f t="shared" si="95"/>
        <v>0</v>
      </c>
      <c r="CR233" s="662">
        <f t="shared" si="95"/>
        <v>5615</v>
      </c>
      <c r="CS233" s="662">
        <f t="shared" si="95"/>
        <v>0</v>
      </c>
      <c r="CT233" s="662">
        <f t="shared" si="95"/>
        <v>0</v>
      </c>
      <c r="CU233" s="662">
        <f t="shared" si="95"/>
        <v>82100</v>
      </c>
      <c r="CV233" s="662">
        <f t="shared" si="95"/>
        <v>0</v>
      </c>
      <c r="CW233" s="662">
        <f t="shared" si="95"/>
        <v>82100</v>
      </c>
      <c r="CX233" s="662">
        <f t="shared" si="95"/>
        <v>0</v>
      </c>
      <c r="CY233" s="662">
        <f t="shared" si="95"/>
        <v>956</v>
      </c>
      <c r="CZ233" s="662">
        <f t="shared" si="95"/>
        <v>0</v>
      </c>
      <c r="DA233" s="662">
        <f t="shared" si="95"/>
        <v>0</v>
      </c>
      <c r="DB233" s="662">
        <f t="shared" si="95"/>
        <v>115492</v>
      </c>
      <c r="DC233" s="662">
        <f t="shared" si="95"/>
        <v>0</v>
      </c>
      <c r="DD233" s="662">
        <f t="shared" si="95"/>
        <v>112242</v>
      </c>
      <c r="DE233" s="662">
        <f t="shared" si="95"/>
        <v>0</v>
      </c>
      <c r="DF233" s="662">
        <f t="shared" si="95"/>
        <v>8909</v>
      </c>
      <c r="DG233" s="662">
        <f t="shared" si="95"/>
        <v>0</v>
      </c>
      <c r="DH233" s="662">
        <f t="shared" si="95"/>
        <v>0</v>
      </c>
      <c r="DI233" s="662">
        <f t="shared" si="95"/>
        <v>222970</v>
      </c>
      <c r="DJ233" s="662">
        <f t="shared" si="95"/>
        <v>0</v>
      </c>
      <c r="DK233" s="662">
        <f t="shared" si="95"/>
        <v>222970</v>
      </c>
      <c r="DL233" s="662">
        <f t="shared" si="95"/>
        <v>0</v>
      </c>
      <c r="DM233" s="662">
        <f t="shared" si="95"/>
        <v>2151</v>
      </c>
      <c r="DN233" s="662">
        <f t="shared" si="95"/>
        <v>0</v>
      </c>
      <c r="DO233" s="662">
        <f t="shared" si="95"/>
        <v>0</v>
      </c>
      <c r="DP233" s="662">
        <f t="shared" si="95"/>
        <v>135589</v>
      </c>
      <c r="DQ233" s="662">
        <f t="shared" si="95"/>
        <v>0</v>
      </c>
      <c r="DR233" s="662">
        <f t="shared" si="95"/>
        <v>135349</v>
      </c>
      <c r="DS233" s="662">
        <f t="shared" si="95"/>
        <v>0</v>
      </c>
      <c r="DT233" s="662">
        <f t="shared" si="95"/>
        <v>2037</v>
      </c>
      <c r="DU233" s="662">
        <f t="shared" si="95"/>
        <v>0</v>
      </c>
      <c r="DV233" s="662">
        <f t="shared" si="95"/>
        <v>0</v>
      </c>
      <c r="DW233" s="662">
        <f t="shared" si="95"/>
        <v>152736</v>
      </c>
      <c r="DX233" s="662">
        <f t="shared" si="95"/>
        <v>0</v>
      </c>
      <c r="DY233" s="662">
        <f t="shared" si="95"/>
        <v>143551</v>
      </c>
      <c r="DZ233" s="662">
        <f t="shared" si="95"/>
        <v>0</v>
      </c>
      <c r="EA233" s="662">
        <f t="shared" ref="EA233:EQ233" si="96">EA234+EA237</f>
        <v>3210</v>
      </c>
      <c r="EB233" s="662">
        <f t="shared" si="96"/>
        <v>0</v>
      </c>
      <c r="EC233" s="662">
        <f t="shared" si="96"/>
        <v>0</v>
      </c>
      <c r="ED233" s="662">
        <f t="shared" si="96"/>
        <v>467393</v>
      </c>
      <c r="EE233" s="662">
        <f t="shared" si="96"/>
        <v>0</v>
      </c>
      <c r="EF233" s="662">
        <f t="shared" si="96"/>
        <v>466893</v>
      </c>
      <c r="EG233" s="662">
        <f t="shared" si="96"/>
        <v>0</v>
      </c>
      <c r="EH233" s="662">
        <f t="shared" si="96"/>
        <v>5632</v>
      </c>
      <c r="EI233" s="662">
        <f t="shared" si="96"/>
        <v>0</v>
      </c>
      <c r="EJ233" s="662">
        <f t="shared" si="96"/>
        <v>0</v>
      </c>
      <c r="EK233" s="662">
        <f t="shared" si="96"/>
        <v>724429</v>
      </c>
      <c r="EL233" s="662">
        <f t="shared" si="96"/>
        <v>0</v>
      </c>
      <c r="EM233" s="662">
        <f t="shared" si="96"/>
        <v>724429</v>
      </c>
      <c r="EN233" s="662">
        <f t="shared" si="96"/>
        <v>0</v>
      </c>
      <c r="EO233" s="662">
        <f t="shared" si="96"/>
        <v>41091</v>
      </c>
      <c r="EP233" s="662">
        <f t="shared" si="96"/>
        <v>0</v>
      </c>
      <c r="EQ233" s="662">
        <f t="shared" si="96"/>
        <v>0</v>
      </c>
    </row>
    <row r="234" spans="1:148" ht="13.95" customHeight="1" x14ac:dyDescent="0.3">
      <c r="A234" s="660" t="s">
        <v>1890</v>
      </c>
      <c r="B234" s="661" t="s">
        <v>269</v>
      </c>
      <c r="C234" s="662">
        <f t="shared" ref="C234:BN234" si="97">C235+C236</f>
        <v>2917588</v>
      </c>
      <c r="D234" s="662">
        <f t="shared" si="97"/>
        <v>0</v>
      </c>
      <c r="E234" s="662">
        <f t="shared" si="97"/>
        <v>2815744</v>
      </c>
      <c r="F234" s="662">
        <f t="shared" si="97"/>
        <v>0</v>
      </c>
      <c r="G234" s="662">
        <f t="shared" si="97"/>
        <v>87730</v>
      </c>
      <c r="H234" s="662">
        <f t="shared" si="97"/>
        <v>0</v>
      </c>
      <c r="I234" s="662">
        <f t="shared" si="97"/>
        <v>0</v>
      </c>
      <c r="J234" s="802">
        <f t="shared" si="97"/>
        <v>178936</v>
      </c>
      <c r="K234" s="662">
        <f t="shared" si="97"/>
        <v>0</v>
      </c>
      <c r="L234" s="662">
        <f t="shared" si="97"/>
        <v>178936</v>
      </c>
      <c r="M234" s="662">
        <f t="shared" si="97"/>
        <v>0</v>
      </c>
      <c r="N234" s="662">
        <f t="shared" si="97"/>
        <v>1204</v>
      </c>
      <c r="O234" s="662">
        <f t="shared" si="97"/>
        <v>0</v>
      </c>
      <c r="P234" s="662">
        <f t="shared" si="97"/>
        <v>0</v>
      </c>
      <c r="Q234" s="802">
        <f t="shared" si="97"/>
        <v>45000</v>
      </c>
      <c r="R234" s="662">
        <f t="shared" si="97"/>
        <v>45000</v>
      </c>
      <c r="S234" s="662">
        <f t="shared" si="97"/>
        <v>0</v>
      </c>
      <c r="T234" s="662">
        <f t="shared" si="97"/>
        <v>430</v>
      </c>
      <c r="U234" s="662">
        <f t="shared" si="97"/>
        <v>0</v>
      </c>
      <c r="V234" s="662">
        <f t="shared" si="97"/>
        <v>0</v>
      </c>
      <c r="W234" s="802">
        <f t="shared" si="97"/>
        <v>27533</v>
      </c>
      <c r="X234" s="662">
        <f t="shared" si="97"/>
        <v>0</v>
      </c>
      <c r="Y234" s="662">
        <f t="shared" si="97"/>
        <v>27533</v>
      </c>
      <c r="Z234" s="662">
        <f t="shared" si="97"/>
        <v>0</v>
      </c>
      <c r="AA234" s="662">
        <f t="shared" si="97"/>
        <v>589</v>
      </c>
      <c r="AB234" s="662">
        <f t="shared" si="97"/>
        <v>0</v>
      </c>
      <c r="AC234" s="662">
        <f t="shared" si="97"/>
        <v>0</v>
      </c>
      <c r="AD234" s="802">
        <f t="shared" si="97"/>
        <v>114027</v>
      </c>
      <c r="AE234" s="662">
        <f t="shared" si="97"/>
        <v>0</v>
      </c>
      <c r="AF234" s="662">
        <f t="shared" si="97"/>
        <v>114027</v>
      </c>
      <c r="AG234" s="662">
        <f t="shared" si="97"/>
        <v>0</v>
      </c>
      <c r="AH234" s="662">
        <f t="shared" si="97"/>
        <v>2534</v>
      </c>
      <c r="AI234" s="662">
        <f t="shared" si="97"/>
        <v>0</v>
      </c>
      <c r="AJ234" s="662">
        <f t="shared" si="97"/>
        <v>0</v>
      </c>
      <c r="AK234" s="802">
        <f t="shared" si="97"/>
        <v>237700</v>
      </c>
      <c r="AL234" s="662">
        <f t="shared" si="97"/>
        <v>182609</v>
      </c>
      <c r="AM234" s="662">
        <f t="shared" si="97"/>
        <v>0</v>
      </c>
      <c r="AN234" s="662">
        <f t="shared" si="97"/>
        <v>12928</v>
      </c>
      <c r="AO234" s="662">
        <f t="shared" si="97"/>
        <v>0</v>
      </c>
      <c r="AP234" s="662">
        <f t="shared" si="97"/>
        <v>0</v>
      </c>
      <c r="AQ234" s="802">
        <f t="shared" si="97"/>
        <v>50704</v>
      </c>
      <c r="AR234" s="662">
        <f t="shared" si="97"/>
        <v>0</v>
      </c>
      <c r="AS234" s="662">
        <f t="shared" si="97"/>
        <v>50704</v>
      </c>
      <c r="AT234" s="662">
        <f t="shared" si="97"/>
        <v>0</v>
      </c>
      <c r="AU234" s="662">
        <f t="shared" si="97"/>
        <v>626</v>
      </c>
      <c r="AV234" s="662">
        <f t="shared" si="97"/>
        <v>0</v>
      </c>
      <c r="AW234" s="662">
        <f t="shared" si="97"/>
        <v>0</v>
      </c>
      <c r="AX234" s="662">
        <f t="shared" si="97"/>
        <v>18876</v>
      </c>
      <c r="AY234" s="662">
        <f t="shared" si="97"/>
        <v>0</v>
      </c>
      <c r="AZ234" s="662">
        <f t="shared" si="97"/>
        <v>18850</v>
      </c>
      <c r="BA234" s="662">
        <f t="shared" si="97"/>
        <v>0</v>
      </c>
      <c r="BB234" s="662">
        <f t="shared" si="97"/>
        <v>378</v>
      </c>
      <c r="BC234" s="662">
        <f t="shared" si="97"/>
        <v>0</v>
      </c>
      <c r="BD234" s="662">
        <f t="shared" si="97"/>
        <v>0</v>
      </c>
      <c r="BE234" s="802">
        <f t="shared" si="97"/>
        <v>47159</v>
      </c>
      <c r="BF234" s="662">
        <f t="shared" si="97"/>
        <v>0</v>
      </c>
      <c r="BG234" s="662">
        <f t="shared" si="97"/>
        <v>47159</v>
      </c>
      <c r="BH234" s="662">
        <f t="shared" si="97"/>
        <v>0</v>
      </c>
      <c r="BI234" s="662">
        <f t="shared" si="97"/>
        <v>2745</v>
      </c>
      <c r="BJ234" s="662">
        <f t="shared" si="97"/>
        <v>0</v>
      </c>
      <c r="BK234" s="662">
        <f t="shared" si="97"/>
        <v>0</v>
      </c>
      <c r="BL234" s="662">
        <f t="shared" si="97"/>
        <v>70274</v>
      </c>
      <c r="BM234" s="662">
        <f t="shared" si="97"/>
        <v>0</v>
      </c>
      <c r="BN234" s="662">
        <f t="shared" si="97"/>
        <v>68102</v>
      </c>
      <c r="BO234" s="662">
        <f t="shared" ref="BO234:DZ234" si="98">BO235+BO236</f>
        <v>0</v>
      </c>
      <c r="BP234" s="662">
        <f t="shared" si="98"/>
        <v>2901</v>
      </c>
      <c r="BQ234" s="662">
        <f t="shared" si="98"/>
        <v>0</v>
      </c>
      <c r="BR234" s="662">
        <f t="shared" si="98"/>
        <v>0</v>
      </c>
      <c r="BS234" s="662">
        <f t="shared" si="98"/>
        <v>53700</v>
      </c>
      <c r="BT234" s="662">
        <f t="shared" si="98"/>
        <v>0</v>
      </c>
      <c r="BU234" s="662">
        <f t="shared" si="98"/>
        <v>53700</v>
      </c>
      <c r="BV234" s="662">
        <f t="shared" si="98"/>
        <v>0</v>
      </c>
      <c r="BW234" s="662">
        <f t="shared" si="98"/>
        <v>1189</v>
      </c>
      <c r="BX234" s="662">
        <f t="shared" si="98"/>
        <v>0</v>
      </c>
      <c r="BY234" s="662">
        <f t="shared" si="98"/>
        <v>0</v>
      </c>
      <c r="BZ234" s="662">
        <f t="shared" si="98"/>
        <v>41886</v>
      </c>
      <c r="CA234" s="662">
        <f t="shared" si="98"/>
        <v>0</v>
      </c>
      <c r="CB234" s="662">
        <f t="shared" si="98"/>
        <v>41695</v>
      </c>
      <c r="CC234" s="662">
        <f t="shared" si="98"/>
        <v>0</v>
      </c>
      <c r="CD234" s="662">
        <f t="shared" si="98"/>
        <v>968</v>
      </c>
      <c r="CE234" s="662">
        <f t="shared" si="98"/>
        <v>0</v>
      </c>
      <c r="CF234" s="662">
        <f t="shared" si="98"/>
        <v>0</v>
      </c>
      <c r="CG234" s="662">
        <f t="shared" si="98"/>
        <v>219300</v>
      </c>
      <c r="CH234" s="662">
        <f t="shared" si="98"/>
        <v>0</v>
      </c>
      <c r="CI234" s="662">
        <f t="shared" si="98"/>
        <v>191080</v>
      </c>
      <c r="CJ234" s="662">
        <f t="shared" si="98"/>
        <v>0</v>
      </c>
      <c r="CK234" s="662">
        <f t="shared" si="98"/>
        <v>3305</v>
      </c>
      <c r="CL234" s="662">
        <f t="shared" si="98"/>
        <v>0</v>
      </c>
      <c r="CM234" s="662">
        <f t="shared" si="98"/>
        <v>0</v>
      </c>
      <c r="CN234" s="662">
        <f t="shared" si="98"/>
        <v>213271</v>
      </c>
      <c r="CO234" s="662">
        <f t="shared" si="98"/>
        <v>0</v>
      </c>
      <c r="CP234" s="662">
        <f t="shared" si="98"/>
        <v>206990</v>
      </c>
      <c r="CQ234" s="662">
        <f t="shared" si="98"/>
        <v>0</v>
      </c>
      <c r="CR234" s="662">
        <f t="shared" si="98"/>
        <v>4971</v>
      </c>
      <c r="CS234" s="662">
        <f t="shared" si="98"/>
        <v>0</v>
      </c>
      <c r="CT234" s="662">
        <f t="shared" si="98"/>
        <v>0</v>
      </c>
      <c r="CU234" s="662">
        <f t="shared" si="98"/>
        <v>44100</v>
      </c>
      <c r="CV234" s="662">
        <f t="shared" si="98"/>
        <v>0</v>
      </c>
      <c r="CW234" s="662">
        <f t="shared" si="98"/>
        <v>44100</v>
      </c>
      <c r="CX234" s="662">
        <f t="shared" si="98"/>
        <v>0</v>
      </c>
      <c r="CY234" s="662">
        <f t="shared" si="98"/>
        <v>512</v>
      </c>
      <c r="CZ234" s="662">
        <f t="shared" si="98"/>
        <v>0</v>
      </c>
      <c r="DA234" s="662">
        <f t="shared" si="98"/>
        <v>0</v>
      </c>
      <c r="DB234" s="662">
        <f t="shared" si="98"/>
        <v>94380</v>
      </c>
      <c r="DC234" s="662">
        <f t="shared" si="98"/>
        <v>0</v>
      </c>
      <c r="DD234" s="662">
        <f t="shared" si="98"/>
        <v>91330</v>
      </c>
      <c r="DE234" s="662">
        <f t="shared" si="98"/>
        <v>0</v>
      </c>
      <c r="DF234" s="662">
        <f t="shared" si="98"/>
        <v>6976</v>
      </c>
      <c r="DG234" s="662">
        <f t="shared" si="98"/>
        <v>0</v>
      </c>
      <c r="DH234" s="662">
        <f t="shared" si="98"/>
        <v>0</v>
      </c>
      <c r="DI234" s="662">
        <f t="shared" si="98"/>
        <v>218190</v>
      </c>
      <c r="DJ234" s="662">
        <f t="shared" si="98"/>
        <v>0</v>
      </c>
      <c r="DK234" s="662">
        <f t="shared" si="98"/>
        <v>218190</v>
      </c>
      <c r="DL234" s="662">
        <f t="shared" si="98"/>
        <v>0</v>
      </c>
      <c r="DM234" s="662">
        <f t="shared" si="98"/>
        <v>2090</v>
      </c>
      <c r="DN234" s="662">
        <f t="shared" si="98"/>
        <v>0</v>
      </c>
      <c r="DO234" s="662">
        <f t="shared" si="98"/>
        <v>0</v>
      </c>
      <c r="DP234" s="662">
        <f t="shared" si="98"/>
        <v>126269</v>
      </c>
      <c r="DQ234" s="662">
        <f t="shared" si="98"/>
        <v>0</v>
      </c>
      <c r="DR234" s="662">
        <f t="shared" si="98"/>
        <v>126041</v>
      </c>
      <c r="DS234" s="662">
        <f t="shared" si="98"/>
        <v>0</v>
      </c>
      <c r="DT234" s="662">
        <f t="shared" si="98"/>
        <v>1282</v>
      </c>
      <c r="DU234" s="662">
        <f t="shared" si="98"/>
        <v>0</v>
      </c>
      <c r="DV234" s="662">
        <f t="shared" si="98"/>
        <v>0</v>
      </c>
      <c r="DW234" s="662">
        <f t="shared" si="98"/>
        <v>125709</v>
      </c>
      <c r="DX234" s="662">
        <f t="shared" si="98"/>
        <v>0</v>
      </c>
      <c r="DY234" s="662">
        <f t="shared" si="98"/>
        <v>119124</v>
      </c>
      <c r="DZ234" s="662">
        <f t="shared" si="98"/>
        <v>0</v>
      </c>
      <c r="EA234" s="662">
        <f t="shared" ref="EA234:EQ234" si="99">EA235+EA236</f>
        <v>2205</v>
      </c>
      <c r="EB234" s="662">
        <f t="shared" si="99"/>
        <v>0</v>
      </c>
      <c r="EC234" s="662">
        <f t="shared" si="99"/>
        <v>0</v>
      </c>
      <c r="ED234" s="662">
        <f t="shared" si="99"/>
        <v>319685</v>
      </c>
      <c r="EE234" s="662">
        <f t="shared" si="99"/>
        <v>0</v>
      </c>
      <c r="EF234" s="662">
        <f t="shared" si="99"/>
        <v>319685</v>
      </c>
      <c r="EG234" s="662">
        <f t="shared" si="99"/>
        <v>0</v>
      </c>
      <c r="EH234" s="662">
        <f t="shared" si="99"/>
        <v>3602</v>
      </c>
      <c r="EI234" s="662">
        <f t="shared" si="99"/>
        <v>0</v>
      </c>
      <c r="EJ234" s="662">
        <f t="shared" si="99"/>
        <v>0</v>
      </c>
      <c r="EK234" s="662">
        <f t="shared" si="99"/>
        <v>670889</v>
      </c>
      <c r="EL234" s="662">
        <f t="shared" si="99"/>
        <v>0</v>
      </c>
      <c r="EM234" s="662">
        <f t="shared" si="99"/>
        <v>670889</v>
      </c>
      <c r="EN234" s="662">
        <f t="shared" si="99"/>
        <v>0</v>
      </c>
      <c r="EO234" s="662">
        <f t="shared" si="99"/>
        <v>36295</v>
      </c>
      <c r="EP234" s="662">
        <f t="shared" si="99"/>
        <v>0</v>
      </c>
      <c r="EQ234" s="662">
        <f t="shared" si="99"/>
        <v>0</v>
      </c>
    </row>
    <row r="235" spans="1:148" ht="13.95" customHeight="1" x14ac:dyDescent="0.3">
      <c r="A235" s="660" t="s">
        <v>1891</v>
      </c>
      <c r="B235" s="661" t="s">
        <v>269</v>
      </c>
      <c r="C235" s="662">
        <v>1773620</v>
      </c>
      <c r="D235" s="662">
        <v>0</v>
      </c>
      <c r="E235" s="662">
        <v>1689353</v>
      </c>
      <c r="F235" s="662">
        <v>0</v>
      </c>
      <c r="G235" s="662">
        <v>47206</v>
      </c>
      <c r="H235" s="662">
        <v>0</v>
      </c>
      <c r="I235" s="662">
        <v>0</v>
      </c>
      <c r="J235" s="802">
        <v>178936</v>
      </c>
      <c r="K235" s="662">
        <v>0</v>
      </c>
      <c r="L235" s="662">
        <v>178936</v>
      </c>
      <c r="M235" s="662">
        <v>0</v>
      </c>
      <c r="N235" s="662">
        <v>1201</v>
      </c>
      <c r="O235" s="662">
        <v>0</v>
      </c>
      <c r="P235" s="662">
        <v>0</v>
      </c>
      <c r="Q235" s="802">
        <v>35000</v>
      </c>
      <c r="R235" s="662">
        <v>35000</v>
      </c>
      <c r="S235" s="662">
        <v>0</v>
      </c>
      <c r="T235" s="662">
        <v>280</v>
      </c>
      <c r="U235" s="662">
        <v>0</v>
      </c>
      <c r="V235" s="662">
        <v>0</v>
      </c>
      <c r="W235" s="802">
        <v>20041</v>
      </c>
      <c r="X235" s="662">
        <v>0</v>
      </c>
      <c r="Y235" s="662">
        <v>20041</v>
      </c>
      <c r="Z235" s="662">
        <v>0</v>
      </c>
      <c r="AA235" s="662">
        <v>505</v>
      </c>
      <c r="AB235" s="662">
        <v>0</v>
      </c>
      <c r="AC235" s="662">
        <v>0</v>
      </c>
      <c r="AD235" s="802">
        <v>92100</v>
      </c>
      <c r="AE235" s="662">
        <v>0</v>
      </c>
      <c r="AF235" s="662">
        <v>92100</v>
      </c>
      <c r="AG235" s="662">
        <v>0</v>
      </c>
      <c r="AH235" s="662">
        <v>2023</v>
      </c>
      <c r="AI235" s="662">
        <v>0</v>
      </c>
      <c r="AJ235" s="662">
        <v>0</v>
      </c>
      <c r="AK235" s="802">
        <v>221400</v>
      </c>
      <c r="AL235" s="662">
        <v>166309</v>
      </c>
      <c r="AM235" s="662">
        <v>0</v>
      </c>
      <c r="AN235" s="662">
        <v>11526</v>
      </c>
      <c r="AO235" s="662">
        <v>0</v>
      </c>
      <c r="AP235" s="662">
        <v>0</v>
      </c>
      <c r="AQ235" s="802">
        <v>24132</v>
      </c>
      <c r="AR235" s="662">
        <v>0</v>
      </c>
      <c r="AS235" s="662">
        <v>24132</v>
      </c>
      <c r="AT235" s="662">
        <v>0</v>
      </c>
      <c r="AU235" s="662">
        <v>255</v>
      </c>
      <c r="AV235" s="662">
        <v>0</v>
      </c>
      <c r="AW235" s="662">
        <v>0</v>
      </c>
      <c r="AX235" s="662">
        <v>6374</v>
      </c>
      <c r="AY235" s="662">
        <v>0</v>
      </c>
      <c r="AZ235" s="662">
        <v>6361</v>
      </c>
      <c r="BA235" s="662">
        <v>0</v>
      </c>
      <c r="BB235" s="662">
        <v>150</v>
      </c>
      <c r="BC235" s="662">
        <v>0</v>
      </c>
      <c r="BD235" s="662">
        <v>0</v>
      </c>
      <c r="BE235" s="802">
        <v>29112</v>
      </c>
      <c r="BF235" s="662">
        <v>0</v>
      </c>
      <c r="BG235" s="662">
        <v>29112</v>
      </c>
      <c r="BH235" s="662">
        <v>0</v>
      </c>
      <c r="BI235" s="662">
        <v>1694</v>
      </c>
      <c r="BJ235" s="662">
        <v>0</v>
      </c>
      <c r="BK235" s="662">
        <v>0</v>
      </c>
      <c r="BL235" s="662">
        <v>48645</v>
      </c>
      <c r="BM235" s="662">
        <v>0</v>
      </c>
      <c r="BN235" s="662">
        <v>47017</v>
      </c>
      <c r="BO235" s="662">
        <v>0</v>
      </c>
      <c r="BP235" s="662">
        <v>2001</v>
      </c>
      <c r="BQ235" s="662">
        <v>0</v>
      </c>
      <c r="BR235" s="662">
        <v>0</v>
      </c>
      <c r="BS235" s="662">
        <v>52000</v>
      </c>
      <c r="BT235" s="662">
        <v>0</v>
      </c>
      <c r="BU235" s="662">
        <v>52000</v>
      </c>
      <c r="BV235" s="662">
        <v>0</v>
      </c>
      <c r="BW235" s="662">
        <v>1136</v>
      </c>
      <c r="BX235" s="662">
        <v>0</v>
      </c>
      <c r="BY235" s="662">
        <v>0</v>
      </c>
      <c r="BZ235" s="662">
        <v>30254</v>
      </c>
      <c r="CA235" s="662">
        <v>0</v>
      </c>
      <c r="CB235" s="662">
        <v>30159</v>
      </c>
      <c r="CC235" s="662">
        <v>0</v>
      </c>
      <c r="CD235" s="662">
        <v>749</v>
      </c>
      <c r="CE235" s="662">
        <v>0</v>
      </c>
      <c r="CF235" s="662">
        <v>0</v>
      </c>
      <c r="CG235" s="662">
        <v>140500</v>
      </c>
      <c r="CH235" s="662">
        <v>0</v>
      </c>
      <c r="CI235" s="662">
        <v>122880</v>
      </c>
      <c r="CJ235" s="662">
        <v>0</v>
      </c>
      <c r="CK235" s="662">
        <v>2189</v>
      </c>
      <c r="CL235" s="662">
        <v>0</v>
      </c>
      <c r="CM235" s="662">
        <v>0</v>
      </c>
      <c r="CN235" s="662">
        <v>168821</v>
      </c>
      <c r="CO235" s="662">
        <v>0</v>
      </c>
      <c r="CP235" s="662">
        <v>163060</v>
      </c>
      <c r="CQ235" s="662">
        <v>0</v>
      </c>
      <c r="CR235" s="662">
        <v>4033</v>
      </c>
      <c r="CS235" s="662">
        <v>0</v>
      </c>
      <c r="CT235" s="662">
        <v>0</v>
      </c>
      <c r="CU235" s="662">
        <v>25100</v>
      </c>
      <c r="CV235" s="662">
        <v>0</v>
      </c>
      <c r="CW235" s="662">
        <v>25100</v>
      </c>
      <c r="CX235" s="662">
        <v>0</v>
      </c>
      <c r="CY235" s="662">
        <v>251</v>
      </c>
      <c r="CZ235" s="662">
        <v>0</v>
      </c>
      <c r="DA235" s="662">
        <v>0</v>
      </c>
      <c r="DB235" s="662">
        <v>42000</v>
      </c>
      <c r="DC235" s="662">
        <v>0</v>
      </c>
      <c r="DD235" s="662">
        <v>42000</v>
      </c>
      <c r="DE235" s="662">
        <v>0</v>
      </c>
      <c r="DF235" s="662">
        <v>3575</v>
      </c>
      <c r="DG235" s="662">
        <v>0</v>
      </c>
      <c r="DH235" s="662">
        <v>0</v>
      </c>
      <c r="DI235" s="662">
        <v>89945</v>
      </c>
      <c r="DJ235" s="662">
        <v>0</v>
      </c>
      <c r="DK235" s="662">
        <v>89945</v>
      </c>
      <c r="DL235" s="662">
        <v>0</v>
      </c>
      <c r="DM235" s="662">
        <v>816</v>
      </c>
      <c r="DN235" s="662">
        <v>0</v>
      </c>
      <c r="DO235" s="662">
        <v>0</v>
      </c>
      <c r="DP235" s="662">
        <v>37619</v>
      </c>
      <c r="DQ235" s="662">
        <v>0</v>
      </c>
      <c r="DR235" s="662">
        <v>37600</v>
      </c>
      <c r="DS235" s="662">
        <v>0</v>
      </c>
      <c r="DT235" s="662">
        <v>245</v>
      </c>
      <c r="DU235" s="662">
        <v>0</v>
      </c>
      <c r="DV235" s="662">
        <v>0</v>
      </c>
      <c r="DW235" s="662">
        <v>87465</v>
      </c>
      <c r="DX235" s="662">
        <v>0</v>
      </c>
      <c r="DY235" s="662">
        <v>83425</v>
      </c>
      <c r="DZ235" s="662">
        <v>0</v>
      </c>
      <c r="EA235" s="662">
        <v>1245</v>
      </c>
      <c r="EB235" s="662">
        <v>0</v>
      </c>
      <c r="EC235" s="662">
        <v>0</v>
      </c>
      <c r="ED235" s="662">
        <v>205325</v>
      </c>
      <c r="EE235" s="662">
        <v>0</v>
      </c>
      <c r="EF235" s="662">
        <v>205325</v>
      </c>
      <c r="EG235" s="662">
        <v>0</v>
      </c>
      <c r="EH235" s="662">
        <v>2252</v>
      </c>
      <c r="EI235" s="662">
        <v>0</v>
      </c>
      <c r="EJ235" s="662">
        <v>0</v>
      </c>
      <c r="EK235" s="662">
        <v>238851</v>
      </c>
      <c r="EL235" s="662">
        <v>0</v>
      </c>
      <c r="EM235" s="662">
        <v>238851</v>
      </c>
      <c r="EN235" s="662">
        <v>0</v>
      </c>
      <c r="EO235" s="662">
        <v>11080</v>
      </c>
      <c r="EP235" s="662">
        <v>0</v>
      </c>
      <c r="EQ235" s="662">
        <v>0</v>
      </c>
    </row>
    <row r="236" spans="1:148" ht="13.95" customHeight="1" x14ac:dyDescent="0.3">
      <c r="A236" s="660" t="s">
        <v>1892</v>
      </c>
      <c r="B236" s="661" t="s">
        <v>269</v>
      </c>
      <c r="C236" s="662">
        <v>1143968</v>
      </c>
      <c r="D236" s="662">
        <v>0</v>
      </c>
      <c r="E236" s="662">
        <v>1126391</v>
      </c>
      <c r="F236" s="662">
        <v>0</v>
      </c>
      <c r="G236" s="662">
        <v>40524</v>
      </c>
      <c r="H236" s="662">
        <v>0</v>
      </c>
      <c r="I236" s="662">
        <v>0</v>
      </c>
      <c r="J236" s="802">
        <v>0</v>
      </c>
      <c r="K236" s="662">
        <v>0</v>
      </c>
      <c r="L236" s="662">
        <v>0</v>
      </c>
      <c r="M236" s="662">
        <v>0</v>
      </c>
      <c r="N236" s="662">
        <v>3</v>
      </c>
      <c r="O236" s="662">
        <v>0</v>
      </c>
      <c r="P236" s="662">
        <v>0</v>
      </c>
      <c r="Q236" s="802">
        <v>10000</v>
      </c>
      <c r="R236" s="662">
        <v>10000</v>
      </c>
      <c r="S236" s="662">
        <v>0</v>
      </c>
      <c r="T236" s="662">
        <v>150</v>
      </c>
      <c r="U236" s="662">
        <v>0</v>
      </c>
      <c r="V236" s="662">
        <v>0</v>
      </c>
      <c r="W236" s="802">
        <v>7492</v>
      </c>
      <c r="X236" s="662">
        <v>0</v>
      </c>
      <c r="Y236" s="662">
        <v>7492</v>
      </c>
      <c r="Z236" s="662">
        <v>0</v>
      </c>
      <c r="AA236" s="662">
        <v>84</v>
      </c>
      <c r="AB236" s="662">
        <v>0</v>
      </c>
      <c r="AC236" s="662">
        <v>0</v>
      </c>
      <c r="AD236" s="802">
        <v>21927</v>
      </c>
      <c r="AE236" s="662">
        <v>0</v>
      </c>
      <c r="AF236" s="662">
        <v>21927</v>
      </c>
      <c r="AG236" s="662">
        <v>0</v>
      </c>
      <c r="AH236" s="662">
        <v>511</v>
      </c>
      <c r="AI236" s="662">
        <v>0</v>
      </c>
      <c r="AJ236" s="662">
        <v>0</v>
      </c>
      <c r="AK236" s="802">
        <v>16300</v>
      </c>
      <c r="AL236" s="662">
        <v>16300</v>
      </c>
      <c r="AM236" s="662">
        <v>0</v>
      </c>
      <c r="AN236" s="662">
        <v>1402</v>
      </c>
      <c r="AO236" s="662">
        <v>0</v>
      </c>
      <c r="AP236" s="662">
        <v>0</v>
      </c>
      <c r="AQ236" s="802">
        <v>26572</v>
      </c>
      <c r="AR236" s="662">
        <v>0</v>
      </c>
      <c r="AS236" s="662">
        <v>26572</v>
      </c>
      <c r="AT236" s="662">
        <v>0</v>
      </c>
      <c r="AU236" s="662">
        <v>371</v>
      </c>
      <c r="AV236" s="662">
        <v>0</v>
      </c>
      <c r="AW236" s="662">
        <v>0</v>
      </c>
      <c r="AX236" s="662">
        <v>12502</v>
      </c>
      <c r="AY236" s="662">
        <v>0</v>
      </c>
      <c r="AZ236" s="662">
        <v>12489</v>
      </c>
      <c r="BA236" s="662">
        <v>0</v>
      </c>
      <c r="BB236" s="662">
        <v>228</v>
      </c>
      <c r="BC236" s="662">
        <v>0</v>
      </c>
      <c r="BD236" s="662">
        <v>0</v>
      </c>
      <c r="BE236" s="802">
        <v>18047</v>
      </c>
      <c r="BF236" s="662">
        <v>0</v>
      </c>
      <c r="BG236" s="662">
        <v>18047</v>
      </c>
      <c r="BH236" s="662">
        <v>0</v>
      </c>
      <c r="BI236" s="662">
        <v>1051</v>
      </c>
      <c r="BJ236" s="662">
        <v>0</v>
      </c>
      <c r="BK236" s="662">
        <v>0</v>
      </c>
      <c r="BL236" s="662">
        <v>21629</v>
      </c>
      <c r="BM236" s="662">
        <v>0</v>
      </c>
      <c r="BN236" s="662">
        <v>21085</v>
      </c>
      <c r="BO236" s="662">
        <v>0</v>
      </c>
      <c r="BP236" s="662">
        <v>900</v>
      </c>
      <c r="BQ236" s="662">
        <v>0</v>
      </c>
      <c r="BR236" s="662">
        <v>0</v>
      </c>
      <c r="BS236" s="662">
        <v>1700</v>
      </c>
      <c r="BT236" s="662">
        <v>0</v>
      </c>
      <c r="BU236" s="662">
        <v>1700</v>
      </c>
      <c r="BV236" s="662">
        <v>0</v>
      </c>
      <c r="BW236" s="662">
        <v>53</v>
      </c>
      <c r="BX236" s="662">
        <v>0</v>
      </c>
      <c r="BY236" s="662">
        <v>0</v>
      </c>
      <c r="BZ236" s="662">
        <v>11632</v>
      </c>
      <c r="CA236" s="662">
        <v>0</v>
      </c>
      <c r="CB236" s="662">
        <v>11536</v>
      </c>
      <c r="CC236" s="662">
        <v>0</v>
      </c>
      <c r="CD236" s="662">
        <v>219</v>
      </c>
      <c r="CE236" s="662">
        <v>0</v>
      </c>
      <c r="CF236" s="662">
        <v>0</v>
      </c>
      <c r="CG236" s="662">
        <v>78800</v>
      </c>
      <c r="CH236" s="662">
        <v>0</v>
      </c>
      <c r="CI236" s="662">
        <v>68200</v>
      </c>
      <c r="CJ236" s="662">
        <v>0</v>
      </c>
      <c r="CK236" s="662">
        <v>1116</v>
      </c>
      <c r="CL236" s="662">
        <v>0</v>
      </c>
      <c r="CM236" s="662">
        <v>0</v>
      </c>
      <c r="CN236" s="662">
        <v>44450</v>
      </c>
      <c r="CO236" s="662">
        <v>0</v>
      </c>
      <c r="CP236" s="662">
        <v>43930</v>
      </c>
      <c r="CQ236" s="662">
        <v>0</v>
      </c>
      <c r="CR236" s="662">
        <v>938</v>
      </c>
      <c r="CS236" s="662">
        <v>0</v>
      </c>
      <c r="CT236" s="662">
        <v>0</v>
      </c>
      <c r="CU236" s="662">
        <v>19000</v>
      </c>
      <c r="CV236" s="662">
        <v>0</v>
      </c>
      <c r="CW236" s="662">
        <v>19000</v>
      </c>
      <c r="CX236" s="662">
        <v>0</v>
      </c>
      <c r="CY236" s="662">
        <v>261</v>
      </c>
      <c r="CZ236" s="662">
        <v>0</v>
      </c>
      <c r="DA236" s="662">
        <v>0</v>
      </c>
      <c r="DB236" s="662">
        <v>52380</v>
      </c>
      <c r="DC236" s="662">
        <v>0</v>
      </c>
      <c r="DD236" s="662">
        <v>49330</v>
      </c>
      <c r="DE236" s="662">
        <v>0</v>
      </c>
      <c r="DF236" s="662">
        <v>3401</v>
      </c>
      <c r="DG236" s="662">
        <v>0</v>
      </c>
      <c r="DH236" s="662">
        <v>0</v>
      </c>
      <c r="DI236" s="662">
        <v>128245</v>
      </c>
      <c r="DJ236" s="662">
        <v>0</v>
      </c>
      <c r="DK236" s="662">
        <v>128245</v>
      </c>
      <c r="DL236" s="662">
        <v>0</v>
      </c>
      <c r="DM236" s="662">
        <v>1274</v>
      </c>
      <c r="DN236" s="662">
        <v>0</v>
      </c>
      <c r="DO236" s="662">
        <v>0</v>
      </c>
      <c r="DP236" s="662">
        <v>88650</v>
      </c>
      <c r="DQ236" s="662">
        <v>0</v>
      </c>
      <c r="DR236" s="662">
        <v>88441</v>
      </c>
      <c r="DS236" s="662">
        <v>0</v>
      </c>
      <c r="DT236" s="662">
        <v>1037</v>
      </c>
      <c r="DU236" s="662">
        <v>0</v>
      </c>
      <c r="DV236" s="662">
        <v>0</v>
      </c>
      <c r="DW236" s="662">
        <v>38244</v>
      </c>
      <c r="DX236" s="662">
        <v>0</v>
      </c>
      <c r="DY236" s="662">
        <v>35699</v>
      </c>
      <c r="DZ236" s="662">
        <v>0</v>
      </c>
      <c r="EA236" s="662">
        <v>960</v>
      </c>
      <c r="EB236" s="662">
        <v>0</v>
      </c>
      <c r="EC236" s="662">
        <v>0</v>
      </c>
      <c r="ED236" s="662">
        <v>114360</v>
      </c>
      <c r="EE236" s="662">
        <v>0</v>
      </c>
      <c r="EF236" s="662">
        <v>114360</v>
      </c>
      <c r="EG236" s="662">
        <v>0</v>
      </c>
      <c r="EH236" s="662">
        <v>1350</v>
      </c>
      <c r="EI236" s="662">
        <v>0</v>
      </c>
      <c r="EJ236" s="662">
        <v>0</v>
      </c>
      <c r="EK236" s="662">
        <v>432038</v>
      </c>
      <c r="EL236" s="662">
        <v>0</v>
      </c>
      <c r="EM236" s="662">
        <v>432038</v>
      </c>
      <c r="EN236" s="662">
        <v>0</v>
      </c>
      <c r="EO236" s="662">
        <v>25215</v>
      </c>
      <c r="EP236" s="662">
        <v>0</v>
      </c>
      <c r="EQ236" s="662">
        <v>0</v>
      </c>
    </row>
    <row r="237" spans="1:148" ht="21.6" customHeight="1" x14ac:dyDescent="0.3">
      <c r="A237" s="660" t="s">
        <v>1893</v>
      </c>
      <c r="B237" s="661" t="s">
        <v>269</v>
      </c>
      <c r="C237" s="662">
        <v>874304</v>
      </c>
      <c r="D237" s="662">
        <v>0</v>
      </c>
      <c r="E237" s="662">
        <v>856000</v>
      </c>
      <c r="F237" s="662">
        <v>0</v>
      </c>
      <c r="G237" s="662">
        <v>94999</v>
      </c>
      <c r="H237" s="662">
        <v>0</v>
      </c>
      <c r="I237" s="662">
        <v>0</v>
      </c>
      <c r="J237" s="802">
        <v>53033</v>
      </c>
      <c r="K237" s="662">
        <v>0</v>
      </c>
      <c r="L237" s="662">
        <v>53033</v>
      </c>
      <c r="M237" s="662">
        <v>0</v>
      </c>
      <c r="N237" s="662">
        <v>5397</v>
      </c>
      <c r="O237" s="662">
        <v>0</v>
      </c>
      <c r="P237" s="662">
        <v>0</v>
      </c>
      <c r="Q237" s="802">
        <v>9500</v>
      </c>
      <c r="R237" s="662">
        <v>9500</v>
      </c>
      <c r="S237" s="662">
        <v>0</v>
      </c>
      <c r="T237" s="662">
        <v>665</v>
      </c>
      <c r="U237" s="662">
        <v>0</v>
      </c>
      <c r="V237" s="662">
        <v>0</v>
      </c>
      <c r="W237" s="802">
        <v>9095</v>
      </c>
      <c r="X237" s="662">
        <v>0</v>
      </c>
      <c r="Y237" s="662">
        <v>9045</v>
      </c>
      <c r="Z237" s="662">
        <v>0</v>
      </c>
      <c r="AA237" s="662">
        <v>115</v>
      </c>
      <c r="AB237" s="662">
        <v>0</v>
      </c>
      <c r="AC237" s="662">
        <v>0</v>
      </c>
      <c r="AD237" s="802">
        <v>92506</v>
      </c>
      <c r="AE237" s="662">
        <v>0</v>
      </c>
      <c r="AF237" s="662">
        <v>92506</v>
      </c>
      <c r="AG237" s="662">
        <v>0</v>
      </c>
      <c r="AH237" s="662">
        <v>20100</v>
      </c>
      <c r="AI237" s="662">
        <v>0</v>
      </c>
      <c r="AJ237" s="662">
        <v>0</v>
      </c>
      <c r="AK237" s="802">
        <v>81217</v>
      </c>
      <c r="AL237" s="662">
        <v>80852</v>
      </c>
      <c r="AM237" s="662">
        <v>0</v>
      </c>
      <c r="AN237" s="662">
        <v>34257</v>
      </c>
      <c r="AO237" s="662">
        <v>0</v>
      </c>
      <c r="AP237" s="662">
        <v>0</v>
      </c>
      <c r="AQ237" s="802">
        <v>49404</v>
      </c>
      <c r="AR237" s="662">
        <v>0</v>
      </c>
      <c r="AS237" s="662">
        <v>49404</v>
      </c>
      <c r="AT237" s="662">
        <v>0</v>
      </c>
      <c r="AU237" s="662">
        <v>3896</v>
      </c>
      <c r="AV237" s="662">
        <v>0</v>
      </c>
      <c r="AW237" s="662">
        <v>0</v>
      </c>
      <c r="AX237" s="662">
        <v>26987</v>
      </c>
      <c r="AY237" s="662">
        <v>0</v>
      </c>
      <c r="AZ237" s="662">
        <v>26762</v>
      </c>
      <c r="BA237" s="662">
        <v>0</v>
      </c>
      <c r="BB237" s="662">
        <v>1853</v>
      </c>
      <c r="BC237" s="662">
        <v>0</v>
      </c>
      <c r="BD237" s="662">
        <v>0</v>
      </c>
      <c r="BE237" s="802">
        <v>63140</v>
      </c>
      <c r="BF237" s="662">
        <v>0</v>
      </c>
      <c r="BG237" s="662">
        <v>63140</v>
      </c>
      <c r="BH237" s="662">
        <v>0</v>
      </c>
      <c r="BI237" s="662">
        <v>9293</v>
      </c>
      <c r="BJ237" s="662">
        <v>0</v>
      </c>
      <c r="BK237" s="662">
        <v>0</v>
      </c>
      <c r="BL237" s="662">
        <v>38263</v>
      </c>
      <c r="BM237" s="662">
        <v>0</v>
      </c>
      <c r="BN237" s="662">
        <v>38041</v>
      </c>
      <c r="BO237" s="662">
        <v>0</v>
      </c>
      <c r="BP237" s="662">
        <v>3517</v>
      </c>
      <c r="BQ237" s="662">
        <v>0</v>
      </c>
      <c r="BR237" s="662">
        <v>0</v>
      </c>
      <c r="BS237" s="662">
        <v>25500</v>
      </c>
      <c r="BT237" s="662">
        <v>0</v>
      </c>
      <c r="BU237" s="662">
        <v>25500</v>
      </c>
      <c r="BV237" s="662">
        <v>0</v>
      </c>
      <c r="BW237" s="662">
        <v>969</v>
      </c>
      <c r="BX237" s="662">
        <v>0</v>
      </c>
      <c r="BY237" s="662">
        <v>0</v>
      </c>
      <c r="BZ237" s="662">
        <v>20534</v>
      </c>
      <c r="CA237" s="662">
        <v>0</v>
      </c>
      <c r="CB237" s="662">
        <v>20454</v>
      </c>
      <c r="CC237" s="662">
        <v>0</v>
      </c>
      <c r="CD237" s="662">
        <v>819</v>
      </c>
      <c r="CE237" s="662">
        <v>0</v>
      </c>
      <c r="CF237" s="662">
        <v>0</v>
      </c>
      <c r="CG237" s="662">
        <v>83670</v>
      </c>
      <c r="CH237" s="662">
        <v>0</v>
      </c>
      <c r="CI237" s="662">
        <v>69620</v>
      </c>
      <c r="CJ237" s="662">
        <v>0</v>
      </c>
      <c r="CK237" s="662">
        <v>2450</v>
      </c>
      <c r="CL237" s="662">
        <v>0</v>
      </c>
      <c r="CM237" s="662">
        <v>0</v>
      </c>
      <c r="CN237" s="662">
        <v>19968</v>
      </c>
      <c r="CO237" s="662">
        <v>0</v>
      </c>
      <c r="CP237" s="662">
        <v>19968</v>
      </c>
      <c r="CQ237" s="662">
        <v>0</v>
      </c>
      <c r="CR237" s="662">
        <v>644</v>
      </c>
      <c r="CS237" s="662">
        <v>0</v>
      </c>
      <c r="CT237" s="662">
        <v>0</v>
      </c>
      <c r="CU237" s="662">
        <v>38000</v>
      </c>
      <c r="CV237" s="662">
        <v>0</v>
      </c>
      <c r="CW237" s="662">
        <v>38000</v>
      </c>
      <c r="CX237" s="662">
        <v>0</v>
      </c>
      <c r="CY237" s="662">
        <v>444</v>
      </c>
      <c r="CZ237" s="662">
        <v>0</v>
      </c>
      <c r="DA237" s="662">
        <v>0</v>
      </c>
      <c r="DB237" s="662">
        <v>21112</v>
      </c>
      <c r="DC237" s="662">
        <v>0</v>
      </c>
      <c r="DD237" s="662">
        <v>20912</v>
      </c>
      <c r="DE237" s="662">
        <v>0</v>
      </c>
      <c r="DF237" s="662">
        <v>1933</v>
      </c>
      <c r="DG237" s="662">
        <v>0</v>
      </c>
      <c r="DH237" s="662">
        <v>0</v>
      </c>
      <c r="DI237" s="662">
        <v>4780</v>
      </c>
      <c r="DJ237" s="662">
        <v>0</v>
      </c>
      <c r="DK237" s="662">
        <v>4780</v>
      </c>
      <c r="DL237" s="662">
        <v>0</v>
      </c>
      <c r="DM237" s="662">
        <v>61</v>
      </c>
      <c r="DN237" s="662">
        <v>0</v>
      </c>
      <c r="DO237" s="662">
        <v>0</v>
      </c>
      <c r="DP237" s="662">
        <v>9320</v>
      </c>
      <c r="DQ237" s="662">
        <v>0</v>
      </c>
      <c r="DR237" s="662">
        <v>9308</v>
      </c>
      <c r="DS237" s="662">
        <v>0</v>
      </c>
      <c r="DT237" s="662">
        <v>755</v>
      </c>
      <c r="DU237" s="662">
        <v>0</v>
      </c>
      <c r="DV237" s="662">
        <v>0</v>
      </c>
      <c r="DW237" s="662">
        <v>27027</v>
      </c>
      <c r="DX237" s="662">
        <v>0</v>
      </c>
      <c r="DY237" s="662">
        <v>24427</v>
      </c>
      <c r="DZ237" s="662">
        <v>0</v>
      </c>
      <c r="EA237" s="662">
        <v>1005</v>
      </c>
      <c r="EB237" s="662">
        <v>0</v>
      </c>
      <c r="EC237" s="662">
        <v>0</v>
      </c>
      <c r="ED237" s="662">
        <v>147708</v>
      </c>
      <c r="EE237" s="662">
        <v>0</v>
      </c>
      <c r="EF237" s="662">
        <v>147208</v>
      </c>
      <c r="EG237" s="662">
        <v>0</v>
      </c>
      <c r="EH237" s="662">
        <v>2030</v>
      </c>
      <c r="EI237" s="662">
        <v>0</v>
      </c>
      <c r="EJ237" s="662">
        <v>0</v>
      </c>
      <c r="EK237" s="662">
        <v>53540</v>
      </c>
      <c r="EL237" s="662">
        <v>0</v>
      </c>
      <c r="EM237" s="662">
        <v>53540</v>
      </c>
      <c r="EN237" s="662">
        <v>0</v>
      </c>
      <c r="EO237" s="662">
        <v>4796</v>
      </c>
      <c r="EP237" s="662">
        <v>0</v>
      </c>
      <c r="EQ237" s="662">
        <v>0</v>
      </c>
    </row>
    <row r="238" spans="1:148" ht="13.95" customHeight="1" x14ac:dyDescent="0.3">
      <c r="A238" s="660" t="s">
        <v>1894</v>
      </c>
      <c r="B238" s="661" t="s">
        <v>269</v>
      </c>
      <c r="C238" s="662">
        <f t="shared" ref="C238:BN238" si="100">C239+C262+C267</f>
        <v>2054215</v>
      </c>
      <c r="D238" s="662">
        <f t="shared" si="100"/>
        <v>0</v>
      </c>
      <c r="E238" s="662">
        <f t="shared" si="100"/>
        <v>1998379</v>
      </c>
      <c r="F238" s="662">
        <f t="shared" si="100"/>
        <v>137718687</v>
      </c>
      <c r="G238" s="662">
        <f t="shared" si="100"/>
        <v>0</v>
      </c>
      <c r="H238" s="662">
        <f t="shared" si="100"/>
        <v>0</v>
      </c>
      <c r="I238" s="662">
        <f t="shared" si="100"/>
        <v>134350221</v>
      </c>
      <c r="J238" s="802">
        <f t="shared" si="100"/>
        <v>43299</v>
      </c>
      <c r="K238" s="662">
        <f t="shared" si="100"/>
        <v>0</v>
      </c>
      <c r="L238" s="662">
        <f t="shared" si="100"/>
        <v>41277</v>
      </c>
      <c r="M238" s="662">
        <f t="shared" si="100"/>
        <v>3593073</v>
      </c>
      <c r="N238" s="662">
        <f t="shared" si="100"/>
        <v>0</v>
      </c>
      <c r="O238" s="662">
        <f t="shared" si="100"/>
        <v>0</v>
      </c>
      <c r="P238" s="662">
        <f t="shared" si="100"/>
        <v>3593073</v>
      </c>
      <c r="Q238" s="802">
        <f t="shared" si="100"/>
        <v>470</v>
      </c>
      <c r="R238" s="662">
        <f t="shared" si="100"/>
        <v>370</v>
      </c>
      <c r="S238" s="662">
        <f t="shared" si="100"/>
        <v>27600</v>
      </c>
      <c r="T238" s="662">
        <f t="shared" si="100"/>
        <v>0</v>
      </c>
      <c r="U238" s="662">
        <f t="shared" si="100"/>
        <v>0</v>
      </c>
      <c r="V238" s="662">
        <f t="shared" si="100"/>
        <v>24500</v>
      </c>
      <c r="W238" s="802">
        <f t="shared" si="100"/>
        <v>18558</v>
      </c>
      <c r="X238" s="662">
        <f t="shared" si="100"/>
        <v>0</v>
      </c>
      <c r="Y238" s="662">
        <f t="shared" si="100"/>
        <v>18056</v>
      </c>
      <c r="Z238" s="662">
        <f t="shared" si="100"/>
        <v>330045</v>
      </c>
      <c r="AA238" s="662">
        <f t="shared" si="100"/>
        <v>0</v>
      </c>
      <c r="AB238" s="662">
        <f t="shared" si="100"/>
        <v>0</v>
      </c>
      <c r="AC238" s="662">
        <f t="shared" si="100"/>
        <v>312355</v>
      </c>
      <c r="AD238" s="802">
        <f t="shared" si="100"/>
        <v>27358</v>
      </c>
      <c r="AE238" s="662">
        <f t="shared" si="100"/>
        <v>0</v>
      </c>
      <c r="AF238" s="662">
        <f t="shared" si="100"/>
        <v>24342</v>
      </c>
      <c r="AG238" s="662">
        <f t="shared" si="100"/>
        <v>1926330</v>
      </c>
      <c r="AH238" s="662">
        <f t="shared" si="100"/>
        <v>0</v>
      </c>
      <c r="AI238" s="662">
        <f t="shared" si="100"/>
        <v>0</v>
      </c>
      <c r="AJ238" s="662">
        <f t="shared" si="100"/>
        <v>1926330</v>
      </c>
      <c r="AK238" s="802">
        <f t="shared" si="100"/>
        <v>16246</v>
      </c>
      <c r="AL238" s="662">
        <f t="shared" si="100"/>
        <v>15478</v>
      </c>
      <c r="AM238" s="662">
        <f t="shared" si="100"/>
        <v>1657933</v>
      </c>
      <c r="AN238" s="662">
        <f t="shared" si="100"/>
        <v>0</v>
      </c>
      <c r="AO238" s="662">
        <f t="shared" si="100"/>
        <v>0</v>
      </c>
      <c r="AP238" s="662">
        <f t="shared" si="100"/>
        <v>1657933</v>
      </c>
      <c r="AQ238" s="802">
        <f t="shared" si="100"/>
        <v>94517</v>
      </c>
      <c r="AR238" s="662">
        <f t="shared" si="100"/>
        <v>0</v>
      </c>
      <c r="AS238" s="662">
        <f t="shared" si="100"/>
        <v>94470</v>
      </c>
      <c r="AT238" s="662">
        <f t="shared" si="100"/>
        <v>13212841</v>
      </c>
      <c r="AU238" s="662">
        <f t="shared" si="100"/>
        <v>0</v>
      </c>
      <c r="AV238" s="662">
        <f t="shared" si="100"/>
        <v>0</v>
      </c>
      <c r="AW238" s="662">
        <f t="shared" si="100"/>
        <v>13209948</v>
      </c>
      <c r="AX238" s="662">
        <f t="shared" si="100"/>
        <v>24677</v>
      </c>
      <c r="AY238" s="662">
        <f t="shared" si="100"/>
        <v>0</v>
      </c>
      <c r="AZ238" s="662">
        <f t="shared" si="100"/>
        <v>24319</v>
      </c>
      <c r="BA238" s="662">
        <f t="shared" si="100"/>
        <v>2418505</v>
      </c>
      <c r="BB238" s="662">
        <f t="shared" si="100"/>
        <v>0</v>
      </c>
      <c r="BC238" s="662">
        <f t="shared" si="100"/>
        <v>0</v>
      </c>
      <c r="BD238" s="662">
        <f t="shared" si="100"/>
        <v>2414399</v>
      </c>
      <c r="BE238" s="802">
        <f t="shared" si="100"/>
        <v>57566</v>
      </c>
      <c r="BF238" s="662">
        <f t="shared" si="100"/>
        <v>0</v>
      </c>
      <c r="BG238" s="662">
        <f t="shared" si="100"/>
        <v>53581</v>
      </c>
      <c r="BH238" s="662">
        <f t="shared" si="100"/>
        <v>7919990</v>
      </c>
      <c r="BI238" s="662">
        <f t="shared" si="100"/>
        <v>0</v>
      </c>
      <c r="BJ238" s="662">
        <f t="shared" si="100"/>
        <v>0</v>
      </c>
      <c r="BK238" s="662">
        <f t="shared" si="100"/>
        <v>7918990</v>
      </c>
      <c r="BL238" s="662">
        <f t="shared" si="100"/>
        <v>149224</v>
      </c>
      <c r="BM238" s="662">
        <f t="shared" si="100"/>
        <v>0</v>
      </c>
      <c r="BN238" s="662">
        <f t="shared" si="100"/>
        <v>137974</v>
      </c>
      <c r="BO238" s="662">
        <f t="shared" ref="BO238:DZ238" si="101">BO239+BO262+BO267</f>
        <v>4714428</v>
      </c>
      <c r="BP238" s="662">
        <f t="shared" si="101"/>
        <v>0</v>
      </c>
      <c r="BQ238" s="662">
        <f t="shared" si="101"/>
        <v>0</v>
      </c>
      <c r="BR238" s="662">
        <f t="shared" si="101"/>
        <v>4618562</v>
      </c>
      <c r="BS238" s="662">
        <f t="shared" si="101"/>
        <v>39312</v>
      </c>
      <c r="BT238" s="662">
        <f t="shared" si="101"/>
        <v>0</v>
      </c>
      <c r="BU238" s="662">
        <f t="shared" si="101"/>
        <v>37412</v>
      </c>
      <c r="BV238" s="662">
        <f t="shared" si="101"/>
        <v>1534220</v>
      </c>
      <c r="BW238" s="662">
        <f t="shared" si="101"/>
        <v>0</v>
      </c>
      <c r="BX238" s="662">
        <f t="shared" si="101"/>
        <v>0</v>
      </c>
      <c r="BY238" s="662">
        <f t="shared" si="101"/>
        <v>1534220</v>
      </c>
      <c r="BZ238" s="662">
        <f t="shared" si="101"/>
        <v>25481</v>
      </c>
      <c r="CA238" s="662">
        <f t="shared" si="101"/>
        <v>0</v>
      </c>
      <c r="CB238" s="662">
        <f t="shared" si="101"/>
        <v>25065</v>
      </c>
      <c r="CC238" s="662">
        <f t="shared" si="101"/>
        <v>1665167</v>
      </c>
      <c r="CD238" s="662">
        <f t="shared" si="101"/>
        <v>0</v>
      </c>
      <c r="CE238" s="662">
        <f t="shared" si="101"/>
        <v>0</v>
      </c>
      <c r="CF238" s="662">
        <f t="shared" si="101"/>
        <v>1607881</v>
      </c>
      <c r="CG238" s="662">
        <f t="shared" si="101"/>
        <v>104920</v>
      </c>
      <c r="CH238" s="662">
        <f t="shared" si="101"/>
        <v>0</v>
      </c>
      <c r="CI238" s="662">
        <f t="shared" si="101"/>
        <v>99945</v>
      </c>
      <c r="CJ238" s="662">
        <f t="shared" si="101"/>
        <v>3884313</v>
      </c>
      <c r="CK238" s="662">
        <f t="shared" si="101"/>
        <v>0</v>
      </c>
      <c r="CL238" s="662">
        <f t="shared" si="101"/>
        <v>0</v>
      </c>
      <c r="CM238" s="662">
        <f t="shared" si="101"/>
        <v>3680769</v>
      </c>
      <c r="CN238" s="662">
        <f t="shared" si="101"/>
        <v>75103</v>
      </c>
      <c r="CO238" s="662">
        <f t="shared" si="101"/>
        <v>0</v>
      </c>
      <c r="CP238" s="662">
        <f t="shared" si="101"/>
        <v>71563</v>
      </c>
      <c r="CQ238" s="662">
        <f t="shared" si="101"/>
        <v>5897055</v>
      </c>
      <c r="CR238" s="662">
        <f t="shared" si="101"/>
        <v>0</v>
      </c>
      <c r="CS238" s="662">
        <f t="shared" si="101"/>
        <v>0</v>
      </c>
      <c r="CT238" s="662">
        <f t="shared" si="101"/>
        <v>5883678</v>
      </c>
      <c r="CU238" s="662">
        <f t="shared" si="101"/>
        <v>19999</v>
      </c>
      <c r="CV238" s="662">
        <f t="shared" si="101"/>
        <v>0</v>
      </c>
      <c r="CW238" s="662">
        <f t="shared" si="101"/>
        <v>19999</v>
      </c>
      <c r="CX238" s="662">
        <f t="shared" si="101"/>
        <v>1363540</v>
      </c>
      <c r="CY238" s="662">
        <f t="shared" si="101"/>
        <v>0</v>
      </c>
      <c r="CZ238" s="662">
        <f t="shared" si="101"/>
        <v>0</v>
      </c>
      <c r="DA238" s="662">
        <f t="shared" si="101"/>
        <v>1363540</v>
      </c>
      <c r="DB238" s="662">
        <f t="shared" si="101"/>
        <v>105646</v>
      </c>
      <c r="DC238" s="662">
        <f t="shared" si="101"/>
        <v>0</v>
      </c>
      <c r="DD238" s="662">
        <f t="shared" si="101"/>
        <v>101887</v>
      </c>
      <c r="DE238" s="662">
        <f t="shared" si="101"/>
        <v>4596961</v>
      </c>
      <c r="DF238" s="662">
        <f t="shared" si="101"/>
        <v>0</v>
      </c>
      <c r="DG238" s="662">
        <f t="shared" si="101"/>
        <v>0</v>
      </c>
      <c r="DH238" s="662">
        <f t="shared" si="101"/>
        <v>4414081</v>
      </c>
      <c r="DI238" s="662">
        <f t="shared" si="101"/>
        <v>506973</v>
      </c>
      <c r="DJ238" s="662">
        <f t="shared" si="101"/>
        <v>0</v>
      </c>
      <c r="DK238" s="662">
        <f t="shared" si="101"/>
        <v>502174</v>
      </c>
      <c r="DL238" s="662">
        <f t="shared" si="101"/>
        <v>29199600</v>
      </c>
      <c r="DM238" s="662">
        <f t="shared" si="101"/>
        <v>0</v>
      </c>
      <c r="DN238" s="662">
        <f t="shared" si="101"/>
        <v>0</v>
      </c>
      <c r="DO238" s="662">
        <f t="shared" si="101"/>
        <v>28106805</v>
      </c>
      <c r="DP238" s="662">
        <f t="shared" si="101"/>
        <v>34465</v>
      </c>
      <c r="DQ238" s="662">
        <f t="shared" si="101"/>
        <v>0</v>
      </c>
      <c r="DR238" s="662">
        <f t="shared" si="101"/>
        <v>34158</v>
      </c>
      <c r="DS238" s="662">
        <f t="shared" si="101"/>
        <v>1629129</v>
      </c>
      <c r="DT238" s="662">
        <f t="shared" si="101"/>
        <v>0</v>
      </c>
      <c r="DU238" s="662">
        <f t="shared" si="101"/>
        <v>0</v>
      </c>
      <c r="DV238" s="662">
        <f t="shared" si="101"/>
        <v>1571391</v>
      </c>
      <c r="DW238" s="662">
        <f t="shared" si="101"/>
        <v>233759</v>
      </c>
      <c r="DX238" s="662">
        <f t="shared" si="101"/>
        <v>0</v>
      </c>
      <c r="DY238" s="662">
        <f t="shared" si="101"/>
        <v>232564</v>
      </c>
      <c r="DZ238" s="662">
        <f t="shared" si="101"/>
        <v>16807572</v>
      </c>
      <c r="EA238" s="662">
        <f t="shared" ref="EA238:EQ238" si="102">EA239+EA262+EA267</f>
        <v>0</v>
      </c>
      <c r="EB238" s="662">
        <f t="shared" si="102"/>
        <v>0</v>
      </c>
      <c r="EC238" s="662">
        <f t="shared" si="102"/>
        <v>15891598</v>
      </c>
      <c r="ED238" s="662">
        <f t="shared" si="102"/>
        <v>405411</v>
      </c>
      <c r="EE238" s="662">
        <f t="shared" si="102"/>
        <v>0</v>
      </c>
      <c r="EF238" s="662">
        <f t="shared" si="102"/>
        <v>394411</v>
      </c>
      <c r="EG238" s="662">
        <f t="shared" si="102"/>
        <v>33544953</v>
      </c>
      <c r="EH238" s="662">
        <f t="shared" si="102"/>
        <v>0</v>
      </c>
      <c r="EI238" s="662">
        <f t="shared" si="102"/>
        <v>0</v>
      </c>
      <c r="EJ238" s="662">
        <f t="shared" si="102"/>
        <v>32817838</v>
      </c>
      <c r="EK238" s="662">
        <f t="shared" si="102"/>
        <v>71234</v>
      </c>
      <c r="EL238" s="662">
        <f t="shared" si="102"/>
        <v>0</v>
      </c>
      <c r="EM238" s="662">
        <f t="shared" si="102"/>
        <v>69337</v>
      </c>
      <c r="EN238" s="662">
        <f t="shared" si="102"/>
        <v>1795652</v>
      </c>
      <c r="EO238" s="662">
        <f t="shared" si="102"/>
        <v>0</v>
      </c>
      <c r="EP238" s="662">
        <f t="shared" si="102"/>
        <v>0</v>
      </c>
      <c r="EQ238" s="662">
        <f t="shared" si="102"/>
        <v>1802520</v>
      </c>
      <c r="ER238" s="655"/>
    </row>
    <row r="239" spans="1:148" ht="13.95" customHeight="1" x14ac:dyDescent="0.3">
      <c r="A239" s="660" t="s">
        <v>1895</v>
      </c>
      <c r="B239" s="661" t="s">
        <v>269</v>
      </c>
      <c r="C239" s="662">
        <f t="shared" ref="C239:BN239" si="103">C244+C259</f>
        <v>717243</v>
      </c>
      <c r="D239" s="662">
        <f t="shared" si="103"/>
        <v>0</v>
      </c>
      <c r="E239" s="662">
        <f t="shared" si="103"/>
        <v>693198</v>
      </c>
      <c r="F239" s="662">
        <f t="shared" si="103"/>
        <v>79729343</v>
      </c>
      <c r="G239" s="662">
        <f t="shared" si="103"/>
        <v>0</v>
      </c>
      <c r="H239" s="662">
        <f t="shared" si="103"/>
        <v>0</v>
      </c>
      <c r="I239" s="662">
        <f t="shared" si="103"/>
        <v>78628584</v>
      </c>
      <c r="J239" s="802">
        <f t="shared" si="103"/>
        <v>43167</v>
      </c>
      <c r="K239" s="662">
        <f t="shared" si="103"/>
        <v>0</v>
      </c>
      <c r="L239" s="662">
        <f t="shared" si="103"/>
        <v>41165</v>
      </c>
      <c r="M239" s="662">
        <f t="shared" si="103"/>
        <v>3592055</v>
      </c>
      <c r="N239" s="662">
        <f t="shared" si="103"/>
        <v>0</v>
      </c>
      <c r="O239" s="662">
        <f t="shared" si="103"/>
        <v>0</v>
      </c>
      <c r="P239" s="662">
        <f t="shared" si="103"/>
        <v>3592055</v>
      </c>
      <c r="Q239" s="802">
        <f t="shared" si="103"/>
        <v>470</v>
      </c>
      <c r="R239" s="662">
        <f t="shared" si="103"/>
        <v>370</v>
      </c>
      <c r="S239" s="662">
        <f t="shared" si="103"/>
        <v>27600</v>
      </c>
      <c r="T239" s="662">
        <f t="shared" si="103"/>
        <v>0</v>
      </c>
      <c r="U239" s="662">
        <f t="shared" si="103"/>
        <v>0</v>
      </c>
      <c r="V239" s="662">
        <f t="shared" si="103"/>
        <v>24500</v>
      </c>
      <c r="W239" s="802">
        <f t="shared" si="103"/>
        <v>1626</v>
      </c>
      <c r="X239" s="662">
        <f t="shared" si="103"/>
        <v>0</v>
      </c>
      <c r="Y239" s="662">
        <f t="shared" si="103"/>
        <v>1625</v>
      </c>
      <c r="Z239" s="662">
        <f t="shared" si="103"/>
        <v>108915</v>
      </c>
      <c r="AA239" s="662">
        <f t="shared" si="103"/>
        <v>0</v>
      </c>
      <c r="AB239" s="662">
        <f t="shared" si="103"/>
        <v>0</v>
      </c>
      <c r="AC239" s="662">
        <f t="shared" si="103"/>
        <v>108495</v>
      </c>
      <c r="AD239" s="802">
        <f t="shared" si="103"/>
        <v>24962</v>
      </c>
      <c r="AE239" s="662">
        <f t="shared" si="103"/>
        <v>0</v>
      </c>
      <c r="AF239" s="662">
        <f t="shared" si="103"/>
        <v>22015</v>
      </c>
      <c r="AG239" s="662">
        <f t="shared" si="103"/>
        <v>1918985</v>
      </c>
      <c r="AH239" s="662">
        <f t="shared" si="103"/>
        <v>0</v>
      </c>
      <c r="AI239" s="662">
        <f t="shared" si="103"/>
        <v>0</v>
      </c>
      <c r="AJ239" s="662">
        <f t="shared" si="103"/>
        <v>1918985</v>
      </c>
      <c r="AK239" s="802">
        <f t="shared" si="103"/>
        <v>15854</v>
      </c>
      <c r="AL239" s="662">
        <f t="shared" si="103"/>
        <v>15091</v>
      </c>
      <c r="AM239" s="662">
        <f t="shared" si="103"/>
        <v>1629933</v>
      </c>
      <c r="AN239" s="662">
        <f t="shared" si="103"/>
        <v>0</v>
      </c>
      <c r="AO239" s="662">
        <f t="shared" si="103"/>
        <v>0</v>
      </c>
      <c r="AP239" s="662">
        <f t="shared" si="103"/>
        <v>1629933</v>
      </c>
      <c r="AQ239" s="802">
        <f t="shared" si="103"/>
        <v>89357</v>
      </c>
      <c r="AR239" s="662">
        <f t="shared" si="103"/>
        <v>0</v>
      </c>
      <c r="AS239" s="662">
        <f t="shared" si="103"/>
        <v>89357</v>
      </c>
      <c r="AT239" s="662">
        <f t="shared" si="103"/>
        <v>13173547</v>
      </c>
      <c r="AU239" s="662">
        <f t="shared" si="103"/>
        <v>0</v>
      </c>
      <c r="AV239" s="662">
        <f t="shared" si="103"/>
        <v>0</v>
      </c>
      <c r="AW239" s="662">
        <f t="shared" si="103"/>
        <v>13172638</v>
      </c>
      <c r="AX239" s="662">
        <f t="shared" si="103"/>
        <v>24052</v>
      </c>
      <c r="AY239" s="662">
        <f t="shared" si="103"/>
        <v>0</v>
      </c>
      <c r="AZ239" s="662">
        <f t="shared" si="103"/>
        <v>23882</v>
      </c>
      <c r="BA239" s="662">
        <f t="shared" si="103"/>
        <v>2403331</v>
      </c>
      <c r="BB239" s="662">
        <f t="shared" si="103"/>
        <v>0</v>
      </c>
      <c r="BC239" s="662">
        <f t="shared" si="103"/>
        <v>0</v>
      </c>
      <c r="BD239" s="662">
        <f t="shared" si="103"/>
        <v>2399629</v>
      </c>
      <c r="BE239" s="802">
        <f t="shared" si="103"/>
        <v>53411</v>
      </c>
      <c r="BF239" s="662">
        <f t="shared" si="103"/>
        <v>0</v>
      </c>
      <c r="BG239" s="662">
        <f t="shared" si="103"/>
        <v>49983</v>
      </c>
      <c r="BH239" s="662">
        <f t="shared" si="103"/>
        <v>7884163</v>
      </c>
      <c r="BI239" s="662">
        <f t="shared" si="103"/>
        <v>0</v>
      </c>
      <c r="BJ239" s="662">
        <f t="shared" si="103"/>
        <v>0</v>
      </c>
      <c r="BK239" s="662">
        <f t="shared" si="103"/>
        <v>7883163</v>
      </c>
      <c r="BL239" s="662">
        <f t="shared" si="103"/>
        <v>59283</v>
      </c>
      <c r="BM239" s="662">
        <f t="shared" si="103"/>
        <v>0</v>
      </c>
      <c r="BN239" s="662">
        <f t="shared" si="103"/>
        <v>54504</v>
      </c>
      <c r="BO239" s="662">
        <f t="shared" ref="BO239:DZ239" si="104">BO244+BO259</f>
        <v>3896375</v>
      </c>
      <c r="BP239" s="662">
        <f t="shared" si="104"/>
        <v>0</v>
      </c>
      <c r="BQ239" s="662">
        <f t="shared" si="104"/>
        <v>0</v>
      </c>
      <c r="BR239" s="662">
        <f t="shared" si="104"/>
        <v>3868575</v>
      </c>
      <c r="BS239" s="662">
        <f t="shared" si="104"/>
        <v>12311</v>
      </c>
      <c r="BT239" s="662">
        <f t="shared" si="104"/>
        <v>0</v>
      </c>
      <c r="BU239" s="662">
        <f t="shared" si="104"/>
        <v>12111</v>
      </c>
      <c r="BV239" s="662">
        <f t="shared" si="104"/>
        <v>930370</v>
      </c>
      <c r="BW239" s="662">
        <f t="shared" si="104"/>
        <v>0</v>
      </c>
      <c r="BX239" s="662">
        <f t="shared" si="104"/>
        <v>0</v>
      </c>
      <c r="BY239" s="662">
        <f t="shared" si="104"/>
        <v>930370</v>
      </c>
      <c r="BZ239" s="662">
        <f t="shared" si="104"/>
        <v>15875</v>
      </c>
      <c r="CA239" s="662">
        <f t="shared" si="104"/>
        <v>0</v>
      </c>
      <c r="CB239" s="662">
        <f t="shared" si="104"/>
        <v>15611</v>
      </c>
      <c r="CC239" s="662">
        <f t="shared" si="104"/>
        <v>1411337</v>
      </c>
      <c r="CD239" s="662">
        <f t="shared" si="104"/>
        <v>0</v>
      </c>
      <c r="CE239" s="662">
        <f t="shared" si="104"/>
        <v>0</v>
      </c>
      <c r="CF239" s="662">
        <f t="shared" si="104"/>
        <v>1368240</v>
      </c>
      <c r="CG239" s="662">
        <f t="shared" si="104"/>
        <v>21331</v>
      </c>
      <c r="CH239" s="662">
        <f t="shared" si="104"/>
        <v>0</v>
      </c>
      <c r="CI239" s="662">
        <f t="shared" si="104"/>
        <v>21098</v>
      </c>
      <c r="CJ239" s="662">
        <f t="shared" si="104"/>
        <v>2236290</v>
      </c>
      <c r="CK239" s="662">
        <f t="shared" si="104"/>
        <v>0</v>
      </c>
      <c r="CL239" s="662">
        <f t="shared" si="104"/>
        <v>0</v>
      </c>
      <c r="CM239" s="662">
        <f t="shared" si="104"/>
        <v>2142930</v>
      </c>
      <c r="CN239" s="662">
        <f t="shared" si="104"/>
        <v>33202</v>
      </c>
      <c r="CO239" s="662">
        <f t="shared" si="104"/>
        <v>0</v>
      </c>
      <c r="CP239" s="662">
        <f t="shared" si="104"/>
        <v>29923</v>
      </c>
      <c r="CQ239" s="662">
        <f t="shared" si="104"/>
        <v>4631398</v>
      </c>
      <c r="CR239" s="662">
        <f t="shared" si="104"/>
        <v>0</v>
      </c>
      <c r="CS239" s="662">
        <f t="shared" si="104"/>
        <v>0</v>
      </c>
      <c r="CT239" s="662">
        <f t="shared" si="104"/>
        <v>4631398</v>
      </c>
      <c r="CU239" s="662">
        <f t="shared" si="104"/>
        <v>5653</v>
      </c>
      <c r="CV239" s="662">
        <f t="shared" si="104"/>
        <v>0</v>
      </c>
      <c r="CW239" s="662">
        <f t="shared" si="104"/>
        <v>5653</v>
      </c>
      <c r="CX239" s="662">
        <f t="shared" si="104"/>
        <v>785060</v>
      </c>
      <c r="CY239" s="662">
        <f t="shared" si="104"/>
        <v>0</v>
      </c>
      <c r="CZ239" s="662">
        <f t="shared" si="104"/>
        <v>0</v>
      </c>
      <c r="DA239" s="662">
        <f t="shared" si="104"/>
        <v>785060</v>
      </c>
      <c r="DB239" s="662">
        <f t="shared" si="104"/>
        <v>25702</v>
      </c>
      <c r="DC239" s="662">
        <f t="shared" si="104"/>
        <v>0</v>
      </c>
      <c r="DD239" s="662">
        <f t="shared" si="104"/>
        <v>24680</v>
      </c>
      <c r="DE239" s="662">
        <f t="shared" si="104"/>
        <v>2054691</v>
      </c>
      <c r="DF239" s="662">
        <f t="shared" si="104"/>
        <v>0</v>
      </c>
      <c r="DG239" s="662">
        <f t="shared" si="104"/>
        <v>0</v>
      </c>
      <c r="DH239" s="662">
        <f t="shared" si="104"/>
        <v>2030462</v>
      </c>
      <c r="DI239" s="662">
        <f t="shared" si="104"/>
        <v>113094</v>
      </c>
      <c r="DJ239" s="662">
        <f t="shared" si="104"/>
        <v>0</v>
      </c>
      <c r="DK239" s="662">
        <f t="shared" si="104"/>
        <v>109805</v>
      </c>
      <c r="DL239" s="662">
        <f t="shared" si="104"/>
        <v>20983050</v>
      </c>
      <c r="DM239" s="662">
        <f t="shared" si="104"/>
        <v>0</v>
      </c>
      <c r="DN239" s="662">
        <f t="shared" si="104"/>
        <v>0</v>
      </c>
      <c r="DO239" s="662">
        <f t="shared" si="104"/>
        <v>20188540</v>
      </c>
      <c r="DP239" s="662">
        <f t="shared" si="104"/>
        <v>2516</v>
      </c>
      <c r="DQ239" s="662">
        <f t="shared" si="104"/>
        <v>0</v>
      </c>
      <c r="DR239" s="662">
        <f t="shared" si="104"/>
        <v>2465</v>
      </c>
      <c r="DS239" s="662">
        <f t="shared" si="104"/>
        <v>306506</v>
      </c>
      <c r="DT239" s="662">
        <f t="shared" si="104"/>
        <v>0</v>
      </c>
      <c r="DU239" s="662">
        <f t="shared" si="104"/>
        <v>0</v>
      </c>
      <c r="DV239" s="662">
        <f t="shared" si="104"/>
        <v>278892</v>
      </c>
      <c r="DW239" s="662">
        <f t="shared" si="104"/>
        <v>9159</v>
      </c>
      <c r="DX239" s="662">
        <f t="shared" si="104"/>
        <v>0</v>
      </c>
      <c r="DY239" s="662">
        <f t="shared" si="104"/>
        <v>8974</v>
      </c>
      <c r="DZ239" s="662">
        <f t="shared" si="104"/>
        <v>519757</v>
      </c>
      <c r="EA239" s="662">
        <f t="shared" ref="EA239:EQ239" si="105">EA244+EA259</f>
        <v>0</v>
      </c>
      <c r="EB239" s="662">
        <f t="shared" si="105"/>
        <v>0</v>
      </c>
      <c r="EC239" s="662">
        <f t="shared" si="105"/>
        <v>514709</v>
      </c>
      <c r="ED239" s="662">
        <f t="shared" si="105"/>
        <v>139038</v>
      </c>
      <c r="EE239" s="662">
        <f t="shared" si="105"/>
        <v>0</v>
      </c>
      <c r="EF239" s="662">
        <f t="shared" si="105"/>
        <v>137706</v>
      </c>
      <c r="EG239" s="662">
        <f t="shared" si="105"/>
        <v>10373570</v>
      </c>
      <c r="EH239" s="662">
        <f t="shared" si="105"/>
        <v>0</v>
      </c>
      <c r="EI239" s="662">
        <f t="shared" si="105"/>
        <v>0</v>
      </c>
      <c r="EJ239" s="662">
        <f t="shared" si="105"/>
        <v>10297600</v>
      </c>
      <c r="EK239" s="662">
        <f t="shared" si="105"/>
        <v>27180</v>
      </c>
      <c r="EL239" s="662">
        <f t="shared" si="105"/>
        <v>0</v>
      </c>
      <c r="EM239" s="662">
        <f t="shared" si="105"/>
        <v>27180</v>
      </c>
      <c r="EN239" s="662">
        <f t="shared" si="105"/>
        <v>862410</v>
      </c>
      <c r="EO239" s="662">
        <f t="shared" si="105"/>
        <v>0</v>
      </c>
      <c r="EP239" s="662">
        <f t="shared" si="105"/>
        <v>0</v>
      </c>
      <c r="EQ239" s="662">
        <f t="shared" si="105"/>
        <v>862410</v>
      </c>
    </row>
    <row r="240" spans="1:148" ht="13.95" customHeight="1" x14ac:dyDescent="0.3">
      <c r="A240" s="660" t="s">
        <v>1896</v>
      </c>
      <c r="B240" s="661" t="s">
        <v>269</v>
      </c>
      <c r="C240" s="662">
        <v>0</v>
      </c>
      <c r="D240" s="662">
        <v>0</v>
      </c>
      <c r="E240" s="662">
        <v>0</v>
      </c>
      <c r="F240" s="662">
        <v>0</v>
      </c>
      <c r="G240" s="662">
        <v>0</v>
      </c>
      <c r="H240" s="662">
        <v>52185856</v>
      </c>
      <c r="I240" s="662">
        <v>0</v>
      </c>
      <c r="J240" s="802">
        <v>0</v>
      </c>
      <c r="K240" s="662">
        <v>0</v>
      </c>
      <c r="L240" s="662">
        <v>0</v>
      </c>
      <c r="M240" s="662">
        <v>0</v>
      </c>
      <c r="N240" s="662">
        <v>0</v>
      </c>
      <c r="O240" s="662">
        <v>2525260</v>
      </c>
      <c r="P240" s="662">
        <v>0</v>
      </c>
      <c r="Q240" s="802">
        <v>0</v>
      </c>
      <c r="R240" s="662">
        <v>0</v>
      </c>
      <c r="S240" s="662">
        <v>0</v>
      </c>
      <c r="T240" s="662">
        <v>0</v>
      </c>
      <c r="U240" s="662">
        <v>18600</v>
      </c>
      <c r="V240" s="662">
        <v>0</v>
      </c>
      <c r="W240" s="802">
        <v>0</v>
      </c>
      <c r="X240" s="662">
        <v>0</v>
      </c>
      <c r="Y240" s="662">
        <v>0</v>
      </c>
      <c r="Z240" s="662">
        <v>0</v>
      </c>
      <c r="AA240" s="662">
        <v>0</v>
      </c>
      <c r="AB240" s="662">
        <v>86786</v>
      </c>
      <c r="AC240" s="662">
        <v>0</v>
      </c>
      <c r="AD240" s="802">
        <v>0</v>
      </c>
      <c r="AE240" s="662">
        <v>0</v>
      </c>
      <c r="AF240" s="662">
        <v>0</v>
      </c>
      <c r="AG240" s="662">
        <v>0</v>
      </c>
      <c r="AH240" s="662">
        <v>0</v>
      </c>
      <c r="AI240" s="662">
        <v>1326560</v>
      </c>
      <c r="AJ240" s="662">
        <v>0</v>
      </c>
      <c r="AK240" s="802">
        <v>0</v>
      </c>
      <c r="AL240" s="662">
        <v>0</v>
      </c>
      <c r="AM240" s="662">
        <v>0</v>
      </c>
      <c r="AN240" s="662">
        <v>0</v>
      </c>
      <c r="AO240" s="662">
        <v>1153150</v>
      </c>
      <c r="AP240" s="662">
        <v>0</v>
      </c>
      <c r="AQ240" s="802">
        <v>0</v>
      </c>
      <c r="AR240" s="662">
        <v>0</v>
      </c>
      <c r="AS240" s="662">
        <v>0</v>
      </c>
      <c r="AT240" s="662">
        <v>0</v>
      </c>
      <c r="AU240" s="662">
        <v>0</v>
      </c>
      <c r="AV240" s="662">
        <v>10292502</v>
      </c>
      <c r="AW240" s="662">
        <v>0</v>
      </c>
      <c r="AX240" s="662">
        <v>0</v>
      </c>
      <c r="AY240" s="662">
        <v>0</v>
      </c>
      <c r="AZ240" s="662">
        <v>0</v>
      </c>
      <c r="BA240" s="662">
        <v>0</v>
      </c>
      <c r="BB240" s="662">
        <v>0</v>
      </c>
      <c r="BC240" s="662">
        <v>1709134</v>
      </c>
      <c r="BD240" s="662">
        <v>0</v>
      </c>
      <c r="BE240" s="802">
        <v>0</v>
      </c>
      <c r="BF240" s="662">
        <v>0</v>
      </c>
      <c r="BG240" s="662">
        <v>0</v>
      </c>
      <c r="BH240" s="662">
        <v>0</v>
      </c>
      <c r="BI240" s="662">
        <v>0</v>
      </c>
      <c r="BJ240" s="662">
        <v>6317603</v>
      </c>
      <c r="BK240" s="662">
        <v>0</v>
      </c>
      <c r="BL240" s="662">
        <v>0</v>
      </c>
      <c r="BM240" s="662">
        <v>0</v>
      </c>
      <c r="BN240" s="662">
        <v>0</v>
      </c>
      <c r="BO240" s="662">
        <v>0</v>
      </c>
      <c r="BP240" s="662">
        <v>0</v>
      </c>
      <c r="BQ240" s="662">
        <v>2626748</v>
      </c>
      <c r="BR240" s="662">
        <v>0</v>
      </c>
      <c r="BS240" s="662">
        <v>0</v>
      </c>
      <c r="BT240" s="662">
        <v>0</v>
      </c>
      <c r="BU240" s="662">
        <v>0</v>
      </c>
      <c r="BV240" s="662">
        <v>0</v>
      </c>
      <c r="BW240" s="662">
        <v>0</v>
      </c>
      <c r="BX240" s="662">
        <v>629104</v>
      </c>
      <c r="BY240" s="662">
        <v>0</v>
      </c>
      <c r="BZ240" s="662">
        <v>0</v>
      </c>
      <c r="CA240" s="662">
        <v>0</v>
      </c>
      <c r="CB240" s="662">
        <v>0</v>
      </c>
      <c r="CC240" s="662">
        <v>0</v>
      </c>
      <c r="CD240" s="662">
        <v>0</v>
      </c>
      <c r="CE240" s="662">
        <v>877662</v>
      </c>
      <c r="CF240" s="662">
        <v>0</v>
      </c>
      <c r="CG240" s="662">
        <v>0</v>
      </c>
      <c r="CH240" s="662">
        <v>0</v>
      </c>
      <c r="CI240" s="662">
        <v>0</v>
      </c>
      <c r="CJ240" s="662">
        <v>0</v>
      </c>
      <c r="CK240" s="662">
        <v>0</v>
      </c>
      <c r="CL240" s="662">
        <v>1461831</v>
      </c>
      <c r="CM240" s="662">
        <v>0</v>
      </c>
      <c r="CN240" s="662">
        <v>0</v>
      </c>
      <c r="CO240" s="662">
        <v>0</v>
      </c>
      <c r="CP240" s="662">
        <v>0</v>
      </c>
      <c r="CQ240" s="662">
        <v>0</v>
      </c>
      <c r="CR240" s="662">
        <v>0</v>
      </c>
      <c r="CS240" s="662">
        <v>3155740</v>
      </c>
      <c r="CT240" s="662">
        <v>0</v>
      </c>
      <c r="CU240" s="662">
        <v>0</v>
      </c>
      <c r="CV240" s="662">
        <v>0</v>
      </c>
      <c r="CW240" s="662">
        <v>0</v>
      </c>
      <c r="CX240" s="662">
        <v>0</v>
      </c>
      <c r="CY240" s="662">
        <v>0</v>
      </c>
      <c r="CZ240" s="662">
        <v>450634</v>
      </c>
      <c r="DA240" s="662">
        <v>0</v>
      </c>
      <c r="DB240" s="662">
        <v>0</v>
      </c>
      <c r="DC240" s="662">
        <v>0</v>
      </c>
      <c r="DD240" s="662">
        <v>0</v>
      </c>
      <c r="DE240" s="662">
        <v>0</v>
      </c>
      <c r="DF240" s="662">
        <v>0</v>
      </c>
      <c r="DG240" s="662">
        <v>1390823</v>
      </c>
      <c r="DH240" s="662">
        <v>0</v>
      </c>
      <c r="DI240" s="662">
        <v>0</v>
      </c>
      <c r="DJ240" s="662">
        <v>0</v>
      </c>
      <c r="DK240" s="662">
        <v>0</v>
      </c>
      <c r="DL240" s="662">
        <v>0</v>
      </c>
      <c r="DM240" s="662">
        <v>0</v>
      </c>
      <c r="DN240" s="662">
        <v>10651999</v>
      </c>
      <c r="DO240" s="662">
        <v>0</v>
      </c>
      <c r="DP240" s="662">
        <v>0</v>
      </c>
      <c r="DQ240" s="662">
        <v>0</v>
      </c>
      <c r="DR240" s="662">
        <v>0</v>
      </c>
      <c r="DS240" s="662">
        <v>0</v>
      </c>
      <c r="DT240" s="662">
        <v>0</v>
      </c>
      <c r="DU240" s="662">
        <v>86187</v>
      </c>
      <c r="DV240" s="662">
        <v>0</v>
      </c>
      <c r="DW240" s="662">
        <v>0</v>
      </c>
      <c r="DX240" s="662">
        <v>0</v>
      </c>
      <c r="DY240" s="662">
        <v>0</v>
      </c>
      <c r="DZ240" s="662">
        <v>0</v>
      </c>
      <c r="EA240" s="662">
        <v>0</v>
      </c>
      <c r="EB240" s="662">
        <v>445936</v>
      </c>
      <c r="EC240" s="662">
        <v>0</v>
      </c>
      <c r="ED240" s="662">
        <v>0</v>
      </c>
      <c r="EE240" s="662">
        <v>0</v>
      </c>
      <c r="EF240" s="662">
        <v>0</v>
      </c>
      <c r="EG240" s="662">
        <v>0</v>
      </c>
      <c r="EH240" s="662">
        <v>0</v>
      </c>
      <c r="EI240" s="662">
        <v>6350421</v>
      </c>
      <c r="EJ240" s="662">
        <v>0</v>
      </c>
      <c r="EK240" s="662">
        <v>0</v>
      </c>
      <c r="EL240" s="662">
        <v>0</v>
      </c>
      <c r="EM240" s="662">
        <v>0</v>
      </c>
      <c r="EN240" s="662">
        <v>0</v>
      </c>
      <c r="EO240" s="662">
        <v>0</v>
      </c>
      <c r="EP240" s="662">
        <v>629176</v>
      </c>
      <c r="EQ240" s="662">
        <v>0</v>
      </c>
    </row>
    <row r="241" spans="1:147" ht="13.95" customHeight="1" x14ac:dyDescent="0.3">
      <c r="A241" s="660" t="s">
        <v>1897</v>
      </c>
      <c r="B241" s="661" t="s">
        <v>269</v>
      </c>
      <c r="C241" s="662">
        <v>0</v>
      </c>
      <c r="D241" s="662">
        <v>0</v>
      </c>
      <c r="E241" s="662">
        <v>0</v>
      </c>
      <c r="F241" s="662">
        <v>0</v>
      </c>
      <c r="G241" s="662">
        <v>0</v>
      </c>
      <c r="H241" s="662">
        <v>0</v>
      </c>
      <c r="I241" s="662">
        <v>0</v>
      </c>
      <c r="J241" s="802">
        <v>0</v>
      </c>
      <c r="K241" s="662">
        <v>0</v>
      </c>
      <c r="L241" s="662">
        <v>0</v>
      </c>
      <c r="M241" s="662">
        <v>0</v>
      </c>
      <c r="N241" s="662">
        <v>0</v>
      </c>
      <c r="O241" s="662">
        <v>0</v>
      </c>
      <c r="P241" s="662">
        <v>0</v>
      </c>
      <c r="Q241" s="802">
        <v>0</v>
      </c>
      <c r="R241" s="662">
        <v>0</v>
      </c>
      <c r="S241" s="662">
        <v>0</v>
      </c>
      <c r="T241" s="662">
        <v>0</v>
      </c>
      <c r="U241" s="662">
        <v>0</v>
      </c>
      <c r="V241" s="662">
        <v>0</v>
      </c>
      <c r="W241" s="802">
        <v>0</v>
      </c>
      <c r="X241" s="662">
        <v>0</v>
      </c>
      <c r="Y241" s="662">
        <v>0</v>
      </c>
      <c r="Z241" s="662">
        <v>0</v>
      </c>
      <c r="AA241" s="662">
        <v>0</v>
      </c>
      <c r="AB241" s="662">
        <v>0</v>
      </c>
      <c r="AC241" s="662">
        <v>0</v>
      </c>
      <c r="AD241" s="802">
        <v>0</v>
      </c>
      <c r="AE241" s="662">
        <v>0</v>
      </c>
      <c r="AF241" s="662">
        <v>0</v>
      </c>
      <c r="AG241" s="662">
        <v>0</v>
      </c>
      <c r="AH241" s="662">
        <v>0</v>
      </c>
      <c r="AI241" s="662">
        <v>0</v>
      </c>
      <c r="AJ241" s="662">
        <v>0</v>
      </c>
      <c r="AK241" s="802">
        <v>0</v>
      </c>
      <c r="AL241" s="662">
        <v>0</v>
      </c>
      <c r="AM241" s="662">
        <v>0</v>
      </c>
      <c r="AN241" s="662">
        <v>0</v>
      </c>
      <c r="AO241" s="662">
        <v>0</v>
      </c>
      <c r="AP241" s="662">
        <v>0</v>
      </c>
      <c r="AQ241" s="802">
        <v>0</v>
      </c>
      <c r="AR241" s="662">
        <v>0</v>
      </c>
      <c r="AS241" s="662">
        <v>0</v>
      </c>
      <c r="AT241" s="662">
        <v>0</v>
      </c>
      <c r="AU241" s="662">
        <v>0</v>
      </c>
      <c r="AV241" s="662">
        <v>0</v>
      </c>
      <c r="AW241" s="662">
        <v>0</v>
      </c>
      <c r="AX241" s="662">
        <v>0</v>
      </c>
      <c r="AY241" s="662">
        <v>0</v>
      </c>
      <c r="AZ241" s="662">
        <v>0</v>
      </c>
      <c r="BA241" s="662">
        <v>0</v>
      </c>
      <c r="BB241" s="662">
        <v>0</v>
      </c>
      <c r="BC241" s="662">
        <v>0</v>
      </c>
      <c r="BD241" s="662">
        <v>0</v>
      </c>
      <c r="BE241" s="802">
        <v>0</v>
      </c>
      <c r="BF241" s="662">
        <v>0</v>
      </c>
      <c r="BG241" s="662">
        <v>0</v>
      </c>
      <c r="BH241" s="662">
        <v>0</v>
      </c>
      <c r="BI241" s="662">
        <v>0</v>
      </c>
      <c r="BJ241" s="662">
        <v>0</v>
      </c>
      <c r="BK241" s="662">
        <v>0</v>
      </c>
      <c r="BL241" s="662">
        <v>0</v>
      </c>
      <c r="BM241" s="662">
        <v>0</v>
      </c>
      <c r="BN241" s="662">
        <v>0</v>
      </c>
      <c r="BO241" s="662">
        <v>0</v>
      </c>
      <c r="BP241" s="662">
        <v>0</v>
      </c>
      <c r="BQ241" s="662">
        <v>0</v>
      </c>
      <c r="BR241" s="662">
        <v>0</v>
      </c>
      <c r="BS241" s="662">
        <v>0</v>
      </c>
      <c r="BT241" s="662">
        <v>0</v>
      </c>
      <c r="BU241" s="662">
        <v>0</v>
      </c>
      <c r="BV241" s="662">
        <v>0</v>
      </c>
      <c r="BW241" s="662">
        <v>0</v>
      </c>
      <c r="BX241" s="662">
        <v>0</v>
      </c>
      <c r="BY241" s="662">
        <v>0</v>
      </c>
      <c r="BZ241" s="662">
        <v>0</v>
      </c>
      <c r="CA241" s="662">
        <v>0</v>
      </c>
      <c r="CB241" s="662">
        <v>0</v>
      </c>
      <c r="CC241" s="662">
        <v>0</v>
      </c>
      <c r="CD241" s="662">
        <v>0</v>
      </c>
      <c r="CE241" s="662">
        <v>0</v>
      </c>
      <c r="CF241" s="662">
        <v>0</v>
      </c>
      <c r="CG241" s="662">
        <v>0</v>
      </c>
      <c r="CH241" s="662">
        <v>0</v>
      </c>
      <c r="CI241" s="662">
        <v>0</v>
      </c>
      <c r="CJ241" s="662">
        <v>0</v>
      </c>
      <c r="CK241" s="662">
        <v>0</v>
      </c>
      <c r="CL241" s="662">
        <v>0</v>
      </c>
      <c r="CM241" s="662">
        <v>0</v>
      </c>
      <c r="CN241" s="662">
        <v>0</v>
      </c>
      <c r="CO241" s="662">
        <v>0</v>
      </c>
      <c r="CP241" s="662">
        <v>0</v>
      </c>
      <c r="CQ241" s="662">
        <v>0</v>
      </c>
      <c r="CR241" s="662">
        <v>0</v>
      </c>
      <c r="CS241" s="662">
        <v>0</v>
      </c>
      <c r="CT241" s="662">
        <v>0</v>
      </c>
      <c r="CU241" s="662">
        <v>0</v>
      </c>
      <c r="CV241" s="662">
        <v>0</v>
      </c>
      <c r="CW241" s="662">
        <v>0</v>
      </c>
      <c r="CX241" s="662">
        <v>0</v>
      </c>
      <c r="CY241" s="662">
        <v>0</v>
      </c>
      <c r="CZ241" s="662">
        <v>0</v>
      </c>
      <c r="DA241" s="662">
        <v>0</v>
      </c>
      <c r="DB241" s="662">
        <v>0</v>
      </c>
      <c r="DC241" s="662">
        <v>0</v>
      </c>
      <c r="DD241" s="662">
        <v>0</v>
      </c>
      <c r="DE241" s="662">
        <v>0</v>
      </c>
      <c r="DF241" s="662">
        <v>0</v>
      </c>
      <c r="DG241" s="662">
        <v>0</v>
      </c>
      <c r="DH241" s="662">
        <v>0</v>
      </c>
      <c r="DI241" s="662">
        <v>0</v>
      </c>
      <c r="DJ241" s="662">
        <v>0</v>
      </c>
      <c r="DK241" s="662">
        <v>0</v>
      </c>
      <c r="DL241" s="662">
        <v>0</v>
      </c>
      <c r="DM241" s="662">
        <v>0</v>
      </c>
      <c r="DN241" s="662">
        <v>0</v>
      </c>
      <c r="DO241" s="662">
        <v>0</v>
      </c>
      <c r="DP241" s="662">
        <v>0</v>
      </c>
      <c r="DQ241" s="662">
        <v>0</v>
      </c>
      <c r="DR241" s="662">
        <v>0</v>
      </c>
      <c r="DS241" s="662">
        <v>0</v>
      </c>
      <c r="DT241" s="662">
        <v>0</v>
      </c>
      <c r="DU241" s="662">
        <v>0</v>
      </c>
      <c r="DV241" s="662">
        <v>0</v>
      </c>
      <c r="DW241" s="662">
        <v>0</v>
      </c>
      <c r="DX241" s="662">
        <v>0</v>
      </c>
      <c r="DY241" s="662">
        <v>0</v>
      </c>
      <c r="DZ241" s="662">
        <v>0</v>
      </c>
      <c r="EA241" s="662">
        <v>0</v>
      </c>
      <c r="EB241" s="662">
        <v>0</v>
      </c>
      <c r="EC241" s="662">
        <v>0</v>
      </c>
      <c r="ED241" s="662">
        <v>0</v>
      </c>
      <c r="EE241" s="662">
        <v>0</v>
      </c>
      <c r="EF241" s="662">
        <v>0</v>
      </c>
      <c r="EG241" s="662">
        <v>0</v>
      </c>
      <c r="EH241" s="662">
        <v>0</v>
      </c>
      <c r="EI241" s="662">
        <v>0</v>
      </c>
      <c r="EJ241" s="662">
        <v>0</v>
      </c>
      <c r="EK241" s="662">
        <v>0</v>
      </c>
      <c r="EL241" s="662">
        <v>0</v>
      </c>
      <c r="EM241" s="662">
        <v>0</v>
      </c>
      <c r="EN241" s="662">
        <v>0</v>
      </c>
      <c r="EO241" s="662">
        <v>0</v>
      </c>
      <c r="EP241" s="662">
        <v>0</v>
      </c>
      <c r="EQ241" s="662">
        <v>0</v>
      </c>
    </row>
    <row r="242" spans="1:147" ht="13.95" customHeight="1" x14ac:dyDescent="0.3">
      <c r="A242" s="660" t="s">
        <v>1898</v>
      </c>
      <c r="B242" s="661" t="s">
        <v>269</v>
      </c>
      <c r="C242" s="662">
        <v>0</v>
      </c>
      <c r="D242" s="662">
        <v>0</v>
      </c>
      <c r="E242" s="662">
        <v>0</v>
      </c>
      <c r="F242" s="662">
        <v>0</v>
      </c>
      <c r="G242" s="662">
        <v>0</v>
      </c>
      <c r="H242" s="662">
        <v>0</v>
      </c>
      <c r="I242" s="662">
        <v>0</v>
      </c>
      <c r="J242" s="802">
        <v>0</v>
      </c>
      <c r="K242" s="662">
        <v>0</v>
      </c>
      <c r="L242" s="662">
        <v>0</v>
      </c>
      <c r="M242" s="662">
        <v>0</v>
      </c>
      <c r="N242" s="662">
        <v>0</v>
      </c>
      <c r="O242" s="662">
        <v>0</v>
      </c>
      <c r="P242" s="662">
        <v>0</v>
      </c>
      <c r="Q242" s="802">
        <v>0</v>
      </c>
      <c r="R242" s="662">
        <v>0</v>
      </c>
      <c r="S242" s="662">
        <v>0</v>
      </c>
      <c r="T242" s="662">
        <v>0</v>
      </c>
      <c r="U242" s="662">
        <v>0</v>
      </c>
      <c r="V242" s="662">
        <v>0</v>
      </c>
      <c r="W242" s="802">
        <v>0</v>
      </c>
      <c r="X242" s="662">
        <v>0</v>
      </c>
      <c r="Y242" s="662">
        <v>0</v>
      </c>
      <c r="Z242" s="662">
        <v>0</v>
      </c>
      <c r="AA242" s="662">
        <v>0</v>
      </c>
      <c r="AB242" s="662">
        <v>0</v>
      </c>
      <c r="AC242" s="662">
        <v>0</v>
      </c>
      <c r="AD242" s="802">
        <v>0</v>
      </c>
      <c r="AE242" s="662">
        <v>0</v>
      </c>
      <c r="AF242" s="662">
        <v>0</v>
      </c>
      <c r="AG242" s="662">
        <v>0</v>
      </c>
      <c r="AH242" s="662">
        <v>0</v>
      </c>
      <c r="AI242" s="662">
        <v>0</v>
      </c>
      <c r="AJ242" s="662">
        <v>0</v>
      </c>
      <c r="AK242" s="802">
        <v>0</v>
      </c>
      <c r="AL242" s="662">
        <v>0</v>
      </c>
      <c r="AM242" s="662">
        <v>0</v>
      </c>
      <c r="AN242" s="662">
        <v>0</v>
      </c>
      <c r="AO242" s="662">
        <v>0</v>
      </c>
      <c r="AP242" s="662">
        <v>0</v>
      </c>
      <c r="AQ242" s="802">
        <v>0</v>
      </c>
      <c r="AR242" s="662">
        <v>0</v>
      </c>
      <c r="AS242" s="662">
        <v>0</v>
      </c>
      <c r="AT242" s="662">
        <v>0</v>
      </c>
      <c r="AU242" s="662">
        <v>0</v>
      </c>
      <c r="AV242" s="662">
        <v>0</v>
      </c>
      <c r="AW242" s="662">
        <v>0</v>
      </c>
      <c r="AX242" s="662">
        <v>0</v>
      </c>
      <c r="AY242" s="662">
        <v>0</v>
      </c>
      <c r="AZ242" s="662">
        <v>0</v>
      </c>
      <c r="BA242" s="662">
        <v>0</v>
      </c>
      <c r="BB242" s="662">
        <v>0</v>
      </c>
      <c r="BC242" s="662">
        <v>0</v>
      </c>
      <c r="BD242" s="662">
        <v>0</v>
      </c>
      <c r="BE242" s="802">
        <v>0</v>
      </c>
      <c r="BF242" s="662">
        <v>0</v>
      </c>
      <c r="BG242" s="662">
        <v>0</v>
      </c>
      <c r="BH242" s="662">
        <v>0</v>
      </c>
      <c r="BI242" s="662">
        <v>0</v>
      </c>
      <c r="BJ242" s="662">
        <v>0</v>
      </c>
      <c r="BK242" s="662">
        <v>0</v>
      </c>
      <c r="BL242" s="662">
        <v>0</v>
      </c>
      <c r="BM242" s="662">
        <v>0</v>
      </c>
      <c r="BN242" s="662">
        <v>0</v>
      </c>
      <c r="BO242" s="662">
        <v>0</v>
      </c>
      <c r="BP242" s="662">
        <v>0</v>
      </c>
      <c r="BQ242" s="662">
        <v>0</v>
      </c>
      <c r="BR242" s="662">
        <v>0</v>
      </c>
      <c r="BS242" s="662">
        <v>0</v>
      </c>
      <c r="BT242" s="662">
        <v>0</v>
      </c>
      <c r="BU242" s="662">
        <v>0</v>
      </c>
      <c r="BV242" s="662">
        <v>0</v>
      </c>
      <c r="BW242" s="662">
        <v>0</v>
      </c>
      <c r="BX242" s="662">
        <v>0</v>
      </c>
      <c r="BY242" s="662">
        <v>0</v>
      </c>
      <c r="BZ242" s="662">
        <v>0</v>
      </c>
      <c r="CA242" s="662">
        <v>0</v>
      </c>
      <c r="CB242" s="662">
        <v>0</v>
      </c>
      <c r="CC242" s="662">
        <v>0</v>
      </c>
      <c r="CD242" s="662">
        <v>0</v>
      </c>
      <c r="CE242" s="662">
        <v>0</v>
      </c>
      <c r="CF242" s="662">
        <v>0</v>
      </c>
      <c r="CG242" s="662">
        <v>0</v>
      </c>
      <c r="CH242" s="662">
        <v>0</v>
      </c>
      <c r="CI242" s="662">
        <v>0</v>
      </c>
      <c r="CJ242" s="662">
        <v>0</v>
      </c>
      <c r="CK242" s="662">
        <v>0</v>
      </c>
      <c r="CL242" s="662">
        <v>0</v>
      </c>
      <c r="CM242" s="662">
        <v>0</v>
      </c>
      <c r="CN242" s="662">
        <v>0</v>
      </c>
      <c r="CO242" s="662">
        <v>0</v>
      </c>
      <c r="CP242" s="662">
        <v>0</v>
      </c>
      <c r="CQ242" s="662">
        <v>0</v>
      </c>
      <c r="CR242" s="662">
        <v>0</v>
      </c>
      <c r="CS242" s="662">
        <v>0</v>
      </c>
      <c r="CT242" s="662">
        <v>0</v>
      </c>
      <c r="CU242" s="662">
        <v>0</v>
      </c>
      <c r="CV242" s="662">
        <v>0</v>
      </c>
      <c r="CW242" s="662">
        <v>0</v>
      </c>
      <c r="CX242" s="662">
        <v>0</v>
      </c>
      <c r="CY242" s="662">
        <v>0</v>
      </c>
      <c r="CZ242" s="662">
        <v>0</v>
      </c>
      <c r="DA242" s="662">
        <v>0</v>
      </c>
      <c r="DB242" s="662">
        <v>0</v>
      </c>
      <c r="DC242" s="662">
        <v>0</v>
      </c>
      <c r="DD242" s="662">
        <v>0</v>
      </c>
      <c r="DE242" s="662">
        <v>0</v>
      </c>
      <c r="DF242" s="662">
        <v>0</v>
      </c>
      <c r="DG242" s="662">
        <v>0</v>
      </c>
      <c r="DH242" s="662">
        <v>0</v>
      </c>
      <c r="DI242" s="662">
        <v>0</v>
      </c>
      <c r="DJ242" s="662">
        <v>0</v>
      </c>
      <c r="DK242" s="662">
        <v>0</v>
      </c>
      <c r="DL242" s="662">
        <v>0</v>
      </c>
      <c r="DM242" s="662">
        <v>0</v>
      </c>
      <c r="DN242" s="662">
        <v>0</v>
      </c>
      <c r="DO242" s="662">
        <v>0</v>
      </c>
      <c r="DP242" s="662">
        <v>0</v>
      </c>
      <c r="DQ242" s="662">
        <v>0</v>
      </c>
      <c r="DR242" s="662">
        <v>0</v>
      </c>
      <c r="DS242" s="662">
        <v>0</v>
      </c>
      <c r="DT242" s="662">
        <v>0</v>
      </c>
      <c r="DU242" s="662">
        <v>0</v>
      </c>
      <c r="DV242" s="662">
        <v>0</v>
      </c>
      <c r="DW242" s="662">
        <v>0</v>
      </c>
      <c r="DX242" s="662">
        <v>0</v>
      </c>
      <c r="DY242" s="662">
        <v>0</v>
      </c>
      <c r="DZ242" s="662">
        <v>0</v>
      </c>
      <c r="EA242" s="662">
        <v>0</v>
      </c>
      <c r="EB242" s="662">
        <v>0</v>
      </c>
      <c r="EC242" s="662">
        <v>0</v>
      </c>
      <c r="ED242" s="662">
        <v>0</v>
      </c>
      <c r="EE242" s="662">
        <v>0</v>
      </c>
      <c r="EF242" s="662">
        <v>0</v>
      </c>
      <c r="EG242" s="662">
        <v>0</v>
      </c>
      <c r="EH242" s="662">
        <v>0</v>
      </c>
      <c r="EI242" s="662">
        <v>0</v>
      </c>
      <c r="EJ242" s="662">
        <v>0</v>
      </c>
      <c r="EK242" s="662">
        <v>0</v>
      </c>
      <c r="EL242" s="662">
        <v>0</v>
      </c>
      <c r="EM242" s="662">
        <v>0</v>
      </c>
      <c r="EN242" s="662">
        <v>0</v>
      </c>
      <c r="EO242" s="662">
        <v>0</v>
      </c>
      <c r="EP242" s="662">
        <v>0</v>
      </c>
      <c r="EQ242" s="662">
        <v>0</v>
      </c>
    </row>
    <row r="243" spans="1:147" ht="13.95" customHeight="1" x14ac:dyDescent="0.3">
      <c r="A243" s="660" t="s">
        <v>1899</v>
      </c>
      <c r="B243" s="661" t="s">
        <v>269</v>
      </c>
      <c r="C243" s="662">
        <v>0</v>
      </c>
      <c r="D243" s="662">
        <v>0</v>
      </c>
      <c r="E243" s="662">
        <v>0</v>
      </c>
      <c r="F243" s="662">
        <v>0</v>
      </c>
      <c r="G243" s="662">
        <v>0</v>
      </c>
      <c r="H243" s="662">
        <v>0</v>
      </c>
      <c r="I243" s="662">
        <v>0</v>
      </c>
      <c r="J243" s="802">
        <v>0</v>
      </c>
      <c r="K243" s="662">
        <v>0</v>
      </c>
      <c r="L243" s="662">
        <v>0</v>
      </c>
      <c r="M243" s="662">
        <v>0</v>
      </c>
      <c r="N243" s="662">
        <v>0</v>
      </c>
      <c r="O243" s="662">
        <v>0</v>
      </c>
      <c r="P243" s="662">
        <v>0</v>
      </c>
      <c r="Q243" s="802">
        <v>0</v>
      </c>
      <c r="R243" s="662">
        <v>0</v>
      </c>
      <c r="S243" s="662">
        <v>0</v>
      </c>
      <c r="T243" s="662">
        <v>0</v>
      </c>
      <c r="U243" s="662">
        <v>0</v>
      </c>
      <c r="V243" s="662">
        <v>0</v>
      </c>
      <c r="W243" s="802">
        <v>0</v>
      </c>
      <c r="X243" s="662">
        <v>0</v>
      </c>
      <c r="Y243" s="662">
        <v>0</v>
      </c>
      <c r="Z243" s="662">
        <v>0</v>
      </c>
      <c r="AA243" s="662">
        <v>0</v>
      </c>
      <c r="AB243" s="662">
        <v>0</v>
      </c>
      <c r="AC243" s="662">
        <v>0</v>
      </c>
      <c r="AD243" s="802">
        <v>0</v>
      </c>
      <c r="AE243" s="662">
        <v>0</v>
      </c>
      <c r="AF243" s="662">
        <v>0</v>
      </c>
      <c r="AG243" s="662">
        <v>0</v>
      </c>
      <c r="AH243" s="662">
        <v>0</v>
      </c>
      <c r="AI243" s="662">
        <v>0</v>
      </c>
      <c r="AJ243" s="662">
        <v>0</v>
      </c>
      <c r="AK243" s="802">
        <v>0</v>
      </c>
      <c r="AL243" s="662">
        <v>0</v>
      </c>
      <c r="AM243" s="662">
        <v>0</v>
      </c>
      <c r="AN243" s="662">
        <v>0</v>
      </c>
      <c r="AO243" s="662">
        <v>0</v>
      </c>
      <c r="AP243" s="662">
        <v>0</v>
      </c>
      <c r="AQ243" s="802">
        <v>0</v>
      </c>
      <c r="AR243" s="662">
        <v>0</v>
      </c>
      <c r="AS243" s="662">
        <v>0</v>
      </c>
      <c r="AT243" s="662">
        <v>0</v>
      </c>
      <c r="AU243" s="662">
        <v>0</v>
      </c>
      <c r="AV243" s="662">
        <v>0</v>
      </c>
      <c r="AW243" s="662">
        <v>0</v>
      </c>
      <c r="AX243" s="662">
        <v>0</v>
      </c>
      <c r="AY243" s="662">
        <v>0</v>
      </c>
      <c r="AZ243" s="662">
        <v>0</v>
      </c>
      <c r="BA243" s="662">
        <v>0</v>
      </c>
      <c r="BB243" s="662">
        <v>0</v>
      </c>
      <c r="BC243" s="662">
        <v>0</v>
      </c>
      <c r="BD243" s="662">
        <v>0</v>
      </c>
      <c r="BE243" s="802">
        <v>0</v>
      </c>
      <c r="BF243" s="662">
        <v>0</v>
      </c>
      <c r="BG243" s="662">
        <v>0</v>
      </c>
      <c r="BH243" s="662">
        <v>0</v>
      </c>
      <c r="BI243" s="662">
        <v>0</v>
      </c>
      <c r="BJ243" s="662">
        <v>0</v>
      </c>
      <c r="BK243" s="662">
        <v>0</v>
      </c>
      <c r="BL243" s="662">
        <v>0</v>
      </c>
      <c r="BM243" s="662">
        <v>0</v>
      </c>
      <c r="BN243" s="662">
        <v>0</v>
      </c>
      <c r="BO243" s="662">
        <v>0</v>
      </c>
      <c r="BP243" s="662">
        <v>0</v>
      </c>
      <c r="BQ243" s="662">
        <v>0</v>
      </c>
      <c r="BR243" s="662">
        <v>0</v>
      </c>
      <c r="BS243" s="662">
        <v>0</v>
      </c>
      <c r="BT243" s="662">
        <v>0</v>
      </c>
      <c r="BU243" s="662">
        <v>0</v>
      </c>
      <c r="BV243" s="662">
        <v>0</v>
      </c>
      <c r="BW243" s="662">
        <v>0</v>
      </c>
      <c r="BX243" s="662">
        <v>0</v>
      </c>
      <c r="BY243" s="662">
        <v>0</v>
      </c>
      <c r="BZ243" s="662">
        <v>0</v>
      </c>
      <c r="CA243" s="662">
        <v>0</v>
      </c>
      <c r="CB243" s="662">
        <v>0</v>
      </c>
      <c r="CC243" s="662">
        <v>0</v>
      </c>
      <c r="CD243" s="662">
        <v>0</v>
      </c>
      <c r="CE243" s="662">
        <v>0</v>
      </c>
      <c r="CF243" s="662">
        <v>0</v>
      </c>
      <c r="CG243" s="662">
        <v>0</v>
      </c>
      <c r="CH243" s="662">
        <v>0</v>
      </c>
      <c r="CI243" s="662">
        <v>0</v>
      </c>
      <c r="CJ243" s="662">
        <v>0</v>
      </c>
      <c r="CK243" s="662">
        <v>0</v>
      </c>
      <c r="CL243" s="662">
        <v>0</v>
      </c>
      <c r="CM243" s="662">
        <v>0</v>
      </c>
      <c r="CN243" s="662">
        <v>0</v>
      </c>
      <c r="CO243" s="662">
        <v>0</v>
      </c>
      <c r="CP243" s="662">
        <v>0</v>
      </c>
      <c r="CQ243" s="662">
        <v>0</v>
      </c>
      <c r="CR243" s="662">
        <v>0</v>
      </c>
      <c r="CS243" s="662">
        <v>0</v>
      </c>
      <c r="CT243" s="662">
        <v>0</v>
      </c>
      <c r="CU243" s="662">
        <v>0</v>
      </c>
      <c r="CV243" s="662">
        <v>0</v>
      </c>
      <c r="CW243" s="662">
        <v>0</v>
      </c>
      <c r="CX243" s="662">
        <v>0</v>
      </c>
      <c r="CY243" s="662">
        <v>0</v>
      </c>
      <c r="CZ243" s="662">
        <v>0</v>
      </c>
      <c r="DA243" s="662">
        <v>0</v>
      </c>
      <c r="DB243" s="662">
        <v>0</v>
      </c>
      <c r="DC243" s="662">
        <v>0</v>
      </c>
      <c r="DD243" s="662">
        <v>0</v>
      </c>
      <c r="DE243" s="662">
        <v>0</v>
      </c>
      <c r="DF243" s="662">
        <v>0</v>
      </c>
      <c r="DG243" s="662">
        <v>0</v>
      </c>
      <c r="DH243" s="662">
        <v>0</v>
      </c>
      <c r="DI243" s="662">
        <v>0</v>
      </c>
      <c r="DJ243" s="662">
        <v>0</v>
      </c>
      <c r="DK243" s="662">
        <v>0</v>
      </c>
      <c r="DL243" s="662">
        <v>0</v>
      </c>
      <c r="DM243" s="662">
        <v>0</v>
      </c>
      <c r="DN243" s="662">
        <v>0</v>
      </c>
      <c r="DO243" s="662">
        <v>0</v>
      </c>
      <c r="DP243" s="662">
        <v>0</v>
      </c>
      <c r="DQ243" s="662">
        <v>0</v>
      </c>
      <c r="DR243" s="662">
        <v>0</v>
      </c>
      <c r="DS243" s="662">
        <v>0</v>
      </c>
      <c r="DT243" s="662">
        <v>0</v>
      </c>
      <c r="DU243" s="662">
        <v>0</v>
      </c>
      <c r="DV243" s="662">
        <v>0</v>
      </c>
      <c r="DW243" s="662">
        <v>0</v>
      </c>
      <c r="DX243" s="662">
        <v>0</v>
      </c>
      <c r="DY243" s="662">
        <v>0</v>
      </c>
      <c r="DZ243" s="662">
        <v>0</v>
      </c>
      <c r="EA243" s="662">
        <v>0</v>
      </c>
      <c r="EB243" s="662">
        <v>0</v>
      </c>
      <c r="EC243" s="662">
        <v>0</v>
      </c>
      <c r="ED243" s="662">
        <v>0</v>
      </c>
      <c r="EE243" s="662">
        <v>0</v>
      </c>
      <c r="EF243" s="662">
        <v>0</v>
      </c>
      <c r="EG243" s="662">
        <v>0</v>
      </c>
      <c r="EH243" s="662">
        <v>0</v>
      </c>
      <c r="EI243" s="662">
        <v>0</v>
      </c>
      <c r="EJ243" s="662">
        <v>0</v>
      </c>
      <c r="EK243" s="662">
        <v>0</v>
      </c>
      <c r="EL243" s="662">
        <v>0</v>
      </c>
      <c r="EM243" s="662">
        <v>0</v>
      </c>
      <c r="EN243" s="662">
        <v>0</v>
      </c>
      <c r="EO243" s="662">
        <v>0</v>
      </c>
      <c r="EP243" s="662">
        <v>0</v>
      </c>
      <c r="EQ243" s="662">
        <v>0</v>
      </c>
    </row>
    <row r="244" spans="1:147" ht="13.95" customHeight="1" x14ac:dyDescent="0.3">
      <c r="A244" s="660" t="s">
        <v>1900</v>
      </c>
      <c r="B244" s="661" t="s">
        <v>269</v>
      </c>
      <c r="C244" s="662">
        <v>669827</v>
      </c>
      <c r="D244" s="662">
        <v>0</v>
      </c>
      <c r="E244" s="662">
        <v>646473</v>
      </c>
      <c r="F244" s="662">
        <v>69421721</v>
      </c>
      <c r="G244" s="662">
        <v>0</v>
      </c>
      <c r="H244" s="662">
        <v>0</v>
      </c>
      <c r="I244" s="662">
        <v>68537495</v>
      </c>
      <c r="J244" s="802">
        <v>42961</v>
      </c>
      <c r="K244" s="662">
        <v>0</v>
      </c>
      <c r="L244" s="662">
        <v>40986</v>
      </c>
      <c r="M244" s="662">
        <v>3577445</v>
      </c>
      <c r="N244" s="662">
        <v>0</v>
      </c>
      <c r="O244" s="662">
        <v>0</v>
      </c>
      <c r="P244" s="662">
        <v>3577445</v>
      </c>
      <c r="Q244" s="802">
        <v>470</v>
      </c>
      <c r="R244" s="662">
        <v>370</v>
      </c>
      <c r="S244" s="662">
        <v>27600</v>
      </c>
      <c r="T244" s="662">
        <v>0</v>
      </c>
      <c r="U244" s="662">
        <v>0</v>
      </c>
      <c r="V244" s="662">
        <v>24500</v>
      </c>
      <c r="W244" s="802">
        <v>1624</v>
      </c>
      <c r="X244" s="662">
        <v>0</v>
      </c>
      <c r="Y244" s="662">
        <v>1623</v>
      </c>
      <c r="Z244" s="662">
        <v>108765</v>
      </c>
      <c r="AA244" s="662">
        <v>0</v>
      </c>
      <c r="AB244" s="662">
        <v>0</v>
      </c>
      <c r="AC244" s="662">
        <v>108355</v>
      </c>
      <c r="AD244" s="802">
        <v>24962</v>
      </c>
      <c r="AE244" s="662">
        <v>0</v>
      </c>
      <c r="AF244" s="662">
        <v>22015</v>
      </c>
      <c r="AG244" s="662">
        <v>1918985</v>
      </c>
      <c r="AH244" s="662">
        <v>0</v>
      </c>
      <c r="AI244" s="662">
        <v>0</v>
      </c>
      <c r="AJ244" s="662">
        <v>1918985</v>
      </c>
      <c r="AK244" s="802">
        <v>15763</v>
      </c>
      <c r="AL244" s="662">
        <v>15006</v>
      </c>
      <c r="AM244" s="662">
        <v>1623149</v>
      </c>
      <c r="AN244" s="662">
        <v>0</v>
      </c>
      <c r="AO244" s="662">
        <v>0</v>
      </c>
      <c r="AP244" s="662">
        <v>1623149</v>
      </c>
      <c r="AQ244" s="802">
        <v>89288</v>
      </c>
      <c r="AR244" s="662">
        <v>0</v>
      </c>
      <c r="AS244" s="662">
        <v>89288</v>
      </c>
      <c r="AT244" s="662">
        <v>13158777</v>
      </c>
      <c r="AU244" s="662">
        <v>0</v>
      </c>
      <c r="AV244" s="662">
        <v>0</v>
      </c>
      <c r="AW244" s="662">
        <v>13158777</v>
      </c>
      <c r="AX244" s="662">
        <v>24052</v>
      </c>
      <c r="AY244" s="662">
        <v>0</v>
      </c>
      <c r="AZ244" s="662">
        <v>23882</v>
      </c>
      <c r="BA244" s="662">
        <v>2403331</v>
      </c>
      <c r="BB244" s="662">
        <v>0</v>
      </c>
      <c r="BC244" s="662">
        <v>0</v>
      </c>
      <c r="BD244" s="662">
        <v>2399629</v>
      </c>
      <c r="BE244" s="802">
        <v>53385</v>
      </c>
      <c r="BF244" s="662">
        <v>0</v>
      </c>
      <c r="BG244" s="662">
        <v>49960</v>
      </c>
      <c r="BH244" s="662">
        <v>7881353</v>
      </c>
      <c r="BI244" s="662">
        <v>0</v>
      </c>
      <c r="BJ244" s="662">
        <v>0</v>
      </c>
      <c r="BK244" s="662">
        <v>7880353</v>
      </c>
      <c r="BL244" s="662">
        <v>59213</v>
      </c>
      <c r="BM244" s="662">
        <v>0</v>
      </c>
      <c r="BN244" s="662">
        <v>54436</v>
      </c>
      <c r="BO244" s="662">
        <v>3888055</v>
      </c>
      <c r="BP244" s="662">
        <v>0</v>
      </c>
      <c r="BQ244" s="662">
        <v>0</v>
      </c>
      <c r="BR244" s="662">
        <v>3860455</v>
      </c>
      <c r="BS244" s="662">
        <v>12300</v>
      </c>
      <c r="BT244" s="662">
        <v>0</v>
      </c>
      <c r="BU244" s="662">
        <v>12100</v>
      </c>
      <c r="BV244" s="662">
        <v>929470</v>
      </c>
      <c r="BW244" s="662">
        <v>0</v>
      </c>
      <c r="BX244" s="662">
        <v>0</v>
      </c>
      <c r="BY244" s="662">
        <v>929470</v>
      </c>
      <c r="BZ244" s="662">
        <v>15859</v>
      </c>
      <c r="CA244" s="662">
        <v>0</v>
      </c>
      <c r="CB244" s="662">
        <v>15595</v>
      </c>
      <c r="CC244" s="662">
        <v>1409690</v>
      </c>
      <c r="CD244" s="662">
        <v>0</v>
      </c>
      <c r="CE244" s="662">
        <v>0</v>
      </c>
      <c r="CF244" s="662">
        <v>1366628</v>
      </c>
      <c r="CG244" s="662">
        <v>20347</v>
      </c>
      <c r="CH244" s="662">
        <v>0</v>
      </c>
      <c r="CI244" s="662">
        <v>20130</v>
      </c>
      <c r="CJ244" s="662">
        <v>2060250</v>
      </c>
      <c r="CK244" s="662">
        <v>0</v>
      </c>
      <c r="CL244" s="662">
        <v>0</v>
      </c>
      <c r="CM244" s="662">
        <v>1982230</v>
      </c>
      <c r="CN244" s="662">
        <v>32529</v>
      </c>
      <c r="CO244" s="662">
        <v>0</v>
      </c>
      <c r="CP244" s="662">
        <v>29250</v>
      </c>
      <c r="CQ244" s="662">
        <v>4480133</v>
      </c>
      <c r="CR244" s="662">
        <v>0</v>
      </c>
      <c r="CS244" s="662">
        <v>0</v>
      </c>
      <c r="CT244" s="662">
        <v>4480133</v>
      </c>
      <c r="CU244" s="662">
        <v>5593</v>
      </c>
      <c r="CV244" s="662">
        <v>0</v>
      </c>
      <c r="CW244" s="662">
        <v>5593</v>
      </c>
      <c r="CX244" s="662">
        <v>779060</v>
      </c>
      <c r="CY244" s="662">
        <v>0</v>
      </c>
      <c r="CZ244" s="662">
        <v>0</v>
      </c>
      <c r="DA244" s="662">
        <v>779060</v>
      </c>
      <c r="DB244" s="662">
        <v>25633</v>
      </c>
      <c r="DC244" s="662">
        <v>0</v>
      </c>
      <c r="DD244" s="662">
        <v>24619</v>
      </c>
      <c r="DE244" s="662">
        <v>2044029</v>
      </c>
      <c r="DF244" s="662">
        <v>0</v>
      </c>
      <c r="DG244" s="662">
        <v>0</v>
      </c>
      <c r="DH244" s="662">
        <v>2020000</v>
      </c>
      <c r="DI244" s="662">
        <v>88109</v>
      </c>
      <c r="DJ244" s="662">
        <v>0</v>
      </c>
      <c r="DK244" s="662">
        <v>85350</v>
      </c>
      <c r="DL244" s="662">
        <v>14821500</v>
      </c>
      <c r="DM244" s="662">
        <v>0</v>
      </c>
      <c r="DN244" s="662">
        <v>0</v>
      </c>
      <c r="DO244" s="662">
        <v>14193325</v>
      </c>
      <c r="DP244" s="662">
        <v>2027</v>
      </c>
      <c r="DQ244" s="662">
        <v>0</v>
      </c>
      <c r="DR244" s="662">
        <v>1980</v>
      </c>
      <c r="DS244" s="662">
        <v>182278</v>
      </c>
      <c r="DT244" s="662">
        <v>0</v>
      </c>
      <c r="DU244" s="662">
        <v>0</v>
      </c>
      <c r="DV244" s="662">
        <v>155421</v>
      </c>
      <c r="DW244" s="662">
        <v>8831</v>
      </c>
      <c r="DX244" s="662">
        <v>0</v>
      </c>
      <c r="DY244" s="662">
        <v>8646</v>
      </c>
      <c r="DZ244" s="662">
        <v>463451</v>
      </c>
      <c r="EA244" s="662">
        <v>0</v>
      </c>
      <c r="EB244" s="662">
        <v>0</v>
      </c>
      <c r="EC244" s="662">
        <v>459950</v>
      </c>
      <c r="ED244" s="662">
        <v>120262</v>
      </c>
      <c r="EE244" s="662">
        <v>0</v>
      </c>
      <c r="EF244" s="662">
        <v>119025</v>
      </c>
      <c r="EG244" s="662">
        <v>6827090</v>
      </c>
      <c r="EH244" s="662">
        <v>0</v>
      </c>
      <c r="EI244" s="662">
        <v>0</v>
      </c>
      <c r="EJ244" s="662">
        <v>6782320</v>
      </c>
      <c r="EK244" s="662">
        <v>26619</v>
      </c>
      <c r="EL244" s="662">
        <v>0</v>
      </c>
      <c r="EM244" s="662">
        <v>26619</v>
      </c>
      <c r="EN244" s="662">
        <v>837310</v>
      </c>
      <c r="EO244" s="662">
        <v>0</v>
      </c>
      <c r="EP244" s="662">
        <v>0</v>
      </c>
      <c r="EQ244" s="662">
        <v>837310</v>
      </c>
    </row>
    <row r="245" spans="1:147" ht="13.95" customHeight="1" x14ac:dyDescent="0.3">
      <c r="A245" s="660" t="s">
        <v>1901</v>
      </c>
      <c r="B245" s="661" t="s">
        <v>269</v>
      </c>
      <c r="C245" s="662">
        <v>0</v>
      </c>
      <c r="D245" s="662">
        <v>0</v>
      </c>
      <c r="E245" s="662">
        <v>0</v>
      </c>
      <c r="F245" s="662">
        <v>0</v>
      </c>
      <c r="G245" s="662">
        <v>0</v>
      </c>
      <c r="H245" s="662">
        <v>0</v>
      </c>
      <c r="I245" s="662">
        <v>0</v>
      </c>
      <c r="J245" s="802">
        <v>0</v>
      </c>
      <c r="K245" s="662">
        <v>0</v>
      </c>
      <c r="L245" s="662">
        <v>0</v>
      </c>
      <c r="M245" s="662">
        <v>0</v>
      </c>
      <c r="N245" s="662">
        <v>0</v>
      </c>
      <c r="O245" s="662">
        <v>0</v>
      </c>
      <c r="P245" s="662">
        <v>0</v>
      </c>
      <c r="Q245" s="802">
        <v>0</v>
      </c>
      <c r="R245" s="662">
        <v>0</v>
      </c>
      <c r="S245" s="662">
        <v>0</v>
      </c>
      <c r="T245" s="662">
        <v>0</v>
      </c>
      <c r="U245" s="662">
        <v>0</v>
      </c>
      <c r="V245" s="662">
        <v>0</v>
      </c>
      <c r="W245" s="802">
        <v>0</v>
      </c>
      <c r="X245" s="662">
        <v>0</v>
      </c>
      <c r="Y245" s="662">
        <v>0</v>
      </c>
      <c r="Z245" s="662">
        <v>0</v>
      </c>
      <c r="AA245" s="662">
        <v>0</v>
      </c>
      <c r="AB245" s="662">
        <v>0</v>
      </c>
      <c r="AC245" s="662">
        <v>0</v>
      </c>
      <c r="AD245" s="802">
        <v>0</v>
      </c>
      <c r="AE245" s="662">
        <v>0</v>
      </c>
      <c r="AF245" s="662">
        <v>0</v>
      </c>
      <c r="AG245" s="662">
        <v>0</v>
      </c>
      <c r="AH245" s="662">
        <v>0</v>
      </c>
      <c r="AI245" s="662">
        <v>0</v>
      </c>
      <c r="AJ245" s="662">
        <v>0</v>
      </c>
      <c r="AK245" s="802">
        <v>0</v>
      </c>
      <c r="AL245" s="662">
        <v>0</v>
      </c>
      <c r="AM245" s="662">
        <v>0</v>
      </c>
      <c r="AN245" s="662">
        <v>0</v>
      </c>
      <c r="AO245" s="662">
        <v>0</v>
      </c>
      <c r="AP245" s="662">
        <v>0</v>
      </c>
      <c r="AQ245" s="802">
        <v>0</v>
      </c>
      <c r="AR245" s="662">
        <v>0</v>
      </c>
      <c r="AS245" s="662">
        <v>0</v>
      </c>
      <c r="AT245" s="662">
        <v>0</v>
      </c>
      <c r="AU245" s="662">
        <v>0</v>
      </c>
      <c r="AV245" s="662">
        <v>0</v>
      </c>
      <c r="AW245" s="662">
        <v>0</v>
      </c>
      <c r="AX245" s="662">
        <v>0</v>
      </c>
      <c r="AY245" s="662">
        <v>0</v>
      </c>
      <c r="AZ245" s="662">
        <v>0</v>
      </c>
      <c r="BA245" s="662">
        <v>0</v>
      </c>
      <c r="BB245" s="662">
        <v>0</v>
      </c>
      <c r="BC245" s="662">
        <v>0</v>
      </c>
      <c r="BD245" s="662">
        <v>0</v>
      </c>
      <c r="BE245" s="802">
        <v>0</v>
      </c>
      <c r="BF245" s="662">
        <v>0</v>
      </c>
      <c r="BG245" s="662">
        <v>0</v>
      </c>
      <c r="BH245" s="662">
        <v>0</v>
      </c>
      <c r="BI245" s="662">
        <v>0</v>
      </c>
      <c r="BJ245" s="662">
        <v>0</v>
      </c>
      <c r="BK245" s="662">
        <v>0</v>
      </c>
      <c r="BL245" s="662">
        <v>0</v>
      </c>
      <c r="BM245" s="662">
        <v>0</v>
      </c>
      <c r="BN245" s="662">
        <v>0</v>
      </c>
      <c r="BO245" s="662">
        <v>0</v>
      </c>
      <c r="BP245" s="662">
        <v>0</v>
      </c>
      <c r="BQ245" s="662">
        <v>0</v>
      </c>
      <c r="BR245" s="662">
        <v>0</v>
      </c>
      <c r="BS245" s="662">
        <v>0</v>
      </c>
      <c r="BT245" s="662">
        <v>0</v>
      </c>
      <c r="BU245" s="662">
        <v>0</v>
      </c>
      <c r="BV245" s="662">
        <v>0</v>
      </c>
      <c r="BW245" s="662">
        <v>0</v>
      </c>
      <c r="BX245" s="662">
        <v>0</v>
      </c>
      <c r="BY245" s="662">
        <v>0</v>
      </c>
      <c r="BZ245" s="662">
        <v>0</v>
      </c>
      <c r="CA245" s="662">
        <v>0</v>
      </c>
      <c r="CB245" s="662">
        <v>0</v>
      </c>
      <c r="CC245" s="662">
        <v>0</v>
      </c>
      <c r="CD245" s="662">
        <v>0</v>
      </c>
      <c r="CE245" s="662">
        <v>0</v>
      </c>
      <c r="CF245" s="662">
        <v>0</v>
      </c>
      <c r="CG245" s="662">
        <v>0</v>
      </c>
      <c r="CH245" s="662">
        <v>0</v>
      </c>
      <c r="CI245" s="662">
        <v>0</v>
      </c>
      <c r="CJ245" s="662">
        <v>0</v>
      </c>
      <c r="CK245" s="662">
        <v>0</v>
      </c>
      <c r="CL245" s="662">
        <v>0</v>
      </c>
      <c r="CM245" s="662">
        <v>0</v>
      </c>
      <c r="CN245" s="662">
        <v>0</v>
      </c>
      <c r="CO245" s="662">
        <v>0</v>
      </c>
      <c r="CP245" s="662">
        <v>0</v>
      </c>
      <c r="CQ245" s="662">
        <v>0</v>
      </c>
      <c r="CR245" s="662">
        <v>0</v>
      </c>
      <c r="CS245" s="662">
        <v>0</v>
      </c>
      <c r="CT245" s="662">
        <v>0</v>
      </c>
      <c r="CU245" s="662">
        <v>0</v>
      </c>
      <c r="CV245" s="662">
        <v>0</v>
      </c>
      <c r="CW245" s="662">
        <v>0</v>
      </c>
      <c r="CX245" s="662">
        <v>0</v>
      </c>
      <c r="CY245" s="662">
        <v>0</v>
      </c>
      <c r="CZ245" s="662">
        <v>0</v>
      </c>
      <c r="DA245" s="662">
        <v>0</v>
      </c>
      <c r="DB245" s="662">
        <v>0</v>
      </c>
      <c r="DC245" s="662">
        <v>0</v>
      </c>
      <c r="DD245" s="662">
        <v>0</v>
      </c>
      <c r="DE245" s="662">
        <v>0</v>
      </c>
      <c r="DF245" s="662">
        <v>0</v>
      </c>
      <c r="DG245" s="662">
        <v>0</v>
      </c>
      <c r="DH245" s="662">
        <v>0</v>
      </c>
      <c r="DI245" s="662">
        <v>0</v>
      </c>
      <c r="DJ245" s="662">
        <v>0</v>
      </c>
      <c r="DK245" s="662">
        <v>0</v>
      </c>
      <c r="DL245" s="662">
        <v>0</v>
      </c>
      <c r="DM245" s="662">
        <v>0</v>
      </c>
      <c r="DN245" s="662">
        <v>0</v>
      </c>
      <c r="DO245" s="662">
        <v>0</v>
      </c>
      <c r="DP245" s="662">
        <v>0</v>
      </c>
      <c r="DQ245" s="662">
        <v>0</v>
      </c>
      <c r="DR245" s="662">
        <v>0</v>
      </c>
      <c r="DS245" s="662">
        <v>0</v>
      </c>
      <c r="DT245" s="662">
        <v>0</v>
      </c>
      <c r="DU245" s="662">
        <v>0</v>
      </c>
      <c r="DV245" s="662">
        <v>0</v>
      </c>
      <c r="DW245" s="662">
        <v>0</v>
      </c>
      <c r="DX245" s="662">
        <v>0</v>
      </c>
      <c r="DY245" s="662">
        <v>0</v>
      </c>
      <c r="DZ245" s="662">
        <v>0</v>
      </c>
      <c r="EA245" s="662">
        <v>0</v>
      </c>
      <c r="EB245" s="662">
        <v>0</v>
      </c>
      <c r="EC245" s="662">
        <v>0</v>
      </c>
      <c r="ED245" s="662">
        <v>0</v>
      </c>
      <c r="EE245" s="662">
        <v>0</v>
      </c>
      <c r="EF245" s="662">
        <v>0</v>
      </c>
      <c r="EG245" s="662">
        <v>0</v>
      </c>
      <c r="EH245" s="662">
        <v>0</v>
      </c>
      <c r="EI245" s="662">
        <v>0</v>
      </c>
      <c r="EJ245" s="662">
        <v>0</v>
      </c>
      <c r="EK245" s="662">
        <v>0</v>
      </c>
      <c r="EL245" s="662">
        <v>0</v>
      </c>
      <c r="EM245" s="662">
        <v>0</v>
      </c>
      <c r="EN245" s="662">
        <v>0</v>
      </c>
      <c r="EO245" s="662">
        <v>0</v>
      </c>
      <c r="EP245" s="662">
        <v>0</v>
      </c>
      <c r="EQ245" s="662">
        <v>0</v>
      </c>
    </row>
    <row r="246" spans="1:147" ht="13.95" customHeight="1" x14ac:dyDescent="0.3">
      <c r="A246" s="660" t="s">
        <v>1902</v>
      </c>
      <c r="B246" s="661" t="s">
        <v>269</v>
      </c>
      <c r="C246" s="662">
        <v>0</v>
      </c>
      <c r="D246" s="662">
        <v>0</v>
      </c>
      <c r="E246" s="662">
        <v>0</v>
      </c>
      <c r="F246" s="662">
        <v>0</v>
      </c>
      <c r="G246" s="662">
        <v>0</v>
      </c>
      <c r="H246" s="662">
        <v>0</v>
      </c>
      <c r="I246" s="662">
        <v>0</v>
      </c>
      <c r="J246" s="802">
        <v>0</v>
      </c>
      <c r="K246" s="662">
        <v>0</v>
      </c>
      <c r="L246" s="662">
        <v>0</v>
      </c>
      <c r="M246" s="662">
        <v>0</v>
      </c>
      <c r="N246" s="662">
        <v>0</v>
      </c>
      <c r="O246" s="662">
        <v>0</v>
      </c>
      <c r="P246" s="662">
        <v>0</v>
      </c>
      <c r="Q246" s="802">
        <v>0</v>
      </c>
      <c r="R246" s="662">
        <v>0</v>
      </c>
      <c r="S246" s="662">
        <v>0</v>
      </c>
      <c r="T246" s="662">
        <v>0</v>
      </c>
      <c r="U246" s="662">
        <v>0</v>
      </c>
      <c r="V246" s="662">
        <v>0</v>
      </c>
      <c r="W246" s="802">
        <v>0</v>
      </c>
      <c r="X246" s="662">
        <v>0</v>
      </c>
      <c r="Y246" s="662">
        <v>0</v>
      </c>
      <c r="Z246" s="662">
        <v>0</v>
      </c>
      <c r="AA246" s="662">
        <v>0</v>
      </c>
      <c r="AB246" s="662">
        <v>0</v>
      </c>
      <c r="AC246" s="662">
        <v>0</v>
      </c>
      <c r="AD246" s="802">
        <v>0</v>
      </c>
      <c r="AE246" s="662">
        <v>0</v>
      </c>
      <c r="AF246" s="662">
        <v>0</v>
      </c>
      <c r="AG246" s="662">
        <v>0</v>
      </c>
      <c r="AH246" s="662">
        <v>0</v>
      </c>
      <c r="AI246" s="662">
        <v>0</v>
      </c>
      <c r="AJ246" s="662">
        <v>0</v>
      </c>
      <c r="AK246" s="802">
        <v>0</v>
      </c>
      <c r="AL246" s="662">
        <v>0</v>
      </c>
      <c r="AM246" s="662">
        <v>0</v>
      </c>
      <c r="AN246" s="662">
        <v>0</v>
      </c>
      <c r="AO246" s="662">
        <v>0</v>
      </c>
      <c r="AP246" s="662">
        <v>0</v>
      </c>
      <c r="AQ246" s="802">
        <v>0</v>
      </c>
      <c r="AR246" s="662">
        <v>0</v>
      </c>
      <c r="AS246" s="662">
        <v>0</v>
      </c>
      <c r="AT246" s="662">
        <v>0</v>
      </c>
      <c r="AU246" s="662">
        <v>0</v>
      </c>
      <c r="AV246" s="662">
        <v>0</v>
      </c>
      <c r="AW246" s="662">
        <v>0</v>
      </c>
      <c r="AX246" s="662">
        <v>0</v>
      </c>
      <c r="AY246" s="662">
        <v>0</v>
      </c>
      <c r="AZ246" s="662">
        <v>0</v>
      </c>
      <c r="BA246" s="662">
        <v>0</v>
      </c>
      <c r="BB246" s="662">
        <v>0</v>
      </c>
      <c r="BC246" s="662">
        <v>0</v>
      </c>
      <c r="BD246" s="662">
        <v>0</v>
      </c>
      <c r="BE246" s="802">
        <v>0</v>
      </c>
      <c r="BF246" s="662">
        <v>0</v>
      </c>
      <c r="BG246" s="662">
        <v>0</v>
      </c>
      <c r="BH246" s="662">
        <v>0</v>
      </c>
      <c r="BI246" s="662">
        <v>0</v>
      </c>
      <c r="BJ246" s="662">
        <v>0</v>
      </c>
      <c r="BK246" s="662">
        <v>0</v>
      </c>
      <c r="BL246" s="662">
        <v>0</v>
      </c>
      <c r="BM246" s="662">
        <v>0</v>
      </c>
      <c r="BN246" s="662">
        <v>0</v>
      </c>
      <c r="BO246" s="662">
        <v>0</v>
      </c>
      <c r="BP246" s="662">
        <v>0</v>
      </c>
      <c r="BQ246" s="662">
        <v>0</v>
      </c>
      <c r="BR246" s="662">
        <v>0</v>
      </c>
      <c r="BS246" s="662">
        <v>0</v>
      </c>
      <c r="BT246" s="662">
        <v>0</v>
      </c>
      <c r="BU246" s="662">
        <v>0</v>
      </c>
      <c r="BV246" s="662">
        <v>0</v>
      </c>
      <c r="BW246" s="662">
        <v>0</v>
      </c>
      <c r="BX246" s="662">
        <v>0</v>
      </c>
      <c r="BY246" s="662">
        <v>0</v>
      </c>
      <c r="BZ246" s="662">
        <v>0</v>
      </c>
      <c r="CA246" s="662">
        <v>0</v>
      </c>
      <c r="CB246" s="662">
        <v>0</v>
      </c>
      <c r="CC246" s="662">
        <v>0</v>
      </c>
      <c r="CD246" s="662">
        <v>0</v>
      </c>
      <c r="CE246" s="662">
        <v>0</v>
      </c>
      <c r="CF246" s="662">
        <v>0</v>
      </c>
      <c r="CG246" s="662">
        <v>0</v>
      </c>
      <c r="CH246" s="662">
        <v>0</v>
      </c>
      <c r="CI246" s="662">
        <v>0</v>
      </c>
      <c r="CJ246" s="662">
        <v>0</v>
      </c>
      <c r="CK246" s="662">
        <v>0</v>
      </c>
      <c r="CL246" s="662">
        <v>0</v>
      </c>
      <c r="CM246" s="662">
        <v>0</v>
      </c>
      <c r="CN246" s="662">
        <v>0</v>
      </c>
      <c r="CO246" s="662">
        <v>0</v>
      </c>
      <c r="CP246" s="662">
        <v>0</v>
      </c>
      <c r="CQ246" s="662">
        <v>0</v>
      </c>
      <c r="CR246" s="662">
        <v>0</v>
      </c>
      <c r="CS246" s="662">
        <v>0</v>
      </c>
      <c r="CT246" s="662">
        <v>0</v>
      </c>
      <c r="CU246" s="662">
        <v>0</v>
      </c>
      <c r="CV246" s="662">
        <v>0</v>
      </c>
      <c r="CW246" s="662">
        <v>0</v>
      </c>
      <c r="CX246" s="662">
        <v>0</v>
      </c>
      <c r="CY246" s="662">
        <v>0</v>
      </c>
      <c r="CZ246" s="662">
        <v>0</v>
      </c>
      <c r="DA246" s="662">
        <v>0</v>
      </c>
      <c r="DB246" s="662">
        <v>0</v>
      </c>
      <c r="DC246" s="662">
        <v>0</v>
      </c>
      <c r="DD246" s="662">
        <v>0</v>
      </c>
      <c r="DE246" s="662">
        <v>0</v>
      </c>
      <c r="DF246" s="662">
        <v>0</v>
      </c>
      <c r="DG246" s="662">
        <v>0</v>
      </c>
      <c r="DH246" s="662">
        <v>0</v>
      </c>
      <c r="DI246" s="662">
        <v>0</v>
      </c>
      <c r="DJ246" s="662">
        <v>0</v>
      </c>
      <c r="DK246" s="662">
        <v>0</v>
      </c>
      <c r="DL246" s="662">
        <v>0</v>
      </c>
      <c r="DM246" s="662">
        <v>0</v>
      </c>
      <c r="DN246" s="662">
        <v>0</v>
      </c>
      <c r="DO246" s="662">
        <v>0</v>
      </c>
      <c r="DP246" s="662">
        <v>0</v>
      </c>
      <c r="DQ246" s="662">
        <v>0</v>
      </c>
      <c r="DR246" s="662">
        <v>0</v>
      </c>
      <c r="DS246" s="662">
        <v>0</v>
      </c>
      <c r="DT246" s="662">
        <v>0</v>
      </c>
      <c r="DU246" s="662">
        <v>0</v>
      </c>
      <c r="DV246" s="662">
        <v>0</v>
      </c>
      <c r="DW246" s="662">
        <v>0</v>
      </c>
      <c r="DX246" s="662">
        <v>0</v>
      </c>
      <c r="DY246" s="662">
        <v>0</v>
      </c>
      <c r="DZ246" s="662">
        <v>0</v>
      </c>
      <c r="EA246" s="662">
        <v>0</v>
      </c>
      <c r="EB246" s="662">
        <v>0</v>
      </c>
      <c r="EC246" s="662">
        <v>0</v>
      </c>
      <c r="ED246" s="662">
        <v>0</v>
      </c>
      <c r="EE246" s="662">
        <v>0</v>
      </c>
      <c r="EF246" s="662">
        <v>0</v>
      </c>
      <c r="EG246" s="662">
        <v>0</v>
      </c>
      <c r="EH246" s="662">
        <v>0</v>
      </c>
      <c r="EI246" s="662">
        <v>0</v>
      </c>
      <c r="EJ246" s="662">
        <v>0</v>
      </c>
      <c r="EK246" s="662">
        <v>0</v>
      </c>
      <c r="EL246" s="662">
        <v>0</v>
      </c>
      <c r="EM246" s="662">
        <v>0</v>
      </c>
      <c r="EN246" s="662">
        <v>0</v>
      </c>
      <c r="EO246" s="662">
        <v>0</v>
      </c>
      <c r="EP246" s="662">
        <v>0</v>
      </c>
      <c r="EQ246" s="662">
        <v>0</v>
      </c>
    </row>
    <row r="247" spans="1:147" ht="20.7" customHeight="1" x14ac:dyDescent="0.3">
      <c r="A247" s="660" t="s">
        <v>1903</v>
      </c>
      <c r="B247" s="661" t="s">
        <v>269</v>
      </c>
      <c r="C247" s="662">
        <v>0</v>
      </c>
      <c r="D247" s="662">
        <v>0</v>
      </c>
      <c r="E247" s="662">
        <v>0</v>
      </c>
      <c r="F247" s="662">
        <v>0</v>
      </c>
      <c r="G247" s="662">
        <v>0</v>
      </c>
      <c r="H247" s="662">
        <v>0</v>
      </c>
      <c r="I247" s="662">
        <v>0</v>
      </c>
      <c r="J247" s="802">
        <v>0</v>
      </c>
      <c r="K247" s="662">
        <v>0</v>
      </c>
      <c r="L247" s="662">
        <v>0</v>
      </c>
      <c r="M247" s="662">
        <v>0</v>
      </c>
      <c r="N247" s="662">
        <v>0</v>
      </c>
      <c r="O247" s="662">
        <v>0</v>
      </c>
      <c r="P247" s="662">
        <v>0</v>
      </c>
      <c r="Q247" s="802">
        <v>0</v>
      </c>
      <c r="R247" s="662">
        <v>0</v>
      </c>
      <c r="S247" s="662">
        <v>0</v>
      </c>
      <c r="T247" s="662">
        <v>0</v>
      </c>
      <c r="U247" s="662">
        <v>0</v>
      </c>
      <c r="V247" s="662">
        <v>0</v>
      </c>
      <c r="W247" s="802">
        <v>0</v>
      </c>
      <c r="X247" s="662">
        <v>0</v>
      </c>
      <c r="Y247" s="662">
        <v>0</v>
      </c>
      <c r="Z247" s="662">
        <v>0</v>
      </c>
      <c r="AA247" s="662">
        <v>0</v>
      </c>
      <c r="AB247" s="662">
        <v>0</v>
      </c>
      <c r="AC247" s="662">
        <v>0</v>
      </c>
      <c r="AD247" s="802">
        <v>0</v>
      </c>
      <c r="AE247" s="662">
        <v>0</v>
      </c>
      <c r="AF247" s="662">
        <v>0</v>
      </c>
      <c r="AG247" s="662">
        <v>0</v>
      </c>
      <c r="AH247" s="662">
        <v>0</v>
      </c>
      <c r="AI247" s="662">
        <v>0</v>
      </c>
      <c r="AJ247" s="662">
        <v>0</v>
      </c>
      <c r="AK247" s="802">
        <v>0</v>
      </c>
      <c r="AL247" s="662">
        <v>0</v>
      </c>
      <c r="AM247" s="662">
        <v>0</v>
      </c>
      <c r="AN247" s="662">
        <v>0</v>
      </c>
      <c r="AO247" s="662">
        <v>0</v>
      </c>
      <c r="AP247" s="662">
        <v>0</v>
      </c>
      <c r="AQ247" s="802">
        <v>0</v>
      </c>
      <c r="AR247" s="662">
        <v>0</v>
      </c>
      <c r="AS247" s="662">
        <v>0</v>
      </c>
      <c r="AT247" s="662">
        <v>0</v>
      </c>
      <c r="AU247" s="662">
        <v>0</v>
      </c>
      <c r="AV247" s="662">
        <v>0</v>
      </c>
      <c r="AW247" s="662">
        <v>0</v>
      </c>
      <c r="AX247" s="662">
        <v>0</v>
      </c>
      <c r="AY247" s="662">
        <v>0</v>
      </c>
      <c r="AZ247" s="662">
        <v>0</v>
      </c>
      <c r="BA247" s="662">
        <v>0</v>
      </c>
      <c r="BB247" s="662">
        <v>0</v>
      </c>
      <c r="BC247" s="662">
        <v>0</v>
      </c>
      <c r="BD247" s="662">
        <v>0</v>
      </c>
      <c r="BE247" s="802">
        <v>0</v>
      </c>
      <c r="BF247" s="662">
        <v>0</v>
      </c>
      <c r="BG247" s="662">
        <v>0</v>
      </c>
      <c r="BH247" s="662">
        <v>0</v>
      </c>
      <c r="BI247" s="662">
        <v>0</v>
      </c>
      <c r="BJ247" s="662">
        <v>0</v>
      </c>
      <c r="BK247" s="662">
        <v>0</v>
      </c>
      <c r="BL247" s="662">
        <v>0</v>
      </c>
      <c r="BM247" s="662">
        <v>0</v>
      </c>
      <c r="BN247" s="662">
        <v>0</v>
      </c>
      <c r="BO247" s="662">
        <v>0</v>
      </c>
      <c r="BP247" s="662">
        <v>0</v>
      </c>
      <c r="BQ247" s="662">
        <v>0</v>
      </c>
      <c r="BR247" s="662">
        <v>0</v>
      </c>
      <c r="BS247" s="662">
        <v>0</v>
      </c>
      <c r="BT247" s="662">
        <v>0</v>
      </c>
      <c r="BU247" s="662">
        <v>0</v>
      </c>
      <c r="BV247" s="662">
        <v>0</v>
      </c>
      <c r="BW247" s="662">
        <v>0</v>
      </c>
      <c r="BX247" s="662">
        <v>0</v>
      </c>
      <c r="BY247" s="662">
        <v>0</v>
      </c>
      <c r="BZ247" s="662">
        <v>0</v>
      </c>
      <c r="CA247" s="662">
        <v>0</v>
      </c>
      <c r="CB247" s="662">
        <v>0</v>
      </c>
      <c r="CC247" s="662">
        <v>0</v>
      </c>
      <c r="CD247" s="662">
        <v>0</v>
      </c>
      <c r="CE247" s="662">
        <v>0</v>
      </c>
      <c r="CF247" s="662">
        <v>0</v>
      </c>
      <c r="CG247" s="662">
        <v>0</v>
      </c>
      <c r="CH247" s="662">
        <v>0</v>
      </c>
      <c r="CI247" s="662">
        <v>0</v>
      </c>
      <c r="CJ247" s="662">
        <v>0</v>
      </c>
      <c r="CK247" s="662">
        <v>0</v>
      </c>
      <c r="CL247" s="662">
        <v>0</v>
      </c>
      <c r="CM247" s="662">
        <v>0</v>
      </c>
      <c r="CN247" s="662">
        <v>0</v>
      </c>
      <c r="CO247" s="662">
        <v>0</v>
      </c>
      <c r="CP247" s="662">
        <v>0</v>
      </c>
      <c r="CQ247" s="662">
        <v>0</v>
      </c>
      <c r="CR247" s="662">
        <v>0</v>
      </c>
      <c r="CS247" s="662">
        <v>0</v>
      </c>
      <c r="CT247" s="662">
        <v>0</v>
      </c>
      <c r="CU247" s="662">
        <v>0</v>
      </c>
      <c r="CV247" s="662">
        <v>0</v>
      </c>
      <c r="CW247" s="662">
        <v>0</v>
      </c>
      <c r="CX247" s="662">
        <v>0</v>
      </c>
      <c r="CY247" s="662">
        <v>0</v>
      </c>
      <c r="CZ247" s="662">
        <v>0</v>
      </c>
      <c r="DA247" s="662">
        <v>0</v>
      </c>
      <c r="DB247" s="662">
        <v>0</v>
      </c>
      <c r="DC247" s="662">
        <v>0</v>
      </c>
      <c r="DD247" s="662">
        <v>0</v>
      </c>
      <c r="DE247" s="662">
        <v>0</v>
      </c>
      <c r="DF247" s="662">
        <v>0</v>
      </c>
      <c r="DG247" s="662">
        <v>0</v>
      </c>
      <c r="DH247" s="662">
        <v>0</v>
      </c>
      <c r="DI247" s="662">
        <v>0</v>
      </c>
      <c r="DJ247" s="662">
        <v>0</v>
      </c>
      <c r="DK247" s="662">
        <v>0</v>
      </c>
      <c r="DL247" s="662">
        <v>0</v>
      </c>
      <c r="DM247" s="662">
        <v>0</v>
      </c>
      <c r="DN247" s="662">
        <v>0</v>
      </c>
      <c r="DO247" s="662">
        <v>0</v>
      </c>
      <c r="DP247" s="662">
        <v>0</v>
      </c>
      <c r="DQ247" s="662">
        <v>0</v>
      </c>
      <c r="DR247" s="662">
        <v>0</v>
      </c>
      <c r="DS247" s="662">
        <v>0</v>
      </c>
      <c r="DT247" s="662">
        <v>0</v>
      </c>
      <c r="DU247" s="662">
        <v>0</v>
      </c>
      <c r="DV247" s="662">
        <v>0</v>
      </c>
      <c r="DW247" s="662">
        <v>0</v>
      </c>
      <c r="DX247" s="662">
        <v>0</v>
      </c>
      <c r="DY247" s="662">
        <v>0</v>
      </c>
      <c r="DZ247" s="662">
        <v>0</v>
      </c>
      <c r="EA247" s="662">
        <v>0</v>
      </c>
      <c r="EB247" s="662">
        <v>0</v>
      </c>
      <c r="EC247" s="662">
        <v>0</v>
      </c>
      <c r="ED247" s="662">
        <v>0</v>
      </c>
      <c r="EE247" s="662">
        <v>0</v>
      </c>
      <c r="EF247" s="662">
        <v>0</v>
      </c>
      <c r="EG247" s="662">
        <v>0</v>
      </c>
      <c r="EH247" s="662">
        <v>0</v>
      </c>
      <c r="EI247" s="662">
        <v>0</v>
      </c>
      <c r="EJ247" s="662">
        <v>0</v>
      </c>
      <c r="EK247" s="662">
        <v>0</v>
      </c>
      <c r="EL247" s="662">
        <v>0</v>
      </c>
      <c r="EM247" s="662">
        <v>0</v>
      </c>
      <c r="EN247" s="662">
        <v>0</v>
      </c>
      <c r="EO247" s="662">
        <v>0</v>
      </c>
      <c r="EP247" s="662">
        <v>0</v>
      </c>
      <c r="EQ247" s="662">
        <v>0</v>
      </c>
    </row>
    <row r="248" spans="1:147" ht="13.95" customHeight="1" x14ac:dyDescent="0.3">
      <c r="A248" s="660" t="s">
        <v>1904</v>
      </c>
      <c r="B248" s="661" t="s">
        <v>269</v>
      </c>
      <c r="C248" s="662">
        <v>0</v>
      </c>
      <c r="D248" s="662">
        <v>0</v>
      </c>
      <c r="E248" s="662">
        <v>0</v>
      </c>
      <c r="F248" s="662">
        <v>49858620</v>
      </c>
      <c r="G248" s="662">
        <v>0</v>
      </c>
      <c r="H248" s="662">
        <v>49858620</v>
      </c>
      <c r="I248" s="662">
        <v>0</v>
      </c>
      <c r="J248" s="802">
        <v>0</v>
      </c>
      <c r="K248" s="662">
        <v>0</v>
      </c>
      <c r="L248" s="662">
        <v>0</v>
      </c>
      <c r="M248" s="662">
        <v>2524960</v>
      </c>
      <c r="N248" s="662">
        <v>0</v>
      </c>
      <c r="O248" s="662">
        <v>2524960</v>
      </c>
      <c r="P248" s="662">
        <v>0</v>
      </c>
      <c r="Q248" s="802">
        <v>0</v>
      </c>
      <c r="R248" s="662">
        <v>0</v>
      </c>
      <c r="S248" s="662">
        <v>18600</v>
      </c>
      <c r="T248" s="662">
        <v>0</v>
      </c>
      <c r="U248" s="662">
        <v>18600</v>
      </c>
      <c r="V248" s="662">
        <v>0</v>
      </c>
      <c r="W248" s="802">
        <v>0</v>
      </c>
      <c r="X248" s="662">
        <v>0</v>
      </c>
      <c r="Y248" s="662">
        <v>0</v>
      </c>
      <c r="Z248" s="662">
        <v>84486</v>
      </c>
      <c r="AA248" s="662">
        <v>0</v>
      </c>
      <c r="AB248" s="662">
        <v>84486</v>
      </c>
      <c r="AC248" s="662">
        <v>0</v>
      </c>
      <c r="AD248" s="802">
        <v>0</v>
      </c>
      <c r="AE248" s="662">
        <v>0</v>
      </c>
      <c r="AF248" s="662">
        <v>0</v>
      </c>
      <c r="AG248" s="662">
        <v>1326560</v>
      </c>
      <c r="AH248" s="662">
        <v>0</v>
      </c>
      <c r="AI248" s="662">
        <v>1326560</v>
      </c>
      <c r="AJ248" s="662">
        <v>0</v>
      </c>
      <c r="AK248" s="802">
        <v>0</v>
      </c>
      <c r="AL248" s="662">
        <v>0</v>
      </c>
      <c r="AM248" s="662">
        <v>1153150</v>
      </c>
      <c r="AN248" s="662">
        <v>0</v>
      </c>
      <c r="AO248" s="662">
        <v>1153150</v>
      </c>
      <c r="AP248" s="662">
        <v>0</v>
      </c>
      <c r="AQ248" s="802">
        <v>0</v>
      </c>
      <c r="AR248" s="662">
        <v>0</v>
      </c>
      <c r="AS248" s="662">
        <v>0</v>
      </c>
      <c r="AT248" s="662">
        <v>10292502</v>
      </c>
      <c r="AU248" s="662">
        <v>0</v>
      </c>
      <c r="AV248" s="662">
        <v>10292502</v>
      </c>
      <c r="AW248" s="662">
        <v>0</v>
      </c>
      <c r="AX248" s="662">
        <v>0</v>
      </c>
      <c r="AY248" s="662">
        <v>0</v>
      </c>
      <c r="AZ248" s="662">
        <v>0</v>
      </c>
      <c r="BA248" s="662">
        <v>1709134</v>
      </c>
      <c r="BB248" s="662">
        <v>0</v>
      </c>
      <c r="BC248" s="662">
        <v>1709134</v>
      </c>
      <c r="BD248" s="662">
        <v>0</v>
      </c>
      <c r="BE248" s="802">
        <v>0</v>
      </c>
      <c r="BF248" s="662">
        <v>0</v>
      </c>
      <c r="BG248" s="662">
        <v>0</v>
      </c>
      <c r="BH248" s="662">
        <v>5765798</v>
      </c>
      <c r="BI248" s="662">
        <v>0</v>
      </c>
      <c r="BJ248" s="662">
        <v>5765798</v>
      </c>
      <c r="BK248" s="662">
        <v>0</v>
      </c>
      <c r="BL248" s="662">
        <v>0</v>
      </c>
      <c r="BM248" s="662">
        <v>0</v>
      </c>
      <c r="BN248" s="662">
        <v>0</v>
      </c>
      <c r="BO248" s="662">
        <v>2626748</v>
      </c>
      <c r="BP248" s="662">
        <v>0</v>
      </c>
      <c r="BQ248" s="662">
        <v>2626748</v>
      </c>
      <c r="BR248" s="662">
        <v>0</v>
      </c>
      <c r="BS248" s="662">
        <v>0</v>
      </c>
      <c r="BT248" s="662">
        <v>0</v>
      </c>
      <c r="BU248" s="662">
        <v>0</v>
      </c>
      <c r="BV248" s="662">
        <v>629104</v>
      </c>
      <c r="BW248" s="662">
        <v>0</v>
      </c>
      <c r="BX248" s="662">
        <v>629104</v>
      </c>
      <c r="BY248" s="662">
        <v>0</v>
      </c>
      <c r="BZ248" s="662">
        <v>0</v>
      </c>
      <c r="CA248" s="662">
        <v>0</v>
      </c>
      <c r="CB248" s="662">
        <v>0</v>
      </c>
      <c r="CC248" s="662">
        <v>877662</v>
      </c>
      <c r="CD248" s="662">
        <v>0</v>
      </c>
      <c r="CE248" s="662">
        <v>877662</v>
      </c>
      <c r="CF248" s="662">
        <v>0</v>
      </c>
      <c r="CG248" s="662">
        <v>0</v>
      </c>
      <c r="CH248" s="662">
        <v>0</v>
      </c>
      <c r="CI248" s="662">
        <v>0</v>
      </c>
      <c r="CJ248" s="662">
        <v>1442731</v>
      </c>
      <c r="CK248" s="662">
        <v>0</v>
      </c>
      <c r="CL248" s="662">
        <v>1442731</v>
      </c>
      <c r="CM248" s="662">
        <v>0</v>
      </c>
      <c r="CN248" s="662">
        <v>0</v>
      </c>
      <c r="CO248" s="662">
        <v>0</v>
      </c>
      <c r="CP248" s="662">
        <v>0</v>
      </c>
      <c r="CQ248" s="662">
        <v>3087640</v>
      </c>
      <c r="CR248" s="662">
        <v>0</v>
      </c>
      <c r="CS248" s="662">
        <v>3087640</v>
      </c>
      <c r="CT248" s="662">
        <v>0</v>
      </c>
      <c r="CU248" s="662">
        <v>0</v>
      </c>
      <c r="CV248" s="662">
        <v>0</v>
      </c>
      <c r="CW248" s="662">
        <v>0</v>
      </c>
      <c r="CX248" s="662">
        <v>450634</v>
      </c>
      <c r="CY248" s="662">
        <v>0</v>
      </c>
      <c r="CZ248" s="662">
        <v>450634</v>
      </c>
      <c r="DA248" s="662">
        <v>0</v>
      </c>
      <c r="DB248" s="662">
        <v>0</v>
      </c>
      <c r="DC248" s="662">
        <v>0</v>
      </c>
      <c r="DD248" s="662">
        <v>0</v>
      </c>
      <c r="DE248" s="662">
        <v>1390823</v>
      </c>
      <c r="DF248" s="662">
        <v>0</v>
      </c>
      <c r="DG248" s="662">
        <v>1390823</v>
      </c>
      <c r="DH248" s="662">
        <v>0</v>
      </c>
      <c r="DI248" s="662">
        <v>0</v>
      </c>
      <c r="DJ248" s="662">
        <v>0</v>
      </c>
      <c r="DK248" s="662">
        <v>0</v>
      </c>
      <c r="DL248" s="662">
        <v>9772999</v>
      </c>
      <c r="DM248" s="662">
        <v>0</v>
      </c>
      <c r="DN248" s="662">
        <v>9772999</v>
      </c>
      <c r="DO248" s="662">
        <v>0</v>
      </c>
      <c r="DP248" s="662">
        <v>0</v>
      </c>
      <c r="DQ248" s="662">
        <v>0</v>
      </c>
      <c r="DR248" s="662">
        <v>0</v>
      </c>
      <c r="DS248" s="662">
        <v>86187</v>
      </c>
      <c r="DT248" s="662">
        <v>0</v>
      </c>
      <c r="DU248" s="662">
        <v>86187</v>
      </c>
      <c r="DV248" s="662">
        <v>0</v>
      </c>
      <c r="DW248" s="662">
        <v>0</v>
      </c>
      <c r="DX248" s="662">
        <v>0</v>
      </c>
      <c r="DY248" s="662">
        <v>0</v>
      </c>
      <c r="DZ248" s="662">
        <v>304505</v>
      </c>
      <c r="EA248" s="662">
        <v>0</v>
      </c>
      <c r="EB248" s="662">
        <v>304505</v>
      </c>
      <c r="EC248" s="662">
        <v>0</v>
      </c>
      <c r="ED248" s="662">
        <v>0</v>
      </c>
      <c r="EE248" s="662">
        <v>0</v>
      </c>
      <c r="EF248" s="662">
        <v>0</v>
      </c>
      <c r="EG248" s="662">
        <v>5685221</v>
      </c>
      <c r="EH248" s="662">
        <v>0</v>
      </c>
      <c r="EI248" s="662">
        <v>5685221</v>
      </c>
      <c r="EJ248" s="662">
        <v>0</v>
      </c>
      <c r="EK248" s="662">
        <v>0</v>
      </c>
      <c r="EL248" s="662">
        <v>0</v>
      </c>
      <c r="EM248" s="662">
        <v>0</v>
      </c>
      <c r="EN248" s="662">
        <v>629176</v>
      </c>
      <c r="EO248" s="662">
        <v>0</v>
      </c>
      <c r="EP248" s="662">
        <v>629176</v>
      </c>
      <c r="EQ248" s="662">
        <v>0</v>
      </c>
    </row>
    <row r="249" spans="1:147" ht="13.95" customHeight="1" x14ac:dyDescent="0.3">
      <c r="A249" s="660" t="s">
        <v>1905</v>
      </c>
      <c r="B249" s="661" t="s">
        <v>269</v>
      </c>
      <c r="C249" s="662">
        <v>0</v>
      </c>
      <c r="D249" s="662">
        <v>0</v>
      </c>
      <c r="E249" s="662">
        <v>0</v>
      </c>
      <c r="F249" s="662">
        <v>0</v>
      </c>
      <c r="G249" s="662">
        <v>0</v>
      </c>
      <c r="H249" s="662">
        <v>16030218</v>
      </c>
      <c r="I249" s="662">
        <v>0</v>
      </c>
      <c r="J249" s="802">
        <v>0</v>
      </c>
      <c r="K249" s="662">
        <v>0</v>
      </c>
      <c r="L249" s="662">
        <v>0</v>
      </c>
      <c r="M249" s="662">
        <v>0</v>
      </c>
      <c r="N249" s="662">
        <v>0</v>
      </c>
      <c r="O249" s="662">
        <v>163646</v>
      </c>
      <c r="P249" s="662">
        <v>0</v>
      </c>
      <c r="Q249" s="802">
        <v>0</v>
      </c>
      <c r="R249" s="662">
        <v>0</v>
      </c>
      <c r="S249" s="662">
        <v>0</v>
      </c>
      <c r="T249" s="662">
        <v>0</v>
      </c>
      <c r="U249" s="662">
        <v>4600</v>
      </c>
      <c r="V249" s="662">
        <v>0</v>
      </c>
      <c r="W249" s="802">
        <v>0</v>
      </c>
      <c r="X249" s="662">
        <v>0</v>
      </c>
      <c r="Y249" s="662">
        <v>0</v>
      </c>
      <c r="Z249" s="662">
        <v>0</v>
      </c>
      <c r="AA249" s="662">
        <v>0</v>
      </c>
      <c r="AB249" s="662">
        <v>26010</v>
      </c>
      <c r="AC249" s="662">
        <v>0</v>
      </c>
      <c r="AD249" s="802">
        <v>0</v>
      </c>
      <c r="AE249" s="662">
        <v>0</v>
      </c>
      <c r="AF249" s="662">
        <v>0</v>
      </c>
      <c r="AG249" s="662">
        <v>0</v>
      </c>
      <c r="AH249" s="662">
        <v>0</v>
      </c>
      <c r="AI249" s="662">
        <v>127326</v>
      </c>
      <c r="AJ249" s="662">
        <v>0</v>
      </c>
      <c r="AK249" s="802">
        <v>0</v>
      </c>
      <c r="AL249" s="662">
        <v>0</v>
      </c>
      <c r="AM249" s="662">
        <v>0</v>
      </c>
      <c r="AN249" s="662">
        <v>0</v>
      </c>
      <c r="AO249" s="662">
        <v>13800</v>
      </c>
      <c r="AP249" s="662">
        <v>0</v>
      </c>
      <c r="AQ249" s="802">
        <v>0</v>
      </c>
      <c r="AR249" s="662">
        <v>0</v>
      </c>
      <c r="AS249" s="662">
        <v>0</v>
      </c>
      <c r="AT249" s="662">
        <v>0</v>
      </c>
      <c r="AU249" s="662">
        <v>0</v>
      </c>
      <c r="AV249" s="662">
        <v>382912</v>
      </c>
      <c r="AW249" s="662">
        <v>0</v>
      </c>
      <c r="AX249" s="662">
        <v>0</v>
      </c>
      <c r="AY249" s="662">
        <v>0</v>
      </c>
      <c r="AZ249" s="662">
        <v>0</v>
      </c>
      <c r="BA249" s="662">
        <v>0</v>
      </c>
      <c r="BB249" s="662">
        <v>0</v>
      </c>
      <c r="BC249" s="662">
        <v>467724</v>
      </c>
      <c r="BD249" s="662">
        <v>0</v>
      </c>
      <c r="BE249" s="802">
        <v>0</v>
      </c>
      <c r="BF249" s="662">
        <v>0</v>
      </c>
      <c r="BG249" s="662">
        <v>0</v>
      </c>
      <c r="BH249" s="662">
        <v>0</v>
      </c>
      <c r="BI249" s="662">
        <v>0</v>
      </c>
      <c r="BJ249" s="662">
        <v>2251298</v>
      </c>
      <c r="BK249" s="662">
        <v>0</v>
      </c>
      <c r="BL249" s="662">
        <v>0</v>
      </c>
      <c r="BM249" s="662">
        <v>0</v>
      </c>
      <c r="BN249" s="662">
        <v>0</v>
      </c>
      <c r="BO249" s="662">
        <v>0</v>
      </c>
      <c r="BP249" s="662">
        <v>0</v>
      </c>
      <c r="BQ249" s="662">
        <v>300161</v>
      </c>
      <c r="BR249" s="662">
        <v>0</v>
      </c>
      <c r="BS249" s="662">
        <v>0</v>
      </c>
      <c r="BT249" s="662">
        <v>0</v>
      </c>
      <c r="BU249" s="662">
        <v>0</v>
      </c>
      <c r="BV249" s="662">
        <v>0</v>
      </c>
      <c r="BW249" s="662">
        <v>0</v>
      </c>
      <c r="BX249" s="662">
        <v>45828</v>
      </c>
      <c r="BY249" s="662">
        <v>0</v>
      </c>
      <c r="BZ249" s="662">
        <v>0</v>
      </c>
      <c r="CA249" s="662">
        <v>0</v>
      </c>
      <c r="CB249" s="662">
        <v>0</v>
      </c>
      <c r="CC249" s="662">
        <v>0</v>
      </c>
      <c r="CD249" s="662">
        <v>0</v>
      </c>
      <c r="CE249" s="662">
        <v>400247</v>
      </c>
      <c r="CF249" s="662">
        <v>0</v>
      </c>
      <c r="CG249" s="662">
        <v>0</v>
      </c>
      <c r="CH249" s="662">
        <v>0</v>
      </c>
      <c r="CI249" s="662">
        <v>0</v>
      </c>
      <c r="CJ249" s="662">
        <v>0</v>
      </c>
      <c r="CK249" s="662">
        <v>0</v>
      </c>
      <c r="CL249" s="662">
        <v>301393</v>
      </c>
      <c r="CM249" s="662">
        <v>0</v>
      </c>
      <c r="CN249" s="662">
        <v>0</v>
      </c>
      <c r="CO249" s="662">
        <v>0</v>
      </c>
      <c r="CP249" s="662">
        <v>0</v>
      </c>
      <c r="CQ249" s="662">
        <v>0</v>
      </c>
      <c r="CR249" s="662">
        <v>0</v>
      </c>
      <c r="CS249" s="662">
        <v>1830960</v>
      </c>
      <c r="CT249" s="662">
        <v>0</v>
      </c>
      <c r="CU249" s="662">
        <v>0</v>
      </c>
      <c r="CV249" s="662">
        <v>0</v>
      </c>
      <c r="CW249" s="662">
        <v>0</v>
      </c>
      <c r="CX249" s="662">
        <v>0</v>
      </c>
      <c r="CY249" s="662">
        <v>0</v>
      </c>
      <c r="CZ249" s="662">
        <v>372050</v>
      </c>
      <c r="DA249" s="662">
        <v>0</v>
      </c>
      <c r="DB249" s="662">
        <v>0</v>
      </c>
      <c r="DC249" s="662">
        <v>0</v>
      </c>
      <c r="DD249" s="662">
        <v>0</v>
      </c>
      <c r="DE249" s="662">
        <v>0</v>
      </c>
      <c r="DF249" s="662">
        <v>0</v>
      </c>
      <c r="DG249" s="662">
        <v>1012878</v>
      </c>
      <c r="DH249" s="662">
        <v>0</v>
      </c>
      <c r="DI249" s="662">
        <v>0</v>
      </c>
      <c r="DJ249" s="662">
        <v>0</v>
      </c>
      <c r="DK249" s="662">
        <v>0</v>
      </c>
      <c r="DL249" s="662">
        <v>0</v>
      </c>
      <c r="DM249" s="662">
        <v>0</v>
      </c>
      <c r="DN249" s="662">
        <v>6909857</v>
      </c>
      <c r="DO249" s="662">
        <v>0</v>
      </c>
      <c r="DP249" s="662">
        <v>0</v>
      </c>
      <c r="DQ249" s="662">
        <v>0</v>
      </c>
      <c r="DR249" s="662">
        <v>0</v>
      </c>
      <c r="DS249" s="662">
        <v>0</v>
      </c>
      <c r="DT249" s="662">
        <v>0</v>
      </c>
      <c r="DU249" s="662">
        <v>32903</v>
      </c>
      <c r="DV249" s="662">
        <v>0</v>
      </c>
      <c r="DW249" s="662">
        <v>0</v>
      </c>
      <c r="DX249" s="662">
        <v>0</v>
      </c>
      <c r="DY249" s="662">
        <v>0</v>
      </c>
      <c r="DZ249" s="662">
        <v>0</v>
      </c>
      <c r="EA249" s="662">
        <v>0</v>
      </c>
      <c r="EB249" s="662">
        <v>184217</v>
      </c>
      <c r="EC249" s="662">
        <v>0</v>
      </c>
      <c r="ED249" s="662">
        <v>0</v>
      </c>
      <c r="EE249" s="662">
        <v>0</v>
      </c>
      <c r="EF249" s="662">
        <v>0</v>
      </c>
      <c r="EG249" s="662">
        <v>0</v>
      </c>
      <c r="EH249" s="662">
        <v>0</v>
      </c>
      <c r="EI249" s="662">
        <v>1088431</v>
      </c>
      <c r="EJ249" s="662">
        <v>0</v>
      </c>
      <c r="EK249" s="662">
        <v>0</v>
      </c>
      <c r="EL249" s="662">
        <v>0</v>
      </c>
      <c r="EM249" s="662">
        <v>0</v>
      </c>
      <c r="EN249" s="662">
        <v>0</v>
      </c>
      <c r="EO249" s="662">
        <v>0</v>
      </c>
      <c r="EP249" s="662">
        <v>113977</v>
      </c>
      <c r="EQ249" s="662">
        <v>0</v>
      </c>
    </row>
    <row r="250" spans="1:147" ht="13.95" customHeight="1" x14ac:dyDescent="0.3">
      <c r="A250" s="660" t="s">
        <v>1906</v>
      </c>
      <c r="B250" s="661" t="s">
        <v>269</v>
      </c>
      <c r="C250" s="662">
        <v>0</v>
      </c>
      <c r="D250" s="662">
        <v>0</v>
      </c>
      <c r="E250" s="662">
        <v>0</v>
      </c>
      <c r="F250" s="662">
        <v>0</v>
      </c>
      <c r="G250" s="662">
        <v>0</v>
      </c>
      <c r="H250" s="662">
        <v>8586637</v>
      </c>
      <c r="I250" s="662">
        <v>0</v>
      </c>
      <c r="J250" s="802">
        <v>0</v>
      </c>
      <c r="K250" s="662">
        <v>0</v>
      </c>
      <c r="L250" s="662">
        <v>0</v>
      </c>
      <c r="M250" s="662">
        <v>0</v>
      </c>
      <c r="N250" s="662">
        <v>0</v>
      </c>
      <c r="O250" s="662">
        <v>46047</v>
      </c>
      <c r="P250" s="662">
        <v>0</v>
      </c>
      <c r="Q250" s="802">
        <v>0</v>
      </c>
      <c r="R250" s="662">
        <v>0</v>
      </c>
      <c r="S250" s="662">
        <v>0</v>
      </c>
      <c r="T250" s="662">
        <v>0</v>
      </c>
      <c r="U250" s="662">
        <v>1300</v>
      </c>
      <c r="V250" s="662">
        <v>0</v>
      </c>
      <c r="W250" s="802">
        <v>0</v>
      </c>
      <c r="X250" s="662">
        <v>0</v>
      </c>
      <c r="Y250" s="662">
        <v>0</v>
      </c>
      <c r="Z250" s="662">
        <v>0</v>
      </c>
      <c r="AA250" s="662">
        <v>0</v>
      </c>
      <c r="AB250" s="662">
        <v>16383</v>
      </c>
      <c r="AC250" s="662">
        <v>0</v>
      </c>
      <c r="AD250" s="802">
        <v>0</v>
      </c>
      <c r="AE250" s="662">
        <v>0</v>
      </c>
      <c r="AF250" s="662">
        <v>0</v>
      </c>
      <c r="AG250" s="662">
        <v>0</v>
      </c>
      <c r="AH250" s="662">
        <v>0</v>
      </c>
      <c r="AI250" s="662">
        <v>43831</v>
      </c>
      <c r="AJ250" s="662">
        <v>0</v>
      </c>
      <c r="AK250" s="802">
        <v>0</v>
      </c>
      <c r="AL250" s="662">
        <v>0</v>
      </c>
      <c r="AM250" s="662">
        <v>0</v>
      </c>
      <c r="AN250" s="662">
        <v>0</v>
      </c>
      <c r="AO250" s="662">
        <v>8568</v>
      </c>
      <c r="AP250" s="662">
        <v>0</v>
      </c>
      <c r="AQ250" s="802">
        <v>0</v>
      </c>
      <c r="AR250" s="662">
        <v>0</v>
      </c>
      <c r="AS250" s="662">
        <v>0</v>
      </c>
      <c r="AT250" s="662">
        <v>0</v>
      </c>
      <c r="AU250" s="662">
        <v>0</v>
      </c>
      <c r="AV250" s="662">
        <v>304894</v>
      </c>
      <c r="AW250" s="662">
        <v>0</v>
      </c>
      <c r="AX250" s="662">
        <v>0</v>
      </c>
      <c r="AY250" s="662">
        <v>0</v>
      </c>
      <c r="AZ250" s="662">
        <v>0</v>
      </c>
      <c r="BA250" s="662">
        <v>0</v>
      </c>
      <c r="BB250" s="662">
        <v>0</v>
      </c>
      <c r="BC250" s="662">
        <v>333148</v>
      </c>
      <c r="BD250" s="662">
        <v>0</v>
      </c>
      <c r="BE250" s="802">
        <v>0</v>
      </c>
      <c r="BF250" s="662">
        <v>0</v>
      </c>
      <c r="BG250" s="662">
        <v>0</v>
      </c>
      <c r="BH250" s="662">
        <v>0</v>
      </c>
      <c r="BI250" s="662">
        <v>0</v>
      </c>
      <c r="BJ250" s="662">
        <v>1666710</v>
      </c>
      <c r="BK250" s="662">
        <v>0</v>
      </c>
      <c r="BL250" s="662">
        <v>0</v>
      </c>
      <c r="BM250" s="662">
        <v>0</v>
      </c>
      <c r="BN250" s="662">
        <v>0</v>
      </c>
      <c r="BO250" s="662">
        <v>0</v>
      </c>
      <c r="BP250" s="662">
        <v>0</v>
      </c>
      <c r="BQ250" s="662">
        <v>63352</v>
      </c>
      <c r="BR250" s="662">
        <v>0</v>
      </c>
      <c r="BS250" s="662">
        <v>0</v>
      </c>
      <c r="BT250" s="662">
        <v>0</v>
      </c>
      <c r="BU250" s="662">
        <v>0</v>
      </c>
      <c r="BV250" s="662">
        <v>0</v>
      </c>
      <c r="BW250" s="662">
        <v>0</v>
      </c>
      <c r="BX250" s="662">
        <v>26362</v>
      </c>
      <c r="BY250" s="662">
        <v>0</v>
      </c>
      <c r="BZ250" s="662">
        <v>0</v>
      </c>
      <c r="CA250" s="662">
        <v>0</v>
      </c>
      <c r="CB250" s="662">
        <v>0</v>
      </c>
      <c r="CC250" s="662">
        <v>0</v>
      </c>
      <c r="CD250" s="662">
        <v>0</v>
      </c>
      <c r="CE250" s="662">
        <v>196717</v>
      </c>
      <c r="CF250" s="662">
        <v>0</v>
      </c>
      <c r="CG250" s="662">
        <v>0</v>
      </c>
      <c r="CH250" s="662">
        <v>0</v>
      </c>
      <c r="CI250" s="662">
        <v>0</v>
      </c>
      <c r="CJ250" s="662">
        <v>0</v>
      </c>
      <c r="CK250" s="662">
        <v>0</v>
      </c>
      <c r="CL250" s="662">
        <v>214508</v>
      </c>
      <c r="CM250" s="662">
        <v>0</v>
      </c>
      <c r="CN250" s="662">
        <v>0</v>
      </c>
      <c r="CO250" s="662">
        <v>0</v>
      </c>
      <c r="CP250" s="662">
        <v>0</v>
      </c>
      <c r="CQ250" s="662">
        <v>0</v>
      </c>
      <c r="CR250" s="662">
        <v>0</v>
      </c>
      <c r="CS250" s="662">
        <v>894850</v>
      </c>
      <c r="CT250" s="662">
        <v>0</v>
      </c>
      <c r="CU250" s="662">
        <v>0</v>
      </c>
      <c r="CV250" s="662">
        <v>0</v>
      </c>
      <c r="CW250" s="662">
        <v>0</v>
      </c>
      <c r="CX250" s="662">
        <v>0</v>
      </c>
      <c r="CY250" s="662">
        <v>0</v>
      </c>
      <c r="CZ250" s="662">
        <v>96200</v>
      </c>
      <c r="DA250" s="662">
        <v>0</v>
      </c>
      <c r="DB250" s="662">
        <v>0</v>
      </c>
      <c r="DC250" s="662">
        <v>0</v>
      </c>
      <c r="DD250" s="662">
        <v>0</v>
      </c>
      <c r="DE250" s="662">
        <v>0</v>
      </c>
      <c r="DF250" s="662">
        <v>0</v>
      </c>
      <c r="DG250" s="662">
        <v>419743</v>
      </c>
      <c r="DH250" s="662">
        <v>0</v>
      </c>
      <c r="DI250" s="662">
        <v>0</v>
      </c>
      <c r="DJ250" s="662">
        <v>0</v>
      </c>
      <c r="DK250" s="662">
        <v>0</v>
      </c>
      <c r="DL250" s="662">
        <v>0</v>
      </c>
      <c r="DM250" s="662">
        <v>0</v>
      </c>
      <c r="DN250" s="662">
        <v>3465877</v>
      </c>
      <c r="DO250" s="662">
        <v>0</v>
      </c>
      <c r="DP250" s="662">
        <v>0</v>
      </c>
      <c r="DQ250" s="662">
        <v>0</v>
      </c>
      <c r="DR250" s="662">
        <v>0</v>
      </c>
      <c r="DS250" s="662">
        <v>0</v>
      </c>
      <c r="DT250" s="662">
        <v>0</v>
      </c>
      <c r="DU250" s="662">
        <v>3808</v>
      </c>
      <c r="DV250" s="662">
        <v>0</v>
      </c>
      <c r="DW250" s="662">
        <v>0</v>
      </c>
      <c r="DX250" s="662">
        <v>0</v>
      </c>
      <c r="DY250" s="662">
        <v>0</v>
      </c>
      <c r="DZ250" s="662">
        <v>0</v>
      </c>
      <c r="EA250" s="662">
        <v>0</v>
      </c>
      <c r="EB250" s="662">
        <v>40123</v>
      </c>
      <c r="EC250" s="662">
        <v>0</v>
      </c>
      <c r="ED250" s="662">
        <v>0</v>
      </c>
      <c r="EE250" s="662">
        <v>0</v>
      </c>
      <c r="EF250" s="662">
        <v>0</v>
      </c>
      <c r="EG250" s="662">
        <v>0</v>
      </c>
      <c r="EH250" s="662">
        <v>0</v>
      </c>
      <c r="EI250" s="662">
        <v>713949</v>
      </c>
      <c r="EJ250" s="662">
        <v>0</v>
      </c>
      <c r="EK250" s="662">
        <v>0</v>
      </c>
      <c r="EL250" s="662">
        <v>0</v>
      </c>
      <c r="EM250" s="662">
        <v>0</v>
      </c>
      <c r="EN250" s="662">
        <v>0</v>
      </c>
      <c r="EO250" s="662">
        <v>0</v>
      </c>
      <c r="EP250" s="662">
        <v>30267</v>
      </c>
      <c r="EQ250" s="662">
        <v>0</v>
      </c>
    </row>
    <row r="251" spans="1:147" ht="20.7" customHeight="1" x14ac:dyDescent="0.3">
      <c r="A251" s="660" t="s">
        <v>1907</v>
      </c>
      <c r="B251" s="661" t="s">
        <v>269</v>
      </c>
      <c r="C251" s="662">
        <v>0</v>
      </c>
      <c r="D251" s="662">
        <v>0</v>
      </c>
      <c r="E251" s="662">
        <v>0</v>
      </c>
      <c r="F251" s="662">
        <v>0</v>
      </c>
      <c r="G251" s="662">
        <v>0</v>
      </c>
      <c r="H251" s="662">
        <v>7443581</v>
      </c>
      <c r="I251" s="662">
        <v>0</v>
      </c>
      <c r="J251" s="802">
        <v>0</v>
      </c>
      <c r="K251" s="662">
        <v>0</v>
      </c>
      <c r="L251" s="662">
        <v>0</v>
      </c>
      <c r="M251" s="662">
        <v>0</v>
      </c>
      <c r="N251" s="662">
        <v>0</v>
      </c>
      <c r="O251" s="662">
        <v>117599</v>
      </c>
      <c r="P251" s="662">
        <v>0</v>
      </c>
      <c r="Q251" s="802">
        <v>0</v>
      </c>
      <c r="R251" s="662">
        <v>0</v>
      </c>
      <c r="S251" s="662">
        <v>0</v>
      </c>
      <c r="T251" s="662">
        <v>0</v>
      </c>
      <c r="U251" s="662">
        <v>3300</v>
      </c>
      <c r="V251" s="662">
        <v>0</v>
      </c>
      <c r="W251" s="802">
        <v>0</v>
      </c>
      <c r="X251" s="662">
        <v>0</v>
      </c>
      <c r="Y251" s="662">
        <v>0</v>
      </c>
      <c r="Z251" s="662">
        <v>0</v>
      </c>
      <c r="AA251" s="662">
        <v>0</v>
      </c>
      <c r="AB251" s="662">
        <v>9627</v>
      </c>
      <c r="AC251" s="662">
        <v>0</v>
      </c>
      <c r="AD251" s="802">
        <v>0</v>
      </c>
      <c r="AE251" s="662">
        <v>0</v>
      </c>
      <c r="AF251" s="662">
        <v>0</v>
      </c>
      <c r="AG251" s="662">
        <v>0</v>
      </c>
      <c r="AH251" s="662">
        <v>0</v>
      </c>
      <c r="AI251" s="662">
        <v>83495</v>
      </c>
      <c r="AJ251" s="662">
        <v>0</v>
      </c>
      <c r="AK251" s="802">
        <v>0</v>
      </c>
      <c r="AL251" s="662">
        <v>0</v>
      </c>
      <c r="AM251" s="662">
        <v>0</v>
      </c>
      <c r="AN251" s="662">
        <v>0</v>
      </c>
      <c r="AO251" s="662">
        <v>5232</v>
      </c>
      <c r="AP251" s="662">
        <v>0</v>
      </c>
      <c r="AQ251" s="802">
        <v>0</v>
      </c>
      <c r="AR251" s="662">
        <v>0</v>
      </c>
      <c r="AS251" s="662">
        <v>0</v>
      </c>
      <c r="AT251" s="662">
        <v>0</v>
      </c>
      <c r="AU251" s="662">
        <v>0</v>
      </c>
      <c r="AV251" s="662">
        <v>78018</v>
      </c>
      <c r="AW251" s="662">
        <v>0</v>
      </c>
      <c r="AX251" s="662">
        <v>0</v>
      </c>
      <c r="AY251" s="662">
        <v>0</v>
      </c>
      <c r="AZ251" s="662">
        <v>0</v>
      </c>
      <c r="BA251" s="662">
        <v>0</v>
      </c>
      <c r="BB251" s="662">
        <v>0</v>
      </c>
      <c r="BC251" s="662">
        <v>134576</v>
      </c>
      <c r="BD251" s="662">
        <v>0</v>
      </c>
      <c r="BE251" s="802">
        <v>0</v>
      </c>
      <c r="BF251" s="662">
        <v>0</v>
      </c>
      <c r="BG251" s="662">
        <v>0</v>
      </c>
      <c r="BH251" s="662">
        <v>0</v>
      </c>
      <c r="BI251" s="662">
        <v>0</v>
      </c>
      <c r="BJ251" s="662">
        <v>584588</v>
      </c>
      <c r="BK251" s="662">
        <v>0</v>
      </c>
      <c r="BL251" s="662">
        <v>0</v>
      </c>
      <c r="BM251" s="662">
        <v>0</v>
      </c>
      <c r="BN251" s="662">
        <v>0</v>
      </c>
      <c r="BO251" s="662">
        <v>0</v>
      </c>
      <c r="BP251" s="662">
        <v>0</v>
      </c>
      <c r="BQ251" s="662">
        <v>236809</v>
      </c>
      <c r="BR251" s="662">
        <v>0</v>
      </c>
      <c r="BS251" s="662">
        <v>0</v>
      </c>
      <c r="BT251" s="662">
        <v>0</v>
      </c>
      <c r="BU251" s="662">
        <v>0</v>
      </c>
      <c r="BV251" s="662">
        <v>0</v>
      </c>
      <c r="BW251" s="662">
        <v>0</v>
      </c>
      <c r="BX251" s="662">
        <v>19466</v>
      </c>
      <c r="BY251" s="662">
        <v>0</v>
      </c>
      <c r="BZ251" s="662">
        <v>0</v>
      </c>
      <c r="CA251" s="662">
        <v>0</v>
      </c>
      <c r="CB251" s="662">
        <v>0</v>
      </c>
      <c r="CC251" s="662">
        <v>0</v>
      </c>
      <c r="CD251" s="662">
        <v>0</v>
      </c>
      <c r="CE251" s="662">
        <v>203530</v>
      </c>
      <c r="CF251" s="662">
        <v>0</v>
      </c>
      <c r="CG251" s="662">
        <v>0</v>
      </c>
      <c r="CH251" s="662">
        <v>0</v>
      </c>
      <c r="CI251" s="662">
        <v>0</v>
      </c>
      <c r="CJ251" s="662">
        <v>0</v>
      </c>
      <c r="CK251" s="662">
        <v>0</v>
      </c>
      <c r="CL251" s="662">
        <v>86885</v>
      </c>
      <c r="CM251" s="662">
        <v>0</v>
      </c>
      <c r="CN251" s="662">
        <v>0</v>
      </c>
      <c r="CO251" s="662">
        <v>0</v>
      </c>
      <c r="CP251" s="662">
        <v>0</v>
      </c>
      <c r="CQ251" s="662">
        <v>0</v>
      </c>
      <c r="CR251" s="662">
        <v>0</v>
      </c>
      <c r="CS251" s="662">
        <v>936110</v>
      </c>
      <c r="CT251" s="662">
        <v>0</v>
      </c>
      <c r="CU251" s="662">
        <v>0</v>
      </c>
      <c r="CV251" s="662">
        <v>0</v>
      </c>
      <c r="CW251" s="662">
        <v>0</v>
      </c>
      <c r="CX251" s="662">
        <v>0</v>
      </c>
      <c r="CY251" s="662">
        <v>0</v>
      </c>
      <c r="CZ251" s="662">
        <v>275850</v>
      </c>
      <c r="DA251" s="662">
        <v>0</v>
      </c>
      <c r="DB251" s="662">
        <v>0</v>
      </c>
      <c r="DC251" s="662">
        <v>0</v>
      </c>
      <c r="DD251" s="662">
        <v>0</v>
      </c>
      <c r="DE251" s="662">
        <v>0</v>
      </c>
      <c r="DF251" s="662">
        <v>0</v>
      </c>
      <c r="DG251" s="662">
        <v>593135</v>
      </c>
      <c r="DH251" s="662">
        <v>0</v>
      </c>
      <c r="DI251" s="662">
        <v>0</v>
      </c>
      <c r="DJ251" s="662">
        <v>0</v>
      </c>
      <c r="DK251" s="662">
        <v>0</v>
      </c>
      <c r="DL251" s="662">
        <v>0</v>
      </c>
      <c r="DM251" s="662">
        <v>0</v>
      </c>
      <c r="DN251" s="662">
        <v>3443980</v>
      </c>
      <c r="DO251" s="662">
        <v>0</v>
      </c>
      <c r="DP251" s="662">
        <v>0</v>
      </c>
      <c r="DQ251" s="662">
        <v>0</v>
      </c>
      <c r="DR251" s="662">
        <v>0</v>
      </c>
      <c r="DS251" s="662">
        <v>0</v>
      </c>
      <c r="DT251" s="662">
        <v>0</v>
      </c>
      <c r="DU251" s="662">
        <v>29095</v>
      </c>
      <c r="DV251" s="662">
        <v>0</v>
      </c>
      <c r="DW251" s="662">
        <v>0</v>
      </c>
      <c r="DX251" s="662">
        <v>0</v>
      </c>
      <c r="DY251" s="662">
        <v>0</v>
      </c>
      <c r="DZ251" s="662">
        <v>0</v>
      </c>
      <c r="EA251" s="662">
        <v>0</v>
      </c>
      <c r="EB251" s="662">
        <v>144094</v>
      </c>
      <c r="EC251" s="662">
        <v>0</v>
      </c>
      <c r="ED251" s="662">
        <v>0</v>
      </c>
      <c r="EE251" s="662">
        <v>0</v>
      </c>
      <c r="EF251" s="662">
        <v>0</v>
      </c>
      <c r="EG251" s="662">
        <v>0</v>
      </c>
      <c r="EH251" s="662">
        <v>0</v>
      </c>
      <c r="EI251" s="662">
        <v>374482</v>
      </c>
      <c r="EJ251" s="662">
        <v>0</v>
      </c>
      <c r="EK251" s="662">
        <v>0</v>
      </c>
      <c r="EL251" s="662">
        <v>0</v>
      </c>
      <c r="EM251" s="662">
        <v>0</v>
      </c>
      <c r="EN251" s="662">
        <v>0</v>
      </c>
      <c r="EO251" s="662">
        <v>0</v>
      </c>
      <c r="EP251" s="662">
        <v>83710</v>
      </c>
      <c r="EQ251" s="662">
        <v>0</v>
      </c>
    </row>
    <row r="252" spans="1:147" ht="13.95" customHeight="1" x14ac:dyDescent="0.3">
      <c r="A252" s="660" t="s">
        <v>1908</v>
      </c>
      <c r="B252" s="661" t="s">
        <v>269</v>
      </c>
      <c r="C252" s="662">
        <v>0</v>
      </c>
      <c r="D252" s="662">
        <v>0</v>
      </c>
      <c r="E252" s="662">
        <v>0</v>
      </c>
      <c r="F252" s="662">
        <v>0</v>
      </c>
      <c r="G252" s="662">
        <v>0</v>
      </c>
      <c r="H252" s="662">
        <v>22001055</v>
      </c>
      <c r="I252" s="662">
        <v>0</v>
      </c>
      <c r="J252" s="802">
        <v>0</v>
      </c>
      <c r="K252" s="662">
        <v>0</v>
      </c>
      <c r="L252" s="662">
        <v>0</v>
      </c>
      <c r="M252" s="662">
        <v>0</v>
      </c>
      <c r="N252" s="662">
        <v>0</v>
      </c>
      <c r="O252" s="662">
        <v>2361314</v>
      </c>
      <c r="P252" s="662">
        <v>0</v>
      </c>
      <c r="Q252" s="802">
        <v>0</v>
      </c>
      <c r="R252" s="662">
        <v>0</v>
      </c>
      <c r="S252" s="662">
        <v>0</v>
      </c>
      <c r="T252" s="662">
        <v>0</v>
      </c>
      <c r="U252" s="662">
        <v>14000</v>
      </c>
      <c r="V252" s="662">
        <v>0</v>
      </c>
      <c r="W252" s="802">
        <v>0</v>
      </c>
      <c r="X252" s="662">
        <v>0</v>
      </c>
      <c r="Y252" s="662">
        <v>0</v>
      </c>
      <c r="Z252" s="662">
        <v>0</v>
      </c>
      <c r="AA252" s="662">
        <v>0</v>
      </c>
      <c r="AB252" s="662">
        <v>49340</v>
      </c>
      <c r="AC252" s="662">
        <v>0</v>
      </c>
      <c r="AD252" s="802">
        <v>0</v>
      </c>
      <c r="AE252" s="662">
        <v>0</v>
      </c>
      <c r="AF252" s="662">
        <v>0</v>
      </c>
      <c r="AG252" s="662">
        <v>0</v>
      </c>
      <c r="AH252" s="662">
        <v>0</v>
      </c>
      <c r="AI252" s="662">
        <v>772202</v>
      </c>
      <c r="AJ252" s="662">
        <v>0</v>
      </c>
      <c r="AK252" s="802">
        <v>0</v>
      </c>
      <c r="AL252" s="662">
        <v>0</v>
      </c>
      <c r="AM252" s="662">
        <v>0</v>
      </c>
      <c r="AN252" s="662">
        <v>0</v>
      </c>
      <c r="AO252" s="662">
        <v>964982</v>
      </c>
      <c r="AP252" s="662">
        <v>0</v>
      </c>
      <c r="AQ252" s="802">
        <v>0</v>
      </c>
      <c r="AR252" s="662">
        <v>0</v>
      </c>
      <c r="AS252" s="662">
        <v>0</v>
      </c>
      <c r="AT252" s="662">
        <v>0</v>
      </c>
      <c r="AU252" s="662">
        <v>0</v>
      </c>
      <c r="AV252" s="662">
        <v>8059433</v>
      </c>
      <c r="AW252" s="662">
        <v>0</v>
      </c>
      <c r="AX252" s="662">
        <v>0</v>
      </c>
      <c r="AY252" s="662">
        <v>0</v>
      </c>
      <c r="AZ252" s="662">
        <v>0</v>
      </c>
      <c r="BA252" s="662">
        <v>0</v>
      </c>
      <c r="BB252" s="662">
        <v>0</v>
      </c>
      <c r="BC252" s="662">
        <v>618131</v>
      </c>
      <c r="BD252" s="662">
        <v>0</v>
      </c>
      <c r="BE252" s="802">
        <v>0</v>
      </c>
      <c r="BF252" s="662">
        <v>0</v>
      </c>
      <c r="BG252" s="662">
        <v>0</v>
      </c>
      <c r="BH252" s="662">
        <v>0</v>
      </c>
      <c r="BI252" s="662">
        <v>0</v>
      </c>
      <c r="BJ252" s="662">
        <v>1460982</v>
      </c>
      <c r="BK252" s="662">
        <v>0</v>
      </c>
      <c r="BL252" s="662">
        <v>0</v>
      </c>
      <c r="BM252" s="662">
        <v>0</v>
      </c>
      <c r="BN252" s="662">
        <v>0</v>
      </c>
      <c r="BO252" s="662">
        <v>0</v>
      </c>
      <c r="BP252" s="662">
        <v>0</v>
      </c>
      <c r="BQ252" s="662">
        <v>1730975</v>
      </c>
      <c r="BR252" s="662">
        <v>0</v>
      </c>
      <c r="BS252" s="662">
        <v>0</v>
      </c>
      <c r="BT252" s="662">
        <v>0</v>
      </c>
      <c r="BU252" s="662">
        <v>0</v>
      </c>
      <c r="BV252" s="662">
        <v>0</v>
      </c>
      <c r="BW252" s="662">
        <v>0</v>
      </c>
      <c r="BX252" s="662">
        <v>307232</v>
      </c>
      <c r="BY252" s="662">
        <v>0</v>
      </c>
      <c r="BZ252" s="662">
        <v>0</v>
      </c>
      <c r="CA252" s="662">
        <v>0</v>
      </c>
      <c r="CB252" s="662">
        <v>0</v>
      </c>
      <c r="CC252" s="662">
        <v>0</v>
      </c>
      <c r="CD252" s="662">
        <v>0</v>
      </c>
      <c r="CE252" s="662">
        <v>321080</v>
      </c>
      <c r="CF252" s="662">
        <v>0</v>
      </c>
      <c r="CG252" s="662">
        <v>0</v>
      </c>
      <c r="CH252" s="662">
        <v>0</v>
      </c>
      <c r="CI252" s="662">
        <v>0</v>
      </c>
      <c r="CJ252" s="662">
        <v>0</v>
      </c>
      <c r="CK252" s="662">
        <v>0</v>
      </c>
      <c r="CL252" s="662">
        <v>748193</v>
      </c>
      <c r="CM252" s="662">
        <v>0</v>
      </c>
      <c r="CN252" s="662">
        <v>0</v>
      </c>
      <c r="CO252" s="662">
        <v>0</v>
      </c>
      <c r="CP252" s="662">
        <v>0</v>
      </c>
      <c r="CQ252" s="662">
        <v>0</v>
      </c>
      <c r="CR252" s="662">
        <v>0</v>
      </c>
      <c r="CS252" s="662">
        <v>942660</v>
      </c>
      <c r="CT252" s="662">
        <v>0</v>
      </c>
      <c r="CU252" s="662">
        <v>0</v>
      </c>
      <c r="CV252" s="662">
        <v>0</v>
      </c>
      <c r="CW252" s="662">
        <v>0</v>
      </c>
      <c r="CX252" s="662">
        <v>0</v>
      </c>
      <c r="CY252" s="662">
        <v>0</v>
      </c>
      <c r="CZ252" s="662">
        <v>25142</v>
      </c>
      <c r="DA252" s="662">
        <v>0</v>
      </c>
      <c r="DB252" s="662">
        <v>0</v>
      </c>
      <c r="DC252" s="662">
        <v>0</v>
      </c>
      <c r="DD252" s="662">
        <v>0</v>
      </c>
      <c r="DE252" s="662">
        <v>0</v>
      </c>
      <c r="DF252" s="662">
        <v>0</v>
      </c>
      <c r="DG252" s="662">
        <v>252409</v>
      </c>
      <c r="DH252" s="662">
        <v>0</v>
      </c>
      <c r="DI252" s="662">
        <v>0</v>
      </c>
      <c r="DJ252" s="662">
        <v>0</v>
      </c>
      <c r="DK252" s="662">
        <v>0</v>
      </c>
      <c r="DL252" s="662">
        <v>0</v>
      </c>
      <c r="DM252" s="662">
        <v>0</v>
      </c>
      <c r="DN252" s="662">
        <v>669455</v>
      </c>
      <c r="DO252" s="662">
        <v>0</v>
      </c>
      <c r="DP252" s="662">
        <v>0</v>
      </c>
      <c r="DQ252" s="662">
        <v>0</v>
      </c>
      <c r="DR252" s="662">
        <v>0</v>
      </c>
      <c r="DS252" s="662">
        <v>0</v>
      </c>
      <c r="DT252" s="662">
        <v>0</v>
      </c>
      <c r="DU252" s="662">
        <v>27260</v>
      </c>
      <c r="DV252" s="662">
        <v>0</v>
      </c>
      <c r="DW252" s="662">
        <v>0</v>
      </c>
      <c r="DX252" s="662">
        <v>0</v>
      </c>
      <c r="DY252" s="662">
        <v>0</v>
      </c>
      <c r="DZ252" s="662">
        <v>0</v>
      </c>
      <c r="EA252" s="662">
        <v>0</v>
      </c>
      <c r="EB252" s="662">
        <v>38313</v>
      </c>
      <c r="EC252" s="662">
        <v>0</v>
      </c>
      <c r="ED252" s="662">
        <v>0</v>
      </c>
      <c r="EE252" s="662">
        <v>0</v>
      </c>
      <c r="EF252" s="662">
        <v>0</v>
      </c>
      <c r="EG252" s="662">
        <v>0</v>
      </c>
      <c r="EH252" s="662">
        <v>0</v>
      </c>
      <c r="EI252" s="662">
        <v>2214944</v>
      </c>
      <c r="EJ252" s="662">
        <v>0</v>
      </c>
      <c r="EK252" s="662">
        <v>0</v>
      </c>
      <c r="EL252" s="662">
        <v>0</v>
      </c>
      <c r="EM252" s="662">
        <v>0</v>
      </c>
      <c r="EN252" s="662">
        <v>0</v>
      </c>
      <c r="EO252" s="662">
        <v>0</v>
      </c>
      <c r="EP252" s="662">
        <v>423008</v>
      </c>
      <c r="EQ252" s="662">
        <v>0</v>
      </c>
    </row>
    <row r="253" spans="1:147" ht="13.95" customHeight="1" x14ac:dyDescent="0.3">
      <c r="A253" s="660" t="s">
        <v>1909</v>
      </c>
      <c r="B253" s="661" t="s">
        <v>269</v>
      </c>
      <c r="C253" s="662">
        <v>0</v>
      </c>
      <c r="D253" s="662">
        <v>0</v>
      </c>
      <c r="E253" s="662">
        <v>0</v>
      </c>
      <c r="F253" s="662">
        <v>0</v>
      </c>
      <c r="G253" s="662">
        <v>0</v>
      </c>
      <c r="H253" s="662">
        <v>13292589</v>
      </c>
      <c r="I253" s="662">
        <v>0</v>
      </c>
      <c r="J253" s="802">
        <v>0</v>
      </c>
      <c r="K253" s="662">
        <v>0</v>
      </c>
      <c r="L253" s="662">
        <v>0</v>
      </c>
      <c r="M253" s="662">
        <v>0</v>
      </c>
      <c r="N253" s="662">
        <v>0</v>
      </c>
      <c r="O253" s="662">
        <v>900087</v>
      </c>
      <c r="P253" s="662">
        <v>0</v>
      </c>
      <c r="Q253" s="802">
        <v>0</v>
      </c>
      <c r="R253" s="662">
        <v>0</v>
      </c>
      <c r="S253" s="662">
        <v>0</v>
      </c>
      <c r="T253" s="662">
        <v>0</v>
      </c>
      <c r="U253" s="662">
        <v>5700</v>
      </c>
      <c r="V253" s="662">
        <v>0</v>
      </c>
      <c r="W253" s="802">
        <v>0</v>
      </c>
      <c r="X253" s="662">
        <v>0</v>
      </c>
      <c r="Y253" s="662">
        <v>0</v>
      </c>
      <c r="Z253" s="662">
        <v>0</v>
      </c>
      <c r="AA253" s="662">
        <v>0</v>
      </c>
      <c r="AB253" s="662">
        <v>35872</v>
      </c>
      <c r="AC253" s="662">
        <v>0</v>
      </c>
      <c r="AD253" s="802">
        <v>0</v>
      </c>
      <c r="AE253" s="662">
        <v>0</v>
      </c>
      <c r="AF253" s="662">
        <v>0</v>
      </c>
      <c r="AG253" s="662">
        <v>0</v>
      </c>
      <c r="AH253" s="662">
        <v>0</v>
      </c>
      <c r="AI253" s="662">
        <v>388877</v>
      </c>
      <c r="AJ253" s="662">
        <v>0</v>
      </c>
      <c r="AK253" s="802">
        <v>0</v>
      </c>
      <c r="AL253" s="662">
        <v>0</v>
      </c>
      <c r="AM253" s="662">
        <v>0</v>
      </c>
      <c r="AN253" s="662">
        <v>0</v>
      </c>
      <c r="AO253" s="662">
        <v>699980</v>
      </c>
      <c r="AP253" s="662">
        <v>0</v>
      </c>
      <c r="AQ253" s="802">
        <v>0</v>
      </c>
      <c r="AR253" s="662">
        <v>0</v>
      </c>
      <c r="AS253" s="662">
        <v>0</v>
      </c>
      <c r="AT253" s="662">
        <v>0</v>
      </c>
      <c r="AU253" s="662">
        <v>0</v>
      </c>
      <c r="AV253" s="662">
        <v>6949212</v>
      </c>
      <c r="AW253" s="662">
        <v>0</v>
      </c>
      <c r="AX253" s="662">
        <v>0</v>
      </c>
      <c r="AY253" s="662">
        <v>0</v>
      </c>
      <c r="AZ253" s="662">
        <v>0</v>
      </c>
      <c r="BA253" s="662">
        <v>0</v>
      </c>
      <c r="BB253" s="662">
        <v>0</v>
      </c>
      <c r="BC253" s="662">
        <v>509197</v>
      </c>
      <c r="BD253" s="662">
        <v>0</v>
      </c>
      <c r="BE253" s="802">
        <v>0</v>
      </c>
      <c r="BF253" s="662">
        <v>0</v>
      </c>
      <c r="BG253" s="662">
        <v>0</v>
      </c>
      <c r="BH253" s="662">
        <v>0</v>
      </c>
      <c r="BI253" s="662">
        <v>0</v>
      </c>
      <c r="BJ253" s="662">
        <v>359428</v>
      </c>
      <c r="BK253" s="662">
        <v>0</v>
      </c>
      <c r="BL253" s="662">
        <v>0</v>
      </c>
      <c r="BM253" s="662">
        <v>0</v>
      </c>
      <c r="BN253" s="662">
        <v>0</v>
      </c>
      <c r="BO253" s="662">
        <v>0</v>
      </c>
      <c r="BP253" s="662">
        <v>0</v>
      </c>
      <c r="BQ253" s="662">
        <v>217149</v>
      </c>
      <c r="BR253" s="662">
        <v>0</v>
      </c>
      <c r="BS253" s="662">
        <v>0</v>
      </c>
      <c r="BT253" s="662">
        <v>0</v>
      </c>
      <c r="BU253" s="662">
        <v>0</v>
      </c>
      <c r="BV253" s="662">
        <v>0</v>
      </c>
      <c r="BW253" s="662">
        <v>0</v>
      </c>
      <c r="BX253" s="662">
        <v>163468</v>
      </c>
      <c r="BY253" s="662">
        <v>0</v>
      </c>
      <c r="BZ253" s="662">
        <v>0</v>
      </c>
      <c r="CA253" s="662">
        <v>0</v>
      </c>
      <c r="CB253" s="662">
        <v>0</v>
      </c>
      <c r="CC253" s="662">
        <v>0</v>
      </c>
      <c r="CD253" s="662">
        <v>0</v>
      </c>
      <c r="CE253" s="662">
        <v>211007</v>
      </c>
      <c r="CF253" s="662">
        <v>0</v>
      </c>
      <c r="CG253" s="662">
        <v>0</v>
      </c>
      <c r="CH253" s="662">
        <v>0</v>
      </c>
      <c r="CI253" s="662">
        <v>0</v>
      </c>
      <c r="CJ253" s="662">
        <v>0</v>
      </c>
      <c r="CK253" s="662">
        <v>0</v>
      </c>
      <c r="CL253" s="662">
        <v>600949</v>
      </c>
      <c r="CM253" s="662">
        <v>0</v>
      </c>
      <c r="CN253" s="662">
        <v>0</v>
      </c>
      <c r="CO253" s="662">
        <v>0</v>
      </c>
      <c r="CP253" s="662">
        <v>0</v>
      </c>
      <c r="CQ253" s="662">
        <v>0</v>
      </c>
      <c r="CR253" s="662">
        <v>0</v>
      </c>
      <c r="CS253" s="662">
        <v>165170</v>
      </c>
      <c r="CT253" s="662">
        <v>0</v>
      </c>
      <c r="CU253" s="662">
        <v>0</v>
      </c>
      <c r="CV253" s="662">
        <v>0</v>
      </c>
      <c r="CW253" s="662">
        <v>0</v>
      </c>
      <c r="CX253" s="662">
        <v>0</v>
      </c>
      <c r="CY253" s="662">
        <v>0</v>
      </c>
      <c r="CZ253" s="662">
        <v>4140</v>
      </c>
      <c r="DA253" s="662">
        <v>0</v>
      </c>
      <c r="DB253" s="662">
        <v>0</v>
      </c>
      <c r="DC253" s="662">
        <v>0</v>
      </c>
      <c r="DD253" s="662">
        <v>0</v>
      </c>
      <c r="DE253" s="662">
        <v>0</v>
      </c>
      <c r="DF253" s="662">
        <v>0</v>
      </c>
      <c r="DG253" s="662">
        <v>152887</v>
      </c>
      <c r="DH253" s="662">
        <v>0</v>
      </c>
      <c r="DI253" s="662">
        <v>0</v>
      </c>
      <c r="DJ253" s="662">
        <v>0</v>
      </c>
      <c r="DK253" s="662">
        <v>0</v>
      </c>
      <c r="DL253" s="662">
        <v>0</v>
      </c>
      <c r="DM253" s="662">
        <v>0</v>
      </c>
      <c r="DN253" s="662">
        <v>214715</v>
      </c>
      <c r="DO253" s="662">
        <v>0</v>
      </c>
      <c r="DP253" s="662">
        <v>0</v>
      </c>
      <c r="DQ253" s="662">
        <v>0</v>
      </c>
      <c r="DR253" s="662">
        <v>0</v>
      </c>
      <c r="DS253" s="662">
        <v>0</v>
      </c>
      <c r="DT253" s="662">
        <v>0</v>
      </c>
      <c r="DU253" s="662">
        <v>499</v>
      </c>
      <c r="DV253" s="662">
        <v>0</v>
      </c>
      <c r="DW253" s="662">
        <v>0</v>
      </c>
      <c r="DX253" s="662">
        <v>0</v>
      </c>
      <c r="DY253" s="662">
        <v>0</v>
      </c>
      <c r="DZ253" s="662">
        <v>0</v>
      </c>
      <c r="EA253" s="662">
        <v>0</v>
      </c>
      <c r="EB253" s="662">
        <v>10002</v>
      </c>
      <c r="EC253" s="662">
        <v>0</v>
      </c>
      <c r="ED253" s="662">
        <v>0</v>
      </c>
      <c r="EE253" s="662">
        <v>0</v>
      </c>
      <c r="EF253" s="662">
        <v>0</v>
      </c>
      <c r="EG253" s="662">
        <v>0</v>
      </c>
      <c r="EH253" s="662">
        <v>0</v>
      </c>
      <c r="EI253" s="662">
        <v>1444574</v>
      </c>
      <c r="EJ253" s="662">
        <v>0</v>
      </c>
      <c r="EK253" s="662">
        <v>0</v>
      </c>
      <c r="EL253" s="662">
        <v>0</v>
      </c>
      <c r="EM253" s="662">
        <v>0</v>
      </c>
      <c r="EN253" s="662">
        <v>0</v>
      </c>
      <c r="EO253" s="662">
        <v>0</v>
      </c>
      <c r="EP253" s="662">
        <v>259676</v>
      </c>
      <c r="EQ253" s="662">
        <v>0</v>
      </c>
    </row>
    <row r="254" spans="1:147" ht="20.7" customHeight="1" x14ac:dyDescent="0.3">
      <c r="A254" s="660" t="s">
        <v>1910</v>
      </c>
      <c r="B254" s="661" t="s">
        <v>269</v>
      </c>
      <c r="C254" s="662">
        <v>0</v>
      </c>
      <c r="D254" s="662">
        <v>0</v>
      </c>
      <c r="E254" s="662">
        <v>0</v>
      </c>
      <c r="F254" s="662">
        <v>0</v>
      </c>
      <c r="G254" s="662">
        <v>0</v>
      </c>
      <c r="H254" s="662">
        <v>8708466</v>
      </c>
      <c r="I254" s="662">
        <v>0</v>
      </c>
      <c r="J254" s="802">
        <v>0</v>
      </c>
      <c r="K254" s="662">
        <v>0</v>
      </c>
      <c r="L254" s="662">
        <v>0</v>
      </c>
      <c r="M254" s="662">
        <v>0</v>
      </c>
      <c r="N254" s="662">
        <v>0</v>
      </c>
      <c r="O254" s="662">
        <v>1461227</v>
      </c>
      <c r="P254" s="662">
        <v>0</v>
      </c>
      <c r="Q254" s="802">
        <v>0</v>
      </c>
      <c r="R254" s="662">
        <v>0</v>
      </c>
      <c r="S254" s="662">
        <v>0</v>
      </c>
      <c r="T254" s="662">
        <v>0</v>
      </c>
      <c r="U254" s="662">
        <v>8300</v>
      </c>
      <c r="V254" s="662">
        <v>0</v>
      </c>
      <c r="W254" s="802">
        <v>0</v>
      </c>
      <c r="X254" s="662">
        <v>0</v>
      </c>
      <c r="Y254" s="662">
        <v>0</v>
      </c>
      <c r="Z254" s="662">
        <v>0</v>
      </c>
      <c r="AA254" s="662">
        <v>0</v>
      </c>
      <c r="AB254" s="662">
        <v>13468</v>
      </c>
      <c r="AC254" s="662">
        <v>0</v>
      </c>
      <c r="AD254" s="802">
        <v>0</v>
      </c>
      <c r="AE254" s="662">
        <v>0</v>
      </c>
      <c r="AF254" s="662">
        <v>0</v>
      </c>
      <c r="AG254" s="662">
        <v>0</v>
      </c>
      <c r="AH254" s="662">
        <v>0</v>
      </c>
      <c r="AI254" s="662">
        <v>383325</v>
      </c>
      <c r="AJ254" s="662">
        <v>0</v>
      </c>
      <c r="AK254" s="802">
        <v>0</v>
      </c>
      <c r="AL254" s="662">
        <v>0</v>
      </c>
      <c r="AM254" s="662">
        <v>0</v>
      </c>
      <c r="AN254" s="662">
        <v>0</v>
      </c>
      <c r="AO254" s="662">
        <v>265002</v>
      </c>
      <c r="AP254" s="662">
        <v>0</v>
      </c>
      <c r="AQ254" s="802">
        <v>0</v>
      </c>
      <c r="AR254" s="662">
        <v>0</v>
      </c>
      <c r="AS254" s="662">
        <v>0</v>
      </c>
      <c r="AT254" s="662">
        <v>0</v>
      </c>
      <c r="AU254" s="662">
        <v>0</v>
      </c>
      <c r="AV254" s="662">
        <v>1110221</v>
      </c>
      <c r="AW254" s="662">
        <v>0</v>
      </c>
      <c r="AX254" s="662">
        <v>0</v>
      </c>
      <c r="AY254" s="662">
        <v>0</v>
      </c>
      <c r="AZ254" s="662">
        <v>0</v>
      </c>
      <c r="BA254" s="662">
        <v>0</v>
      </c>
      <c r="BB254" s="662">
        <v>0</v>
      </c>
      <c r="BC254" s="662">
        <v>108934</v>
      </c>
      <c r="BD254" s="662">
        <v>0</v>
      </c>
      <c r="BE254" s="802">
        <v>0</v>
      </c>
      <c r="BF254" s="662">
        <v>0</v>
      </c>
      <c r="BG254" s="662">
        <v>0</v>
      </c>
      <c r="BH254" s="662">
        <v>0</v>
      </c>
      <c r="BI254" s="662">
        <v>0</v>
      </c>
      <c r="BJ254" s="662">
        <v>1101554</v>
      </c>
      <c r="BK254" s="662">
        <v>0</v>
      </c>
      <c r="BL254" s="662">
        <v>0</v>
      </c>
      <c r="BM254" s="662">
        <v>0</v>
      </c>
      <c r="BN254" s="662">
        <v>0</v>
      </c>
      <c r="BO254" s="662">
        <v>0</v>
      </c>
      <c r="BP254" s="662">
        <v>0</v>
      </c>
      <c r="BQ254" s="662">
        <v>1513826</v>
      </c>
      <c r="BR254" s="662">
        <v>0</v>
      </c>
      <c r="BS254" s="662">
        <v>0</v>
      </c>
      <c r="BT254" s="662">
        <v>0</v>
      </c>
      <c r="BU254" s="662">
        <v>0</v>
      </c>
      <c r="BV254" s="662">
        <v>0</v>
      </c>
      <c r="BW254" s="662">
        <v>0</v>
      </c>
      <c r="BX254" s="662">
        <v>143764</v>
      </c>
      <c r="BY254" s="662">
        <v>0</v>
      </c>
      <c r="BZ254" s="662">
        <v>0</v>
      </c>
      <c r="CA254" s="662">
        <v>0</v>
      </c>
      <c r="CB254" s="662">
        <v>0</v>
      </c>
      <c r="CC254" s="662">
        <v>0</v>
      </c>
      <c r="CD254" s="662">
        <v>0</v>
      </c>
      <c r="CE254" s="662">
        <v>110073</v>
      </c>
      <c r="CF254" s="662">
        <v>0</v>
      </c>
      <c r="CG254" s="662">
        <v>0</v>
      </c>
      <c r="CH254" s="662">
        <v>0</v>
      </c>
      <c r="CI254" s="662">
        <v>0</v>
      </c>
      <c r="CJ254" s="662">
        <v>0</v>
      </c>
      <c r="CK254" s="662">
        <v>0</v>
      </c>
      <c r="CL254" s="662">
        <v>147244</v>
      </c>
      <c r="CM254" s="662">
        <v>0</v>
      </c>
      <c r="CN254" s="662">
        <v>0</v>
      </c>
      <c r="CO254" s="662">
        <v>0</v>
      </c>
      <c r="CP254" s="662">
        <v>0</v>
      </c>
      <c r="CQ254" s="662">
        <v>0</v>
      </c>
      <c r="CR254" s="662">
        <v>0</v>
      </c>
      <c r="CS254" s="662">
        <v>777490</v>
      </c>
      <c r="CT254" s="662">
        <v>0</v>
      </c>
      <c r="CU254" s="662">
        <v>0</v>
      </c>
      <c r="CV254" s="662">
        <v>0</v>
      </c>
      <c r="CW254" s="662">
        <v>0</v>
      </c>
      <c r="CX254" s="662">
        <v>0</v>
      </c>
      <c r="CY254" s="662">
        <v>0</v>
      </c>
      <c r="CZ254" s="662">
        <v>21002</v>
      </c>
      <c r="DA254" s="662">
        <v>0</v>
      </c>
      <c r="DB254" s="662">
        <v>0</v>
      </c>
      <c r="DC254" s="662">
        <v>0</v>
      </c>
      <c r="DD254" s="662">
        <v>0</v>
      </c>
      <c r="DE254" s="662">
        <v>0</v>
      </c>
      <c r="DF254" s="662">
        <v>0</v>
      </c>
      <c r="DG254" s="662">
        <v>99522</v>
      </c>
      <c r="DH254" s="662">
        <v>0</v>
      </c>
      <c r="DI254" s="662">
        <v>0</v>
      </c>
      <c r="DJ254" s="662">
        <v>0</v>
      </c>
      <c r="DK254" s="662">
        <v>0</v>
      </c>
      <c r="DL254" s="662">
        <v>0</v>
      </c>
      <c r="DM254" s="662">
        <v>0</v>
      </c>
      <c r="DN254" s="662">
        <v>454740</v>
      </c>
      <c r="DO254" s="662">
        <v>0</v>
      </c>
      <c r="DP254" s="662">
        <v>0</v>
      </c>
      <c r="DQ254" s="662">
        <v>0</v>
      </c>
      <c r="DR254" s="662">
        <v>0</v>
      </c>
      <c r="DS254" s="662">
        <v>0</v>
      </c>
      <c r="DT254" s="662">
        <v>0</v>
      </c>
      <c r="DU254" s="662">
        <v>26761</v>
      </c>
      <c r="DV254" s="662">
        <v>0</v>
      </c>
      <c r="DW254" s="662">
        <v>0</v>
      </c>
      <c r="DX254" s="662">
        <v>0</v>
      </c>
      <c r="DY254" s="662">
        <v>0</v>
      </c>
      <c r="DZ254" s="662">
        <v>0</v>
      </c>
      <c r="EA254" s="662">
        <v>0</v>
      </c>
      <c r="EB254" s="662">
        <v>28311</v>
      </c>
      <c r="EC254" s="662">
        <v>0</v>
      </c>
      <c r="ED254" s="662">
        <v>0</v>
      </c>
      <c r="EE254" s="662">
        <v>0</v>
      </c>
      <c r="EF254" s="662">
        <v>0</v>
      </c>
      <c r="EG254" s="662">
        <v>0</v>
      </c>
      <c r="EH254" s="662">
        <v>0</v>
      </c>
      <c r="EI254" s="662">
        <v>770370</v>
      </c>
      <c r="EJ254" s="662">
        <v>0</v>
      </c>
      <c r="EK254" s="662">
        <v>0</v>
      </c>
      <c r="EL254" s="662">
        <v>0</v>
      </c>
      <c r="EM254" s="662">
        <v>0</v>
      </c>
      <c r="EN254" s="662">
        <v>0</v>
      </c>
      <c r="EO254" s="662">
        <v>0</v>
      </c>
      <c r="EP254" s="662">
        <v>163332</v>
      </c>
      <c r="EQ254" s="662">
        <v>0</v>
      </c>
    </row>
    <row r="255" spans="1:147" ht="13.95" customHeight="1" x14ac:dyDescent="0.3">
      <c r="A255" s="660" t="s">
        <v>1911</v>
      </c>
      <c r="B255" s="661" t="s">
        <v>269</v>
      </c>
      <c r="C255" s="662">
        <v>0</v>
      </c>
      <c r="D255" s="662">
        <v>0</v>
      </c>
      <c r="E255" s="662">
        <v>0</v>
      </c>
      <c r="F255" s="662">
        <v>0</v>
      </c>
      <c r="G255" s="662">
        <v>0</v>
      </c>
      <c r="H255" s="662">
        <v>11827347</v>
      </c>
      <c r="I255" s="662">
        <v>0</v>
      </c>
      <c r="J255" s="802">
        <v>0</v>
      </c>
      <c r="K255" s="662">
        <v>0</v>
      </c>
      <c r="L255" s="662">
        <v>0</v>
      </c>
      <c r="M255" s="662">
        <v>0</v>
      </c>
      <c r="N255" s="662">
        <v>0</v>
      </c>
      <c r="O255" s="662">
        <v>0</v>
      </c>
      <c r="P255" s="662">
        <v>0</v>
      </c>
      <c r="Q255" s="802">
        <v>0</v>
      </c>
      <c r="R255" s="662">
        <v>0</v>
      </c>
      <c r="S255" s="662">
        <v>0</v>
      </c>
      <c r="T255" s="662">
        <v>0</v>
      </c>
      <c r="U255" s="662">
        <v>0</v>
      </c>
      <c r="V255" s="662">
        <v>0</v>
      </c>
      <c r="W255" s="802">
        <v>0</v>
      </c>
      <c r="X255" s="662">
        <v>0</v>
      </c>
      <c r="Y255" s="662">
        <v>0</v>
      </c>
      <c r="Z255" s="662">
        <v>0</v>
      </c>
      <c r="AA255" s="662">
        <v>0</v>
      </c>
      <c r="AB255" s="662">
        <v>9136</v>
      </c>
      <c r="AC255" s="662">
        <v>0</v>
      </c>
      <c r="AD255" s="802">
        <v>0</v>
      </c>
      <c r="AE255" s="662">
        <v>0</v>
      </c>
      <c r="AF255" s="662">
        <v>0</v>
      </c>
      <c r="AG255" s="662">
        <v>0</v>
      </c>
      <c r="AH255" s="662">
        <v>0</v>
      </c>
      <c r="AI255" s="662">
        <v>427032</v>
      </c>
      <c r="AJ255" s="662">
        <v>0</v>
      </c>
      <c r="AK255" s="802">
        <v>0</v>
      </c>
      <c r="AL255" s="662">
        <v>0</v>
      </c>
      <c r="AM255" s="662">
        <v>0</v>
      </c>
      <c r="AN255" s="662">
        <v>0</v>
      </c>
      <c r="AO255" s="662">
        <v>174368</v>
      </c>
      <c r="AP255" s="662">
        <v>0</v>
      </c>
      <c r="AQ255" s="802">
        <v>0</v>
      </c>
      <c r="AR255" s="662">
        <v>0</v>
      </c>
      <c r="AS255" s="662">
        <v>0</v>
      </c>
      <c r="AT255" s="662">
        <v>0</v>
      </c>
      <c r="AU255" s="662">
        <v>0</v>
      </c>
      <c r="AV255" s="662">
        <v>1850157</v>
      </c>
      <c r="AW255" s="662">
        <v>0</v>
      </c>
      <c r="AX255" s="662">
        <v>0</v>
      </c>
      <c r="AY255" s="662">
        <v>0</v>
      </c>
      <c r="AZ255" s="662">
        <v>0</v>
      </c>
      <c r="BA255" s="662">
        <v>0</v>
      </c>
      <c r="BB255" s="662">
        <v>0</v>
      </c>
      <c r="BC255" s="662">
        <v>623279</v>
      </c>
      <c r="BD255" s="662">
        <v>0</v>
      </c>
      <c r="BE255" s="802">
        <v>0</v>
      </c>
      <c r="BF255" s="662">
        <v>0</v>
      </c>
      <c r="BG255" s="662">
        <v>0</v>
      </c>
      <c r="BH255" s="662">
        <v>0</v>
      </c>
      <c r="BI255" s="662">
        <v>0</v>
      </c>
      <c r="BJ255" s="662">
        <v>2053518</v>
      </c>
      <c r="BK255" s="662">
        <v>0</v>
      </c>
      <c r="BL255" s="662">
        <v>0</v>
      </c>
      <c r="BM255" s="662">
        <v>0</v>
      </c>
      <c r="BN255" s="662">
        <v>0</v>
      </c>
      <c r="BO255" s="662">
        <v>0</v>
      </c>
      <c r="BP255" s="662">
        <v>0</v>
      </c>
      <c r="BQ255" s="662">
        <v>595612</v>
      </c>
      <c r="BR255" s="662">
        <v>0</v>
      </c>
      <c r="BS255" s="662">
        <v>0</v>
      </c>
      <c r="BT255" s="662">
        <v>0</v>
      </c>
      <c r="BU255" s="662">
        <v>0</v>
      </c>
      <c r="BV255" s="662">
        <v>0</v>
      </c>
      <c r="BW255" s="662">
        <v>0</v>
      </c>
      <c r="BX255" s="662">
        <v>276044</v>
      </c>
      <c r="BY255" s="662">
        <v>0</v>
      </c>
      <c r="BZ255" s="662">
        <v>0</v>
      </c>
      <c r="CA255" s="662">
        <v>0</v>
      </c>
      <c r="CB255" s="662">
        <v>0</v>
      </c>
      <c r="CC255" s="662">
        <v>0</v>
      </c>
      <c r="CD255" s="662">
        <v>0</v>
      </c>
      <c r="CE255" s="662">
        <v>156335</v>
      </c>
      <c r="CF255" s="662">
        <v>0</v>
      </c>
      <c r="CG255" s="662">
        <v>0</v>
      </c>
      <c r="CH255" s="662">
        <v>0</v>
      </c>
      <c r="CI255" s="662">
        <v>0</v>
      </c>
      <c r="CJ255" s="662">
        <v>0</v>
      </c>
      <c r="CK255" s="662">
        <v>0</v>
      </c>
      <c r="CL255" s="662">
        <v>393145</v>
      </c>
      <c r="CM255" s="662">
        <v>0</v>
      </c>
      <c r="CN255" s="662">
        <v>0</v>
      </c>
      <c r="CO255" s="662">
        <v>0</v>
      </c>
      <c r="CP255" s="662">
        <v>0</v>
      </c>
      <c r="CQ255" s="662">
        <v>0</v>
      </c>
      <c r="CR255" s="662">
        <v>0</v>
      </c>
      <c r="CS255" s="662">
        <v>314020</v>
      </c>
      <c r="CT255" s="662">
        <v>0</v>
      </c>
      <c r="CU255" s="662">
        <v>0</v>
      </c>
      <c r="CV255" s="662">
        <v>0</v>
      </c>
      <c r="CW255" s="662">
        <v>0</v>
      </c>
      <c r="CX255" s="662">
        <v>0</v>
      </c>
      <c r="CY255" s="662">
        <v>0</v>
      </c>
      <c r="CZ255" s="662">
        <v>53442</v>
      </c>
      <c r="DA255" s="662">
        <v>0</v>
      </c>
      <c r="DB255" s="662">
        <v>0</v>
      </c>
      <c r="DC255" s="662">
        <v>0</v>
      </c>
      <c r="DD255" s="662">
        <v>0</v>
      </c>
      <c r="DE255" s="662">
        <v>0</v>
      </c>
      <c r="DF255" s="662">
        <v>0</v>
      </c>
      <c r="DG255" s="662">
        <v>125536</v>
      </c>
      <c r="DH255" s="662">
        <v>0</v>
      </c>
      <c r="DI255" s="662">
        <v>0</v>
      </c>
      <c r="DJ255" s="662">
        <v>0</v>
      </c>
      <c r="DK255" s="662">
        <v>0</v>
      </c>
      <c r="DL255" s="662">
        <v>0</v>
      </c>
      <c r="DM255" s="662">
        <v>0</v>
      </c>
      <c r="DN255" s="662">
        <v>2193687</v>
      </c>
      <c r="DO255" s="662">
        <v>0</v>
      </c>
      <c r="DP255" s="662">
        <v>0</v>
      </c>
      <c r="DQ255" s="662">
        <v>0</v>
      </c>
      <c r="DR255" s="662">
        <v>0</v>
      </c>
      <c r="DS255" s="662">
        <v>0</v>
      </c>
      <c r="DT255" s="662">
        <v>0</v>
      </c>
      <c r="DU255" s="662">
        <v>26024</v>
      </c>
      <c r="DV255" s="662">
        <v>0</v>
      </c>
      <c r="DW255" s="662">
        <v>0</v>
      </c>
      <c r="DX255" s="662">
        <v>0</v>
      </c>
      <c r="DY255" s="662">
        <v>0</v>
      </c>
      <c r="DZ255" s="662">
        <v>0</v>
      </c>
      <c r="EA255" s="662">
        <v>0</v>
      </c>
      <c r="EB255" s="662">
        <v>81975</v>
      </c>
      <c r="EC255" s="662">
        <v>0</v>
      </c>
      <c r="ED255" s="662">
        <v>0</v>
      </c>
      <c r="EE255" s="662">
        <v>0</v>
      </c>
      <c r="EF255" s="662">
        <v>0</v>
      </c>
      <c r="EG255" s="662">
        <v>0</v>
      </c>
      <c r="EH255" s="662">
        <v>0</v>
      </c>
      <c r="EI255" s="662">
        <v>2381846</v>
      </c>
      <c r="EJ255" s="662">
        <v>0</v>
      </c>
      <c r="EK255" s="662">
        <v>0</v>
      </c>
      <c r="EL255" s="662">
        <v>0</v>
      </c>
      <c r="EM255" s="662">
        <v>0</v>
      </c>
      <c r="EN255" s="662">
        <v>0</v>
      </c>
      <c r="EO255" s="662">
        <v>0</v>
      </c>
      <c r="EP255" s="662">
        <v>92191</v>
      </c>
      <c r="EQ255" s="662">
        <v>0</v>
      </c>
    </row>
    <row r="256" spans="1:147" ht="13.95" customHeight="1" x14ac:dyDescent="0.3">
      <c r="A256" s="660" t="s">
        <v>1912</v>
      </c>
      <c r="B256" s="661" t="s">
        <v>269</v>
      </c>
      <c r="C256" s="662">
        <v>0</v>
      </c>
      <c r="D256" s="662">
        <v>0</v>
      </c>
      <c r="E256" s="662">
        <v>0</v>
      </c>
      <c r="F256" s="662">
        <v>0</v>
      </c>
      <c r="G256" s="662">
        <v>0</v>
      </c>
      <c r="H256" s="662">
        <v>6080605</v>
      </c>
      <c r="I256" s="662">
        <v>0</v>
      </c>
      <c r="J256" s="802">
        <v>0</v>
      </c>
      <c r="K256" s="662">
        <v>0</v>
      </c>
      <c r="L256" s="662">
        <v>0</v>
      </c>
      <c r="M256" s="662">
        <v>0</v>
      </c>
      <c r="N256" s="662">
        <v>0</v>
      </c>
      <c r="O256" s="662">
        <v>0</v>
      </c>
      <c r="P256" s="662">
        <v>0</v>
      </c>
      <c r="Q256" s="802">
        <v>0</v>
      </c>
      <c r="R256" s="662">
        <v>0</v>
      </c>
      <c r="S256" s="662">
        <v>0</v>
      </c>
      <c r="T256" s="662">
        <v>0</v>
      </c>
      <c r="U256" s="662">
        <v>0</v>
      </c>
      <c r="V256" s="662">
        <v>0</v>
      </c>
      <c r="W256" s="802">
        <v>0</v>
      </c>
      <c r="X256" s="662">
        <v>0</v>
      </c>
      <c r="Y256" s="662">
        <v>0</v>
      </c>
      <c r="Z256" s="662">
        <v>0</v>
      </c>
      <c r="AA256" s="662">
        <v>0</v>
      </c>
      <c r="AB256" s="662">
        <v>5927</v>
      </c>
      <c r="AC256" s="662">
        <v>0</v>
      </c>
      <c r="AD256" s="802">
        <v>0</v>
      </c>
      <c r="AE256" s="662">
        <v>0</v>
      </c>
      <c r="AF256" s="662">
        <v>0</v>
      </c>
      <c r="AG256" s="662">
        <v>0</v>
      </c>
      <c r="AH256" s="662">
        <v>0</v>
      </c>
      <c r="AI256" s="662">
        <v>227434</v>
      </c>
      <c r="AJ256" s="662">
        <v>0</v>
      </c>
      <c r="AK256" s="802">
        <v>0</v>
      </c>
      <c r="AL256" s="662">
        <v>0</v>
      </c>
      <c r="AM256" s="662">
        <v>0</v>
      </c>
      <c r="AN256" s="662">
        <v>0</v>
      </c>
      <c r="AO256" s="662">
        <v>131890</v>
      </c>
      <c r="AP256" s="662">
        <v>0</v>
      </c>
      <c r="AQ256" s="802">
        <v>0</v>
      </c>
      <c r="AR256" s="662">
        <v>0</v>
      </c>
      <c r="AS256" s="662">
        <v>0</v>
      </c>
      <c r="AT256" s="662">
        <v>0</v>
      </c>
      <c r="AU256" s="662">
        <v>0</v>
      </c>
      <c r="AV256" s="662">
        <v>1056498</v>
      </c>
      <c r="AW256" s="662">
        <v>0</v>
      </c>
      <c r="AX256" s="662">
        <v>0</v>
      </c>
      <c r="AY256" s="662">
        <v>0</v>
      </c>
      <c r="AZ256" s="662">
        <v>0</v>
      </c>
      <c r="BA256" s="662">
        <v>0</v>
      </c>
      <c r="BB256" s="662">
        <v>0</v>
      </c>
      <c r="BC256" s="662">
        <v>480036</v>
      </c>
      <c r="BD256" s="662">
        <v>0</v>
      </c>
      <c r="BE256" s="802">
        <v>0</v>
      </c>
      <c r="BF256" s="662">
        <v>0</v>
      </c>
      <c r="BG256" s="662">
        <v>0</v>
      </c>
      <c r="BH256" s="662">
        <v>0</v>
      </c>
      <c r="BI256" s="662">
        <v>0</v>
      </c>
      <c r="BJ256" s="662">
        <v>993667</v>
      </c>
      <c r="BK256" s="662">
        <v>0</v>
      </c>
      <c r="BL256" s="662">
        <v>0</v>
      </c>
      <c r="BM256" s="662">
        <v>0</v>
      </c>
      <c r="BN256" s="662">
        <v>0</v>
      </c>
      <c r="BO256" s="662">
        <v>0</v>
      </c>
      <c r="BP256" s="662">
        <v>0</v>
      </c>
      <c r="BQ256" s="662">
        <v>113032</v>
      </c>
      <c r="BR256" s="662">
        <v>0</v>
      </c>
      <c r="BS256" s="662">
        <v>0</v>
      </c>
      <c r="BT256" s="662">
        <v>0</v>
      </c>
      <c r="BU256" s="662">
        <v>0</v>
      </c>
      <c r="BV256" s="662">
        <v>0</v>
      </c>
      <c r="BW256" s="662">
        <v>0</v>
      </c>
      <c r="BX256" s="662">
        <v>109600</v>
      </c>
      <c r="BY256" s="662">
        <v>0</v>
      </c>
      <c r="BZ256" s="662">
        <v>0</v>
      </c>
      <c r="CA256" s="662">
        <v>0</v>
      </c>
      <c r="CB256" s="662">
        <v>0</v>
      </c>
      <c r="CC256" s="662">
        <v>0</v>
      </c>
      <c r="CD256" s="662">
        <v>0</v>
      </c>
      <c r="CE256" s="662">
        <v>53387</v>
      </c>
      <c r="CF256" s="662">
        <v>0</v>
      </c>
      <c r="CG256" s="662">
        <v>0</v>
      </c>
      <c r="CH256" s="662">
        <v>0</v>
      </c>
      <c r="CI256" s="662">
        <v>0</v>
      </c>
      <c r="CJ256" s="662">
        <v>0</v>
      </c>
      <c r="CK256" s="662">
        <v>0</v>
      </c>
      <c r="CL256" s="662">
        <v>259479</v>
      </c>
      <c r="CM256" s="662">
        <v>0</v>
      </c>
      <c r="CN256" s="662">
        <v>0</v>
      </c>
      <c r="CO256" s="662">
        <v>0</v>
      </c>
      <c r="CP256" s="662">
        <v>0</v>
      </c>
      <c r="CQ256" s="662">
        <v>0</v>
      </c>
      <c r="CR256" s="662">
        <v>0</v>
      </c>
      <c r="CS256" s="662">
        <v>224910</v>
      </c>
      <c r="CT256" s="662">
        <v>0</v>
      </c>
      <c r="CU256" s="662">
        <v>0</v>
      </c>
      <c r="CV256" s="662">
        <v>0</v>
      </c>
      <c r="CW256" s="662">
        <v>0</v>
      </c>
      <c r="CX256" s="662">
        <v>0</v>
      </c>
      <c r="CY256" s="662">
        <v>0</v>
      </c>
      <c r="CZ256" s="662">
        <v>28226</v>
      </c>
      <c r="DA256" s="662">
        <v>0</v>
      </c>
      <c r="DB256" s="662">
        <v>0</v>
      </c>
      <c r="DC256" s="662">
        <v>0</v>
      </c>
      <c r="DD256" s="662">
        <v>0</v>
      </c>
      <c r="DE256" s="662">
        <v>0</v>
      </c>
      <c r="DF256" s="662">
        <v>0</v>
      </c>
      <c r="DG256" s="662">
        <v>69787</v>
      </c>
      <c r="DH256" s="662">
        <v>0</v>
      </c>
      <c r="DI256" s="662">
        <v>0</v>
      </c>
      <c r="DJ256" s="662">
        <v>0</v>
      </c>
      <c r="DK256" s="662">
        <v>0</v>
      </c>
      <c r="DL256" s="662">
        <v>0</v>
      </c>
      <c r="DM256" s="662">
        <v>0</v>
      </c>
      <c r="DN256" s="662">
        <v>918642</v>
      </c>
      <c r="DO256" s="662">
        <v>0</v>
      </c>
      <c r="DP256" s="662">
        <v>0</v>
      </c>
      <c r="DQ256" s="662">
        <v>0</v>
      </c>
      <c r="DR256" s="662">
        <v>0</v>
      </c>
      <c r="DS256" s="662">
        <v>0</v>
      </c>
      <c r="DT256" s="662">
        <v>0</v>
      </c>
      <c r="DU256" s="662">
        <v>11197</v>
      </c>
      <c r="DV256" s="662">
        <v>0</v>
      </c>
      <c r="DW256" s="662">
        <v>0</v>
      </c>
      <c r="DX256" s="662">
        <v>0</v>
      </c>
      <c r="DY256" s="662">
        <v>0</v>
      </c>
      <c r="DZ256" s="662">
        <v>0</v>
      </c>
      <c r="EA256" s="662">
        <v>0</v>
      </c>
      <c r="EB256" s="662">
        <v>21583</v>
      </c>
      <c r="EC256" s="662">
        <v>0</v>
      </c>
      <c r="ED256" s="662">
        <v>0</v>
      </c>
      <c r="EE256" s="662">
        <v>0</v>
      </c>
      <c r="EF256" s="662">
        <v>0</v>
      </c>
      <c r="EG256" s="662">
        <v>0</v>
      </c>
      <c r="EH256" s="662">
        <v>0</v>
      </c>
      <c r="EI256" s="662">
        <v>1349970</v>
      </c>
      <c r="EJ256" s="662">
        <v>0</v>
      </c>
      <c r="EK256" s="662">
        <v>0</v>
      </c>
      <c r="EL256" s="662">
        <v>0</v>
      </c>
      <c r="EM256" s="662">
        <v>0</v>
      </c>
      <c r="EN256" s="662">
        <v>0</v>
      </c>
      <c r="EO256" s="662">
        <v>0</v>
      </c>
      <c r="EP256" s="662">
        <v>25340</v>
      </c>
      <c r="EQ256" s="662">
        <v>0</v>
      </c>
    </row>
    <row r="257" spans="1:149" ht="20.7" customHeight="1" x14ac:dyDescent="0.3">
      <c r="A257" s="660" t="s">
        <v>1913</v>
      </c>
      <c r="B257" s="661" t="s">
        <v>269</v>
      </c>
      <c r="C257" s="662">
        <v>0</v>
      </c>
      <c r="D257" s="662">
        <v>0</v>
      </c>
      <c r="E257" s="662">
        <v>0</v>
      </c>
      <c r="F257" s="662">
        <v>0</v>
      </c>
      <c r="G257" s="662">
        <v>0</v>
      </c>
      <c r="H257" s="662">
        <v>5746742</v>
      </c>
      <c r="I257" s="662">
        <v>0</v>
      </c>
      <c r="J257" s="802">
        <v>0</v>
      </c>
      <c r="K257" s="662">
        <v>0</v>
      </c>
      <c r="L257" s="662">
        <v>0</v>
      </c>
      <c r="M257" s="662">
        <v>0</v>
      </c>
      <c r="N257" s="662">
        <v>0</v>
      </c>
      <c r="O257" s="662">
        <v>0</v>
      </c>
      <c r="P257" s="662">
        <v>0</v>
      </c>
      <c r="Q257" s="802">
        <v>0</v>
      </c>
      <c r="R257" s="662">
        <v>0</v>
      </c>
      <c r="S257" s="662">
        <v>0</v>
      </c>
      <c r="T257" s="662">
        <v>0</v>
      </c>
      <c r="U257" s="662">
        <v>0</v>
      </c>
      <c r="V257" s="662">
        <v>0</v>
      </c>
      <c r="W257" s="802">
        <v>0</v>
      </c>
      <c r="X257" s="662">
        <v>0</v>
      </c>
      <c r="Y257" s="662">
        <v>0</v>
      </c>
      <c r="Z257" s="662">
        <v>0</v>
      </c>
      <c r="AA257" s="662">
        <v>0</v>
      </c>
      <c r="AB257" s="662">
        <v>3209</v>
      </c>
      <c r="AC257" s="662">
        <v>0</v>
      </c>
      <c r="AD257" s="802">
        <v>0</v>
      </c>
      <c r="AE257" s="662">
        <v>0</v>
      </c>
      <c r="AF257" s="662">
        <v>0</v>
      </c>
      <c r="AG257" s="662">
        <v>0</v>
      </c>
      <c r="AH257" s="662">
        <v>0</v>
      </c>
      <c r="AI257" s="662">
        <v>199598</v>
      </c>
      <c r="AJ257" s="662">
        <v>0</v>
      </c>
      <c r="AK257" s="802">
        <v>0</v>
      </c>
      <c r="AL257" s="662">
        <v>0</v>
      </c>
      <c r="AM257" s="662">
        <v>0</v>
      </c>
      <c r="AN257" s="662">
        <v>0</v>
      </c>
      <c r="AO257" s="662">
        <v>42478</v>
      </c>
      <c r="AP257" s="662">
        <v>0</v>
      </c>
      <c r="AQ257" s="802">
        <v>0</v>
      </c>
      <c r="AR257" s="662">
        <v>0</v>
      </c>
      <c r="AS257" s="662">
        <v>0</v>
      </c>
      <c r="AT257" s="662">
        <v>0</v>
      </c>
      <c r="AU257" s="662">
        <v>0</v>
      </c>
      <c r="AV257" s="662">
        <v>793659</v>
      </c>
      <c r="AW257" s="662">
        <v>0</v>
      </c>
      <c r="AX257" s="662">
        <v>0</v>
      </c>
      <c r="AY257" s="662">
        <v>0</v>
      </c>
      <c r="AZ257" s="662">
        <v>0</v>
      </c>
      <c r="BA257" s="662">
        <v>0</v>
      </c>
      <c r="BB257" s="662">
        <v>0</v>
      </c>
      <c r="BC257" s="662">
        <v>143243</v>
      </c>
      <c r="BD257" s="662">
        <v>0</v>
      </c>
      <c r="BE257" s="802">
        <v>0</v>
      </c>
      <c r="BF257" s="662">
        <v>0</v>
      </c>
      <c r="BG257" s="662">
        <v>0</v>
      </c>
      <c r="BH257" s="662">
        <v>0</v>
      </c>
      <c r="BI257" s="662">
        <v>0</v>
      </c>
      <c r="BJ257" s="662">
        <v>1059851</v>
      </c>
      <c r="BK257" s="662">
        <v>0</v>
      </c>
      <c r="BL257" s="662">
        <v>0</v>
      </c>
      <c r="BM257" s="662">
        <v>0</v>
      </c>
      <c r="BN257" s="662">
        <v>0</v>
      </c>
      <c r="BO257" s="662">
        <v>0</v>
      </c>
      <c r="BP257" s="662">
        <v>0</v>
      </c>
      <c r="BQ257" s="662">
        <v>482580</v>
      </c>
      <c r="BR257" s="662">
        <v>0</v>
      </c>
      <c r="BS257" s="662">
        <v>0</v>
      </c>
      <c r="BT257" s="662">
        <v>0</v>
      </c>
      <c r="BU257" s="662">
        <v>0</v>
      </c>
      <c r="BV257" s="662">
        <v>0</v>
      </c>
      <c r="BW257" s="662">
        <v>0</v>
      </c>
      <c r="BX257" s="662">
        <v>166444</v>
      </c>
      <c r="BY257" s="662">
        <v>0</v>
      </c>
      <c r="BZ257" s="662">
        <v>0</v>
      </c>
      <c r="CA257" s="662">
        <v>0</v>
      </c>
      <c r="CB257" s="662">
        <v>0</v>
      </c>
      <c r="CC257" s="662">
        <v>0</v>
      </c>
      <c r="CD257" s="662">
        <v>0</v>
      </c>
      <c r="CE257" s="662">
        <v>102948</v>
      </c>
      <c r="CF257" s="662">
        <v>0</v>
      </c>
      <c r="CG257" s="662">
        <v>0</v>
      </c>
      <c r="CH257" s="662">
        <v>0</v>
      </c>
      <c r="CI257" s="662">
        <v>0</v>
      </c>
      <c r="CJ257" s="662">
        <v>0</v>
      </c>
      <c r="CK257" s="662">
        <v>0</v>
      </c>
      <c r="CL257" s="662">
        <v>133666</v>
      </c>
      <c r="CM257" s="662">
        <v>0</v>
      </c>
      <c r="CN257" s="662">
        <v>0</v>
      </c>
      <c r="CO257" s="662">
        <v>0</v>
      </c>
      <c r="CP257" s="662">
        <v>0</v>
      </c>
      <c r="CQ257" s="662">
        <v>0</v>
      </c>
      <c r="CR257" s="662">
        <v>0</v>
      </c>
      <c r="CS257" s="662">
        <v>89110</v>
      </c>
      <c r="CT257" s="662">
        <v>0</v>
      </c>
      <c r="CU257" s="662">
        <v>0</v>
      </c>
      <c r="CV257" s="662">
        <v>0</v>
      </c>
      <c r="CW257" s="662">
        <v>0</v>
      </c>
      <c r="CX257" s="662">
        <v>0</v>
      </c>
      <c r="CY257" s="662">
        <v>0</v>
      </c>
      <c r="CZ257" s="662">
        <v>25216</v>
      </c>
      <c r="DA257" s="662">
        <v>0</v>
      </c>
      <c r="DB257" s="662">
        <v>0</v>
      </c>
      <c r="DC257" s="662">
        <v>0</v>
      </c>
      <c r="DD257" s="662">
        <v>0</v>
      </c>
      <c r="DE257" s="662">
        <v>0</v>
      </c>
      <c r="DF257" s="662">
        <v>0</v>
      </c>
      <c r="DG257" s="662">
        <v>55749</v>
      </c>
      <c r="DH257" s="662">
        <v>0</v>
      </c>
      <c r="DI257" s="662">
        <v>0</v>
      </c>
      <c r="DJ257" s="662">
        <v>0</v>
      </c>
      <c r="DK257" s="662">
        <v>0</v>
      </c>
      <c r="DL257" s="662">
        <v>0</v>
      </c>
      <c r="DM257" s="662">
        <v>0</v>
      </c>
      <c r="DN257" s="662">
        <v>1275045</v>
      </c>
      <c r="DO257" s="662">
        <v>0</v>
      </c>
      <c r="DP257" s="662">
        <v>0</v>
      </c>
      <c r="DQ257" s="662">
        <v>0</v>
      </c>
      <c r="DR257" s="662">
        <v>0</v>
      </c>
      <c r="DS257" s="662">
        <v>0</v>
      </c>
      <c r="DT257" s="662">
        <v>0</v>
      </c>
      <c r="DU257" s="662">
        <v>14827</v>
      </c>
      <c r="DV257" s="662">
        <v>0</v>
      </c>
      <c r="DW257" s="662">
        <v>0</v>
      </c>
      <c r="DX257" s="662">
        <v>0</v>
      </c>
      <c r="DY257" s="662">
        <v>0</v>
      </c>
      <c r="DZ257" s="662">
        <v>0</v>
      </c>
      <c r="EA257" s="662">
        <v>0</v>
      </c>
      <c r="EB257" s="662">
        <v>60392</v>
      </c>
      <c r="EC257" s="662">
        <v>0</v>
      </c>
      <c r="ED257" s="662">
        <v>0</v>
      </c>
      <c r="EE257" s="662">
        <v>0</v>
      </c>
      <c r="EF257" s="662">
        <v>0</v>
      </c>
      <c r="EG257" s="662">
        <v>0</v>
      </c>
      <c r="EH257" s="662">
        <v>0</v>
      </c>
      <c r="EI257" s="662">
        <v>1031876</v>
      </c>
      <c r="EJ257" s="662">
        <v>0</v>
      </c>
      <c r="EK257" s="662">
        <v>0</v>
      </c>
      <c r="EL257" s="662">
        <v>0</v>
      </c>
      <c r="EM257" s="662">
        <v>0</v>
      </c>
      <c r="EN257" s="662">
        <v>0</v>
      </c>
      <c r="EO257" s="662">
        <v>0</v>
      </c>
      <c r="EP257" s="662">
        <v>66851</v>
      </c>
      <c r="EQ257" s="662">
        <v>0</v>
      </c>
    </row>
    <row r="258" spans="1:149" ht="13.95" customHeight="1" x14ac:dyDescent="0.3">
      <c r="A258" s="660" t="s">
        <v>1914</v>
      </c>
      <c r="B258" s="661" t="s">
        <v>269</v>
      </c>
      <c r="C258" s="662">
        <v>0</v>
      </c>
      <c r="D258" s="662">
        <v>0</v>
      </c>
      <c r="E258" s="662">
        <v>0</v>
      </c>
      <c r="F258" s="662">
        <v>0</v>
      </c>
      <c r="G258" s="662">
        <v>0</v>
      </c>
      <c r="H258" s="662">
        <v>2327236</v>
      </c>
      <c r="I258" s="662">
        <v>0</v>
      </c>
      <c r="J258" s="802">
        <v>0</v>
      </c>
      <c r="K258" s="662">
        <v>0</v>
      </c>
      <c r="L258" s="662">
        <v>0</v>
      </c>
      <c r="M258" s="662">
        <v>0</v>
      </c>
      <c r="N258" s="662">
        <v>0</v>
      </c>
      <c r="O258" s="662">
        <v>300</v>
      </c>
      <c r="P258" s="662">
        <v>0</v>
      </c>
      <c r="Q258" s="802">
        <v>0</v>
      </c>
      <c r="R258" s="662">
        <v>0</v>
      </c>
      <c r="S258" s="662">
        <v>0</v>
      </c>
      <c r="T258" s="662">
        <v>0</v>
      </c>
      <c r="U258" s="662">
        <v>0</v>
      </c>
      <c r="V258" s="662">
        <v>0</v>
      </c>
      <c r="W258" s="802">
        <v>0</v>
      </c>
      <c r="X258" s="662">
        <v>0</v>
      </c>
      <c r="Y258" s="662">
        <v>0</v>
      </c>
      <c r="Z258" s="662">
        <v>0</v>
      </c>
      <c r="AA258" s="662">
        <v>0</v>
      </c>
      <c r="AB258" s="662">
        <v>2300</v>
      </c>
      <c r="AC258" s="662">
        <v>0</v>
      </c>
      <c r="AD258" s="802">
        <v>0</v>
      </c>
      <c r="AE258" s="662">
        <v>0</v>
      </c>
      <c r="AF258" s="662">
        <v>0</v>
      </c>
      <c r="AG258" s="662">
        <v>0</v>
      </c>
      <c r="AH258" s="662">
        <v>0</v>
      </c>
      <c r="AI258" s="662">
        <v>0</v>
      </c>
      <c r="AJ258" s="662">
        <v>0</v>
      </c>
      <c r="AK258" s="802">
        <v>0</v>
      </c>
      <c r="AL258" s="662">
        <v>0</v>
      </c>
      <c r="AM258" s="662">
        <v>0</v>
      </c>
      <c r="AN258" s="662">
        <v>0</v>
      </c>
      <c r="AO258" s="662">
        <v>0</v>
      </c>
      <c r="AP258" s="662">
        <v>0</v>
      </c>
      <c r="AQ258" s="802">
        <v>0</v>
      </c>
      <c r="AR258" s="662">
        <v>0</v>
      </c>
      <c r="AS258" s="662">
        <v>0</v>
      </c>
      <c r="AT258" s="662">
        <v>0</v>
      </c>
      <c r="AU258" s="662">
        <v>0</v>
      </c>
      <c r="AV258" s="662">
        <v>0</v>
      </c>
      <c r="AW258" s="662">
        <v>0</v>
      </c>
      <c r="AX258" s="662">
        <v>0</v>
      </c>
      <c r="AY258" s="662">
        <v>0</v>
      </c>
      <c r="AZ258" s="662">
        <v>0</v>
      </c>
      <c r="BA258" s="662">
        <v>0</v>
      </c>
      <c r="BB258" s="662">
        <v>0</v>
      </c>
      <c r="BC258" s="662">
        <v>0</v>
      </c>
      <c r="BD258" s="662">
        <v>0</v>
      </c>
      <c r="BE258" s="802">
        <v>0</v>
      </c>
      <c r="BF258" s="662">
        <v>0</v>
      </c>
      <c r="BG258" s="662">
        <v>0</v>
      </c>
      <c r="BH258" s="662">
        <v>0</v>
      </c>
      <c r="BI258" s="662">
        <v>0</v>
      </c>
      <c r="BJ258" s="662">
        <v>551805</v>
      </c>
      <c r="BK258" s="662">
        <v>0</v>
      </c>
      <c r="BL258" s="662">
        <v>0</v>
      </c>
      <c r="BM258" s="662">
        <v>0</v>
      </c>
      <c r="BN258" s="662">
        <v>0</v>
      </c>
      <c r="BO258" s="662">
        <v>0</v>
      </c>
      <c r="BP258" s="662">
        <v>0</v>
      </c>
      <c r="BQ258" s="662">
        <v>0</v>
      </c>
      <c r="BR258" s="662">
        <v>0</v>
      </c>
      <c r="BS258" s="662">
        <v>0</v>
      </c>
      <c r="BT258" s="662">
        <v>0</v>
      </c>
      <c r="BU258" s="662">
        <v>0</v>
      </c>
      <c r="BV258" s="662">
        <v>0</v>
      </c>
      <c r="BW258" s="662">
        <v>0</v>
      </c>
      <c r="BX258" s="662">
        <v>0</v>
      </c>
      <c r="BY258" s="662">
        <v>0</v>
      </c>
      <c r="BZ258" s="662">
        <v>0</v>
      </c>
      <c r="CA258" s="662">
        <v>0</v>
      </c>
      <c r="CB258" s="662">
        <v>0</v>
      </c>
      <c r="CC258" s="662">
        <v>0</v>
      </c>
      <c r="CD258" s="662">
        <v>0</v>
      </c>
      <c r="CE258" s="662">
        <v>0</v>
      </c>
      <c r="CF258" s="662">
        <v>0</v>
      </c>
      <c r="CG258" s="662">
        <v>0</v>
      </c>
      <c r="CH258" s="662">
        <v>0</v>
      </c>
      <c r="CI258" s="662">
        <v>0</v>
      </c>
      <c r="CJ258" s="662">
        <v>0</v>
      </c>
      <c r="CK258" s="662">
        <v>0</v>
      </c>
      <c r="CL258" s="662">
        <v>19100</v>
      </c>
      <c r="CM258" s="662">
        <v>0</v>
      </c>
      <c r="CN258" s="662">
        <v>0</v>
      </c>
      <c r="CO258" s="662">
        <v>0</v>
      </c>
      <c r="CP258" s="662">
        <v>0</v>
      </c>
      <c r="CQ258" s="662">
        <v>0</v>
      </c>
      <c r="CR258" s="662">
        <v>0</v>
      </c>
      <c r="CS258" s="662">
        <v>68100</v>
      </c>
      <c r="CT258" s="662">
        <v>0</v>
      </c>
      <c r="CU258" s="662">
        <v>0</v>
      </c>
      <c r="CV258" s="662">
        <v>0</v>
      </c>
      <c r="CW258" s="662">
        <v>0</v>
      </c>
      <c r="CX258" s="662">
        <v>0</v>
      </c>
      <c r="CY258" s="662">
        <v>0</v>
      </c>
      <c r="CZ258" s="662">
        <v>0</v>
      </c>
      <c r="DA258" s="662">
        <v>0</v>
      </c>
      <c r="DB258" s="662">
        <v>0</v>
      </c>
      <c r="DC258" s="662">
        <v>0</v>
      </c>
      <c r="DD258" s="662">
        <v>0</v>
      </c>
      <c r="DE258" s="662">
        <v>0</v>
      </c>
      <c r="DF258" s="662">
        <v>0</v>
      </c>
      <c r="DG258" s="662">
        <v>0</v>
      </c>
      <c r="DH258" s="662">
        <v>0</v>
      </c>
      <c r="DI258" s="662">
        <v>0</v>
      </c>
      <c r="DJ258" s="662">
        <v>0</v>
      </c>
      <c r="DK258" s="662">
        <v>0</v>
      </c>
      <c r="DL258" s="662">
        <v>0</v>
      </c>
      <c r="DM258" s="662">
        <v>0</v>
      </c>
      <c r="DN258" s="662">
        <v>879000</v>
      </c>
      <c r="DO258" s="662">
        <v>0</v>
      </c>
      <c r="DP258" s="662">
        <v>0</v>
      </c>
      <c r="DQ258" s="662">
        <v>0</v>
      </c>
      <c r="DR258" s="662">
        <v>0</v>
      </c>
      <c r="DS258" s="662">
        <v>0</v>
      </c>
      <c r="DT258" s="662">
        <v>0</v>
      </c>
      <c r="DU258" s="662">
        <v>0</v>
      </c>
      <c r="DV258" s="662">
        <v>0</v>
      </c>
      <c r="DW258" s="662">
        <v>0</v>
      </c>
      <c r="DX258" s="662">
        <v>0</v>
      </c>
      <c r="DY258" s="662">
        <v>0</v>
      </c>
      <c r="DZ258" s="662">
        <v>0</v>
      </c>
      <c r="EA258" s="662">
        <v>0</v>
      </c>
      <c r="EB258" s="662">
        <v>141431</v>
      </c>
      <c r="EC258" s="662">
        <v>0</v>
      </c>
      <c r="ED258" s="662">
        <v>0</v>
      </c>
      <c r="EE258" s="662">
        <v>0</v>
      </c>
      <c r="EF258" s="662">
        <v>0</v>
      </c>
      <c r="EG258" s="662">
        <v>0</v>
      </c>
      <c r="EH258" s="662">
        <v>0</v>
      </c>
      <c r="EI258" s="662">
        <v>665200</v>
      </c>
      <c r="EJ258" s="662">
        <v>0</v>
      </c>
      <c r="EK258" s="662">
        <v>0</v>
      </c>
      <c r="EL258" s="662">
        <v>0</v>
      </c>
      <c r="EM258" s="662">
        <v>0</v>
      </c>
      <c r="EN258" s="662">
        <v>0</v>
      </c>
      <c r="EO258" s="662">
        <v>0</v>
      </c>
      <c r="EP258" s="662">
        <v>0</v>
      </c>
      <c r="EQ258" s="662">
        <v>0</v>
      </c>
    </row>
    <row r="259" spans="1:149" ht="13.95" customHeight="1" x14ac:dyDescent="0.3">
      <c r="A259" s="660" t="s">
        <v>1915</v>
      </c>
      <c r="B259" s="661" t="s">
        <v>269</v>
      </c>
      <c r="C259" s="662">
        <v>47416</v>
      </c>
      <c r="D259" s="662">
        <v>0</v>
      </c>
      <c r="E259" s="662">
        <v>46725</v>
      </c>
      <c r="F259" s="662">
        <v>10307622</v>
      </c>
      <c r="G259" s="662">
        <v>0</v>
      </c>
      <c r="H259" s="662">
        <v>0</v>
      </c>
      <c r="I259" s="662">
        <v>10091089</v>
      </c>
      <c r="J259" s="802">
        <v>206</v>
      </c>
      <c r="K259" s="662">
        <v>0</v>
      </c>
      <c r="L259" s="662">
        <v>179</v>
      </c>
      <c r="M259" s="662">
        <v>14610</v>
      </c>
      <c r="N259" s="662">
        <v>0</v>
      </c>
      <c r="O259" s="662">
        <v>0</v>
      </c>
      <c r="P259" s="662">
        <v>14610</v>
      </c>
      <c r="Q259" s="802">
        <v>0</v>
      </c>
      <c r="R259" s="662">
        <v>0</v>
      </c>
      <c r="S259" s="662">
        <v>0</v>
      </c>
      <c r="T259" s="662">
        <v>0</v>
      </c>
      <c r="U259" s="662">
        <v>0</v>
      </c>
      <c r="V259" s="662">
        <v>0</v>
      </c>
      <c r="W259" s="802">
        <v>2</v>
      </c>
      <c r="X259" s="662">
        <v>0</v>
      </c>
      <c r="Y259" s="662">
        <v>2</v>
      </c>
      <c r="Z259" s="662">
        <v>150</v>
      </c>
      <c r="AA259" s="662">
        <v>0</v>
      </c>
      <c r="AB259" s="662">
        <v>0</v>
      </c>
      <c r="AC259" s="662">
        <v>140</v>
      </c>
      <c r="AD259" s="802">
        <v>0</v>
      </c>
      <c r="AE259" s="662">
        <v>0</v>
      </c>
      <c r="AF259" s="662">
        <v>0</v>
      </c>
      <c r="AG259" s="662">
        <v>0</v>
      </c>
      <c r="AH259" s="662">
        <v>0</v>
      </c>
      <c r="AI259" s="662">
        <v>0</v>
      </c>
      <c r="AJ259" s="662">
        <v>0</v>
      </c>
      <c r="AK259" s="802">
        <v>91</v>
      </c>
      <c r="AL259" s="662">
        <v>85</v>
      </c>
      <c r="AM259" s="662">
        <v>6784</v>
      </c>
      <c r="AN259" s="662">
        <v>0</v>
      </c>
      <c r="AO259" s="662">
        <v>0</v>
      </c>
      <c r="AP259" s="662">
        <v>6784</v>
      </c>
      <c r="AQ259" s="802">
        <v>69</v>
      </c>
      <c r="AR259" s="662">
        <v>0</v>
      </c>
      <c r="AS259" s="662">
        <v>69</v>
      </c>
      <c r="AT259" s="662">
        <v>14770</v>
      </c>
      <c r="AU259" s="662">
        <v>0</v>
      </c>
      <c r="AV259" s="662">
        <v>0</v>
      </c>
      <c r="AW259" s="662">
        <v>13861</v>
      </c>
      <c r="AX259" s="662">
        <v>0</v>
      </c>
      <c r="AY259" s="662">
        <v>0</v>
      </c>
      <c r="AZ259" s="662">
        <v>0</v>
      </c>
      <c r="BA259" s="662">
        <v>0</v>
      </c>
      <c r="BB259" s="662">
        <v>0</v>
      </c>
      <c r="BC259" s="662">
        <v>0</v>
      </c>
      <c r="BD259" s="662">
        <v>0</v>
      </c>
      <c r="BE259" s="802">
        <v>26</v>
      </c>
      <c r="BF259" s="662">
        <v>0</v>
      </c>
      <c r="BG259" s="662">
        <v>23</v>
      </c>
      <c r="BH259" s="662">
        <v>2810</v>
      </c>
      <c r="BI259" s="662">
        <v>0</v>
      </c>
      <c r="BJ259" s="662">
        <v>0</v>
      </c>
      <c r="BK259" s="662">
        <v>2810</v>
      </c>
      <c r="BL259" s="662">
        <v>70</v>
      </c>
      <c r="BM259" s="662">
        <v>0</v>
      </c>
      <c r="BN259" s="662">
        <v>68</v>
      </c>
      <c r="BO259" s="662">
        <v>8320</v>
      </c>
      <c r="BP259" s="662">
        <v>0</v>
      </c>
      <c r="BQ259" s="662">
        <v>0</v>
      </c>
      <c r="BR259" s="662">
        <v>8120</v>
      </c>
      <c r="BS259" s="662">
        <v>11</v>
      </c>
      <c r="BT259" s="662">
        <v>0</v>
      </c>
      <c r="BU259" s="662">
        <v>11</v>
      </c>
      <c r="BV259" s="662">
        <v>900</v>
      </c>
      <c r="BW259" s="662">
        <v>0</v>
      </c>
      <c r="BX259" s="662">
        <v>0</v>
      </c>
      <c r="BY259" s="662">
        <v>900</v>
      </c>
      <c r="BZ259" s="662">
        <v>16</v>
      </c>
      <c r="CA259" s="662">
        <v>0</v>
      </c>
      <c r="CB259" s="662">
        <v>16</v>
      </c>
      <c r="CC259" s="662">
        <v>1647</v>
      </c>
      <c r="CD259" s="662">
        <v>0</v>
      </c>
      <c r="CE259" s="662">
        <v>0</v>
      </c>
      <c r="CF259" s="662">
        <v>1612</v>
      </c>
      <c r="CG259" s="662">
        <v>984</v>
      </c>
      <c r="CH259" s="662">
        <v>0</v>
      </c>
      <c r="CI259" s="662">
        <v>968</v>
      </c>
      <c r="CJ259" s="662">
        <v>176040</v>
      </c>
      <c r="CK259" s="662">
        <v>0</v>
      </c>
      <c r="CL259" s="662">
        <v>0</v>
      </c>
      <c r="CM259" s="662">
        <v>160700</v>
      </c>
      <c r="CN259" s="662">
        <v>673</v>
      </c>
      <c r="CO259" s="662">
        <v>0</v>
      </c>
      <c r="CP259" s="662">
        <v>673</v>
      </c>
      <c r="CQ259" s="662">
        <v>151265</v>
      </c>
      <c r="CR259" s="662">
        <v>0</v>
      </c>
      <c r="CS259" s="662">
        <v>0</v>
      </c>
      <c r="CT259" s="662">
        <v>151265</v>
      </c>
      <c r="CU259" s="662">
        <v>60</v>
      </c>
      <c r="CV259" s="662">
        <v>0</v>
      </c>
      <c r="CW259" s="662">
        <v>60</v>
      </c>
      <c r="CX259" s="662">
        <v>6000</v>
      </c>
      <c r="CY259" s="662">
        <v>0</v>
      </c>
      <c r="CZ259" s="662">
        <v>0</v>
      </c>
      <c r="DA259" s="662">
        <v>6000</v>
      </c>
      <c r="DB259" s="662">
        <v>69</v>
      </c>
      <c r="DC259" s="662">
        <v>0</v>
      </c>
      <c r="DD259" s="662">
        <v>61</v>
      </c>
      <c r="DE259" s="662">
        <v>10662</v>
      </c>
      <c r="DF259" s="662">
        <v>0</v>
      </c>
      <c r="DG259" s="662">
        <v>0</v>
      </c>
      <c r="DH259" s="662">
        <v>10462</v>
      </c>
      <c r="DI259" s="662">
        <v>24985</v>
      </c>
      <c r="DJ259" s="662">
        <v>0</v>
      </c>
      <c r="DK259" s="662">
        <v>24455</v>
      </c>
      <c r="DL259" s="662">
        <v>6161550</v>
      </c>
      <c r="DM259" s="662">
        <v>0</v>
      </c>
      <c r="DN259" s="662">
        <v>0</v>
      </c>
      <c r="DO259" s="662">
        <v>5995215</v>
      </c>
      <c r="DP259" s="662">
        <v>489</v>
      </c>
      <c r="DQ259" s="662">
        <v>0</v>
      </c>
      <c r="DR259" s="662">
        <v>485</v>
      </c>
      <c r="DS259" s="662">
        <v>124228</v>
      </c>
      <c r="DT259" s="662">
        <v>0</v>
      </c>
      <c r="DU259" s="662">
        <v>0</v>
      </c>
      <c r="DV259" s="662">
        <v>123471</v>
      </c>
      <c r="DW259" s="662">
        <v>328</v>
      </c>
      <c r="DX259" s="662">
        <v>0</v>
      </c>
      <c r="DY259" s="662">
        <v>328</v>
      </c>
      <c r="DZ259" s="662">
        <v>56306</v>
      </c>
      <c r="EA259" s="662">
        <v>0</v>
      </c>
      <c r="EB259" s="662">
        <v>0</v>
      </c>
      <c r="EC259" s="662">
        <v>54759</v>
      </c>
      <c r="ED259" s="662">
        <v>18776</v>
      </c>
      <c r="EE259" s="662">
        <v>0</v>
      </c>
      <c r="EF259" s="662">
        <v>18681</v>
      </c>
      <c r="EG259" s="662">
        <v>3546480</v>
      </c>
      <c r="EH259" s="662">
        <v>0</v>
      </c>
      <c r="EI259" s="662">
        <v>0</v>
      </c>
      <c r="EJ259" s="662">
        <v>3515280</v>
      </c>
      <c r="EK259" s="662">
        <v>561</v>
      </c>
      <c r="EL259" s="662">
        <v>0</v>
      </c>
      <c r="EM259" s="662">
        <v>561</v>
      </c>
      <c r="EN259" s="662">
        <v>25100</v>
      </c>
      <c r="EO259" s="662">
        <v>0</v>
      </c>
      <c r="EP259" s="662">
        <v>0</v>
      </c>
      <c r="EQ259" s="662">
        <v>25100</v>
      </c>
    </row>
    <row r="260" spans="1:149" ht="20.7" customHeight="1" x14ac:dyDescent="0.3">
      <c r="A260" s="660" t="s">
        <v>1916</v>
      </c>
      <c r="B260" s="661" t="s">
        <v>269</v>
      </c>
      <c r="C260" s="662">
        <v>0</v>
      </c>
      <c r="D260" s="662">
        <v>0</v>
      </c>
      <c r="E260" s="662">
        <v>0</v>
      </c>
      <c r="F260" s="662">
        <v>0</v>
      </c>
      <c r="G260" s="662">
        <v>0</v>
      </c>
      <c r="H260" s="662">
        <v>0</v>
      </c>
      <c r="I260" s="662">
        <v>0</v>
      </c>
      <c r="J260" s="802">
        <v>0</v>
      </c>
      <c r="K260" s="662">
        <v>0</v>
      </c>
      <c r="L260" s="662">
        <v>0</v>
      </c>
      <c r="M260" s="662">
        <v>0</v>
      </c>
      <c r="N260" s="662">
        <v>0</v>
      </c>
      <c r="O260" s="662">
        <v>0</v>
      </c>
      <c r="P260" s="662">
        <v>0</v>
      </c>
      <c r="Q260" s="802">
        <v>0</v>
      </c>
      <c r="R260" s="662">
        <v>0</v>
      </c>
      <c r="S260" s="662">
        <v>0</v>
      </c>
      <c r="T260" s="662">
        <v>0</v>
      </c>
      <c r="U260" s="662">
        <v>0</v>
      </c>
      <c r="V260" s="662">
        <v>0</v>
      </c>
      <c r="W260" s="802">
        <v>0</v>
      </c>
      <c r="X260" s="662">
        <v>0</v>
      </c>
      <c r="Y260" s="662">
        <v>0</v>
      </c>
      <c r="Z260" s="662">
        <v>0</v>
      </c>
      <c r="AA260" s="662">
        <v>0</v>
      </c>
      <c r="AB260" s="662">
        <v>0</v>
      </c>
      <c r="AC260" s="662">
        <v>0</v>
      </c>
      <c r="AD260" s="802">
        <v>0</v>
      </c>
      <c r="AE260" s="662">
        <v>0</v>
      </c>
      <c r="AF260" s="662">
        <v>0</v>
      </c>
      <c r="AG260" s="662">
        <v>0</v>
      </c>
      <c r="AH260" s="662">
        <v>0</v>
      </c>
      <c r="AI260" s="662">
        <v>0</v>
      </c>
      <c r="AJ260" s="662">
        <v>0</v>
      </c>
      <c r="AK260" s="802">
        <v>0</v>
      </c>
      <c r="AL260" s="662">
        <v>0</v>
      </c>
      <c r="AM260" s="662">
        <v>0</v>
      </c>
      <c r="AN260" s="662">
        <v>0</v>
      </c>
      <c r="AO260" s="662">
        <v>0</v>
      </c>
      <c r="AP260" s="662">
        <v>0</v>
      </c>
      <c r="AQ260" s="802">
        <v>0</v>
      </c>
      <c r="AR260" s="662">
        <v>0</v>
      </c>
      <c r="AS260" s="662">
        <v>0</v>
      </c>
      <c r="AT260" s="662">
        <v>0</v>
      </c>
      <c r="AU260" s="662">
        <v>0</v>
      </c>
      <c r="AV260" s="662">
        <v>0</v>
      </c>
      <c r="AW260" s="662">
        <v>0</v>
      </c>
      <c r="AX260" s="662">
        <v>0</v>
      </c>
      <c r="AY260" s="662">
        <v>0</v>
      </c>
      <c r="AZ260" s="662">
        <v>0</v>
      </c>
      <c r="BA260" s="662">
        <v>0</v>
      </c>
      <c r="BB260" s="662">
        <v>0</v>
      </c>
      <c r="BC260" s="662">
        <v>0</v>
      </c>
      <c r="BD260" s="662">
        <v>0</v>
      </c>
      <c r="BE260" s="802">
        <v>0</v>
      </c>
      <c r="BF260" s="662">
        <v>0</v>
      </c>
      <c r="BG260" s="662">
        <v>0</v>
      </c>
      <c r="BH260" s="662">
        <v>0</v>
      </c>
      <c r="BI260" s="662">
        <v>0</v>
      </c>
      <c r="BJ260" s="662">
        <v>0</v>
      </c>
      <c r="BK260" s="662">
        <v>0</v>
      </c>
      <c r="BL260" s="662">
        <v>0</v>
      </c>
      <c r="BM260" s="662">
        <v>0</v>
      </c>
      <c r="BN260" s="662">
        <v>0</v>
      </c>
      <c r="BO260" s="662">
        <v>0</v>
      </c>
      <c r="BP260" s="662">
        <v>0</v>
      </c>
      <c r="BQ260" s="662">
        <v>0</v>
      </c>
      <c r="BR260" s="662">
        <v>0</v>
      </c>
      <c r="BS260" s="662">
        <v>0</v>
      </c>
      <c r="BT260" s="662">
        <v>0</v>
      </c>
      <c r="BU260" s="662">
        <v>0</v>
      </c>
      <c r="BV260" s="662">
        <v>0</v>
      </c>
      <c r="BW260" s="662">
        <v>0</v>
      </c>
      <c r="BX260" s="662">
        <v>0</v>
      </c>
      <c r="BY260" s="662">
        <v>0</v>
      </c>
      <c r="BZ260" s="662">
        <v>0</v>
      </c>
      <c r="CA260" s="662">
        <v>0</v>
      </c>
      <c r="CB260" s="662">
        <v>0</v>
      </c>
      <c r="CC260" s="662">
        <v>0</v>
      </c>
      <c r="CD260" s="662">
        <v>0</v>
      </c>
      <c r="CE260" s="662">
        <v>0</v>
      </c>
      <c r="CF260" s="662">
        <v>0</v>
      </c>
      <c r="CG260" s="662">
        <v>0</v>
      </c>
      <c r="CH260" s="662">
        <v>0</v>
      </c>
      <c r="CI260" s="662">
        <v>0</v>
      </c>
      <c r="CJ260" s="662">
        <v>0</v>
      </c>
      <c r="CK260" s="662">
        <v>0</v>
      </c>
      <c r="CL260" s="662">
        <v>0</v>
      </c>
      <c r="CM260" s="662">
        <v>0</v>
      </c>
      <c r="CN260" s="662">
        <v>0</v>
      </c>
      <c r="CO260" s="662">
        <v>0</v>
      </c>
      <c r="CP260" s="662">
        <v>0</v>
      </c>
      <c r="CQ260" s="662">
        <v>0</v>
      </c>
      <c r="CR260" s="662">
        <v>0</v>
      </c>
      <c r="CS260" s="662">
        <v>0</v>
      </c>
      <c r="CT260" s="662">
        <v>0</v>
      </c>
      <c r="CU260" s="662">
        <v>0</v>
      </c>
      <c r="CV260" s="662">
        <v>0</v>
      </c>
      <c r="CW260" s="662">
        <v>0</v>
      </c>
      <c r="CX260" s="662">
        <v>0</v>
      </c>
      <c r="CY260" s="662">
        <v>0</v>
      </c>
      <c r="CZ260" s="662">
        <v>0</v>
      </c>
      <c r="DA260" s="662">
        <v>0</v>
      </c>
      <c r="DB260" s="662">
        <v>0</v>
      </c>
      <c r="DC260" s="662">
        <v>0</v>
      </c>
      <c r="DD260" s="662">
        <v>0</v>
      </c>
      <c r="DE260" s="662">
        <v>0</v>
      </c>
      <c r="DF260" s="662">
        <v>0</v>
      </c>
      <c r="DG260" s="662">
        <v>0</v>
      </c>
      <c r="DH260" s="662">
        <v>0</v>
      </c>
      <c r="DI260" s="662">
        <v>0</v>
      </c>
      <c r="DJ260" s="662">
        <v>0</v>
      </c>
      <c r="DK260" s="662">
        <v>0</v>
      </c>
      <c r="DL260" s="662">
        <v>0</v>
      </c>
      <c r="DM260" s="662">
        <v>0</v>
      </c>
      <c r="DN260" s="662">
        <v>0</v>
      </c>
      <c r="DO260" s="662">
        <v>0</v>
      </c>
      <c r="DP260" s="662">
        <v>0</v>
      </c>
      <c r="DQ260" s="662">
        <v>0</v>
      </c>
      <c r="DR260" s="662">
        <v>0</v>
      </c>
      <c r="DS260" s="662">
        <v>0</v>
      </c>
      <c r="DT260" s="662">
        <v>0</v>
      </c>
      <c r="DU260" s="662">
        <v>0</v>
      </c>
      <c r="DV260" s="662">
        <v>0</v>
      </c>
      <c r="DW260" s="662">
        <v>0</v>
      </c>
      <c r="DX260" s="662">
        <v>0</v>
      </c>
      <c r="DY260" s="662">
        <v>0</v>
      </c>
      <c r="DZ260" s="662">
        <v>0</v>
      </c>
      <c r="EA260" s="662">
        <v>0</v>
      </c>
      <c r="EB260" s="662">
        <v>0</v>
      </c>
      <c r="EC260" s="662">
        <v>0</v>
      </c>
      <c r="ED260" s="662">
        <v>0</v>
      </c>
      <c r="EE260" s="662">
        <v>0</v>
      </c>
      <c r="EF260" s="662">
        <v>0</v>
      </c>
      <c r="EG260" s="662">
        <v>0</v>
      </c>
      <c r="EH260" s="662">
        <v>0</v>
      </c>
      <c r="EI260" s="662">
        <v>0</v>
      </c>
      <c r="EJ260" s="662">
        <v>0</v>
      </c>
      <c r="EK260" s="662">
        <v>0</v>
      </c>
      <c r="EL260" s="662">
        <v>0</v>
      </c>
      <c r="EM260" s="662">
        <v>0</v>
      </c>
      <c r="EN260" s="662">
        <v>0</v>
      </c>
      <c r="EO260" s="662">
        <v>0</v>
      </c>
      <c r="EP260" s="662">
        <v>0</v>
      </c>
      <c r="EQ260" s="662">
        <v>0</v>
      </c>
    </row>
    <row r="261" spans="1:149" ht="13.95" customHeight="1" x14ac:dyDescent="0.3">
      <c r="A261" s="660" t="s">
        <v>1917</v>
      </c>
      <c r="B261" s="661" t="s">
        <v>269</v>
      </c>
      <c r="C261" s="662">
        <v>0</v>
      </c>
      <c r="D261" s="662">
        <v>0</v>
      </c>
      <c r="E261" s="662">
        <v>0</v>
      </c>
      <c r="F261" s="662">
        <v>0</v>
      </c>
      <c r="G261" s="662">
        <v>0</v>
      </c>
      <c r="H261" s="662">
        <v>0</v>
      </c>
      <c r="I261" s="662">
        <v>0</v>
      </c>
      <c r="J261" s="802">
        <v>0</v>
      </c>
      <c r="K261" s="662">
        <v>0</v>
      </c>
      <c r="L261" s="662">
        <v>0</v>
      </c>
      <c r="M261" s="662">
        <v>0</v>
      </c>
      <c r="N261" s="662">
        <v>0</v>
      </c>
      <c r="O261" s="662">
        <v>0</v>
      </c>
      <c r="P261" s="662">
        <v>0</v>
      </c>
      <c r="Q261" s="802">
        <v>0</v>
      </c>
      <c r="R261" s="662">
        <v>0</v>
      </c>
      <c r="S261" s="662">
        <v>0</v>
      </c>
      <c r="T261" s="662">
        <v>0</v>
      </c>
      <c r="U261" s="662">
        <v>0</v>
      </c>
      <c r="V261" s="662">
        <v>0</v>
      </c>
      <c r="W261" s="802">
        <v>0</v>
      </c>
      <c r="X261" s="662">
        <v>0</v>
      </c>
      <c r="Y261" s="662">
        <v>0</v>
      </c>
      <c r="Z261" s="662">
        <v>0</v>
      </c>
      <c r="AA261" s="662">
        <v>0</v>
      </c>
      <c r="AB261" s="662">
        <v>0</v>
      </c>
      <c r="AC261" s="662">
        <v>0</v>
      </c>
      <c r="AD261" s="802">
        <v>0</v>
      </c>
      <c r="AE261" s="662">
        <v>0</v>
      </c>
      <c r="AF261" s="662">
        <v>0</v>
      </c>
      <c r="AG261" s="662">
        <v>0</v>
      </c>
      <c r="AH261" s="662">
        <v>0</v>
      </c>
      <c r="AI261" s="662">
        <v>0</v>
      </c>
      <c r="AJ261" s="662">
        <v>0</v>
      </c>
      <c r="AK261" s="802">
        <v>0</v>
      </c>
      <c r="AL261" s="662">
        <v>0</v>
      </c>
      <c r="AM261" s="662">
        <v>0</v>
      </c>
      <c r="AN261" s="662">
        <v>0</v>
      </c>
      <c r="AO261" s="662">
        <v>0</v>
      </c>
      <c r="AP261" s="662">
        <v>0</v>
      </c>
      <c r="AQ261" s="802">
        <v>0</v>
      </c>
      <c r="AR261" s="662">
        <v>0</v>
      </c>
      <c r="AS261" s="662">
        <v>0</v>
      </c>
      <c r="AT261" s="662">
        <v>0</v>
      </c>
      <c r="AU261" s="662">
        <v>0</v>
      </c>
      <c r="AV261" s="662">
        <v>0</v>
      </c>
      <c r="AW261" s="662">
        <v>0</v>
      </c>
      <c r="AX261" s="662">
        <v>0</v>
      </c>
      <c r="AY261" s="662">
        <v>0</v>
      </c>
      <c r="AZ261" s="662">
        <v>0</v>
      </c>
      <c r="BA261" s="662">
        <v>0</v>
      </c>
      <c r="BB261" s="662">
        <v>0</v>
      </c>
      <c r="BC261" s="662">
        <v>0</v>
      </c>
      <c r="BD261" s="662">
        <v>0</v>
      </c>
      <c r="BE261" s="802">
        <v>0</v>
      </c>
      <c r="BF261" s="662">
        <v>0</v>
      </c>
      <c r="BG261" s="662">
        <v>0</v>
      </c>
      <c r="BH261" s="662">
        <v>0</v>
      </c>
      <c r="BI261" s="662">
        <v>0</v>
      </c>
      <c r="BJ261" s="662">
        <v>0</v>
      </c>
      <c r="BK261" s="662">
        <v>0</v>
      </c>
      <c r="BL261" s="662">
        <v>0</v>
      </c>
      <c r="BM261" s="662">
        <v>0</v>
      </c>
      <c r="BN261" s="662">
        <v>0</v>
      </c>
      <c r="BO261" s="662">
        <v>0</v>
      </c>
      <c r="BP261" s="662">
        <v>0</v>
      </c>
      <c r="BQ261" s="662">
        <v>0</v>
      </c>
      <c r="BR261" s="662">
        <v>0</v>
      </c>
      <c r="BS261" s="662">
        <v>0</v>
      </c>
      <c r="BT261" s="662">
        <v>0</v>
      </c>
      <c r="BU261" s="662">
        <v>0</v>
      </c>
      <c r="BV261" s="662">
        <v>0</v>
      </c>
      <c r="BW261" s="662">
        <v>0</v>
      </c>
      <c r="BX261" s="662">
        <v>0</v>
      </c>
      <c r="BY261" s="662">
        <v>0</v>
      </c>
      <c r="BZ261" s="662">
        <v>0</v>
      </c>
      <c r="CA261" s="662">
        <v>0</v>
      </c>
      <c r="CB261" s="662">
        <v>0</v>
      </c>
      <c r="CC261" s="662">
        <v>0</v>
      </c>
      <c r="CD261" s="662">
        <v>0</v>
      </c>
      <c r="CE261" s="662">
        <v>0</v>
      </c>
      <c r="CF261" s="662">
        <v>0</v>
      </c>
      <c r="CG261" s="662">
        <v>0</v>
      </c>
      <c r="CH261" s="662">
        <v>0</v>
      </c>
      <c r="CI261" s="662">
        <v>0</v>
      </c>
      <c r="CJ261" s="662">
        <v>0</v>
      </c>
      <c r="CK261" s="662">
        <v>0</v>
      </c>
      <c r="CL261" s="662">
        <v>0</v>
      </c>
      <c r="CM261" s="662">
        <v>0</v>
      </c>
      <c r="CN261" s="662">
        <v>0</v>
      </c>
      <c r="CO261" s="662">
        <v>0</v>
      </c>
      <c r="CP261" s="662">
        <v>0</v>
      </c>
      <c r="CQ261" s="662">
        <v>0</v>
      </c>
      <c r="CR261" s="662">
        <v>0</v>
      </c>
      <c r="CS261" s="662">
        <v>0</v>
      </c>
      <c r="CT261" s="662">
        <v>0</v>
      </c>
      <c r="CU261" s="662">
        <v>0</v>
      </c>
      <c r="CV261" s="662">
        <v>0</v>
      </c>
      <c r="CW261" s="662">
        <v>0</v>
      </c>
      <c r="CX261" s="662">
        <v>0</v>
      </c>
      <c r="CY261" s="662">
        <v>0</v>
      </c>
      <c r="CZ261" s="662">
        <v>0</v>
      </c>
      <c r="DA261" s="662">
        <v>0</v>
      </c>
      <c r="DB261" s="662">
        <v>0</v>
      </c>
      <c r="DC261" s="662">
        <v>0</v>
      </c>
      <c r="DD261" s="662">
        <v>0</v>
      </c>
      <c r="DE261" s="662">
        <v>0</v>
      </c>
      <c r="DF261" s="662">
        <v>0</v>
      </c>
      <c r="DG261" s="662">
        <v>0</v>
      </c>
      <c r="DH261" s="662">
        <v>0</v>
      </c>
      <c r="DI261" s="662">
        <v>0</v>
      </c>
      <c r="DJ261" s="662">
        <v>0</v>
      </c>
      <c r="DK261" s="662">
        <v>0</v>
      </c>
      <c r="DL261" s="662">
        <v>0</v>
      </c>
      <c r="DM261" s="662">
        <v>0</v>
      </c>
      <c r="DN261" s="662">
        <v>0</v>
      </c>
      <c r="DO261" s="662">
        <v>0</v>
      </c>
      <c r="DP261" s="662">
        <v>0</v>
      </c>
      <c r="DQ261" s="662">
        <v>0</v>
      </c>
      <c r="DR261" s="662">
        <v>0</v>
      </c>
      <c r="DS261" s="662">
        <v>0</v>
      </c>
      <c r="DT261" s="662">
        <v>0</v>
      </c>
      <c r="DU261" s="662">
        <v>0</v>
      </c>
      <c r="DV261" s="662">
        <v>0</v>
      </c>
      <c r="DW261" s="662">
        <v>0</v>
      </c>
      <c r="DX261" s="662">
        <v>0</v>
      </c>
      <c r="DY261" s="662">
        <v>0</v>
      </c>
      <c r="DZ261" s="662">
        <v>0</v>
      </c>
      <c r="EA261" s="662">
        <v>0</v>
      </c>
      <c r="EB261" s="662">
        <v>0</v>
      </c>
      <c r="EC261" s="662">
        <v>0</v>
      </c>
      <c r="ED261" s="662">
        <v>0</v>
      </c>
      <c r="EE261" s="662">
        <v>0</v>
      </c>
      <c r="EF261" s="662">
        <v>0</v>
      </c>
      <c r="EG261" s="662">
        <v>0</v>
      </c>
      <c r="EH261" s="662">
        <v>0</v>
      </c>
      <c r="EI261" s="662">
        <v>0</v>
      </c>
      <c r="EJ261" s="662">
        <v>0</v>
      </c>
      <c r="EK261" s="662">
        <v>0</v>
      </c>
      <c r="EL261" s="662">
        <v>0</v>
      </c>
      <c r="EM261" s="662">
        <v>0</v>
      </c>
      <c r="EN261" s="662">
        <v>0</v>
      </c>
      <c r="EO261" s="662">
        <v>0</v>
      </c>
      <c r="EP261" s="662">
        <v>0</v>
      </c>
      <c r="EQ261" s="662">
        <v>0</v>
      </c>
    </row>
    <row r="262" spans="1:149" ht="20.7" customHeight="1" x14ac:dyDescent="0.3">
      <c r="A262" s="660" t="s">
        <v>1918</v>
      </c>
      <c r="B262" s="661" t="s">
        <v>269</v>
      </c>
      <c r="C262" s="662">
        <f t="shared" ref="C262:BN262" si="106">C263</f>
        <v>1164568</v>
      </c>
      <c r="D262" s="662">
        <f t="shared" si="106"/>
        <v>0</v>
      </c>
      <c r="E262" s="662">
        <f t="shared" si="106"/>
        <v>1139468</v>
      </c>
      <c r="F262" s="662">
        <f t="shared" si="106"/>
        <v>23174206</v>
      </c>
      <c r="G262" s="662">
        <f t="shared" si="106"/>
        <v>0</v>
      </c>
      <c r="H262" s="662">
        <f t="shared" si="106"/>
        <v>0</v>
      </c>
      <c r="I262" s="662">
        <f t="shared" si="106"/>
        <v>21941049</v>
      </c>
      <c r="J262" s="802">
        <f t="shared" si="106"/>
        <v>132</v>
      </c>
      <c r="K262" s="662">
        <f t="shared" si="106"/>
        <v>0</v>
      </c>
      <c r="L262" s="662">
        <f t="shared" si="106"/>
        <v>112</v>
      </c>
      <c r="M262" s="662">
        <f t="shared" si="106"/>
        <v>1018</v>
      </c>
      <c r="N262" s="662">
        <f t="shared" si="106"/>
        <v>0</v>
      </c>
      <c r="O262" s="662">
        <f t="shared" si="106"/>
        <v>0</v>
      </c>
      <c r="P262" s="662">
        <f t="shared" si="106"/>
        <v>1018</v>
      </c>
      <c r="Q262" s="802">
        <f t="shared" si="106"/>
        <v>0</v>
      </c>
      <c r="R262" s="662">
        <f t="shared" si="106"/>
        <v>0</v>
      </c>
      <c r="S262" s="662">
        <f t="shared" si="106"/>
        <v>0</v>
      </c>
      <c r="T262" s="662">
        <f t="shared" si="106"/>
        <v>0</v>
      </c>
      <c r="U262" s="662">
        <f t="shared" si="106"/>
        <v>0</v>
      </c>
      <c r="V262" s="662">
        <f t="shared" si="106"/>
        <v>0</v>
      </c>
      <c r="W262" s="802">
        <f t="shared" si="106"/>
        <v>16840</v>
      </c>
      <c r="X262" s="662">
        <f t="shared" si="106"/>
        <v>0</v>
      </c>
      <c r="Y262" s="662">
        <f t="shared" si="106"/>
        <v>16340</v>
      </c>
      <c r="Z262" s="662">
        <f t="shared" si="106"/>
        <v>212400</v>
      </c>
      <c r="AA262" s="662">
        <f t="shared" si="106"/>
        <v>0</v>
      </c>
      <c r="AB262" s="662">
        <f t="shared" si="106"/>
        <v>0</v>
      </c>
      <c r="AC262" s="662">
        <f t="shared" si="106"/>
        <v>195400</v>
      </c>
      <c r="AD262" s="802">
        <f t="shared" si="106"/>
        <v>2394</v>
      </c>
      <c r="AE262" s="662">
        <f t="shared" si="106"/>
        <v>0</v>
      </c>
      <c r="AF262" s="662">
        <f t="shared" si="106"/>
        <v>2325</v>
      </c>
      <c r="AG262" s="662">
        <f t="shared" si="106"/>
        <v>7185</v>
      </c>
      <c r="AH262" s="662">
        <f t="shared" si="106"/>
        <v>0</v>
      </c>
      <c r="AI262" s="662">
        <f t="shared" si="106"/>
        <v>0</v>
      </c>
      <c r="AJ262" s="662">
        <f t="shared" si="106"/>
        <v>7185</v>
      </c>
      <c r="AK262" s="802">
        <f t="shared" si="106"/>
        <v>392</v>
      </c>
      <c r="AL262" s="662">
        <f t="shared" si="106"/>
        <v>387</v>
      </c>
      <c r="AM262" s="662">
        <f t="shared" si="106"/>
        <v>28000</v>
      </c>
      <c r="AN262" s="662">
        <f t="shared" si="106"/>
        <v>0</v>
      </c>
      <c r="AO262" s="662">
        <f t="shared" si="106"/>
        <v>0</v>
      </c>
      <c r="AP262" s="662">
        <f t="shared" si="106"/>
        <v>28000</v>
      </c>
      <c r="AQ262" s="802">
        <f t="shared" si="106"/>
        <v>5160</v>
      </c>
      <c r="AR262" s="662">
        <f t="shared" si="106"/>
        <v>0</v>
      </c>
      <c r="AS262" s="662">
        <f t="shared" si="106"/>
        <v>5113</v>
      </c>
      <c r="AT262" s="662">
        <f t="shared" si="106"/>
        <v>39294</v>
      </c>
      <c r="AU262" s="662">
        <f t="shared" si="106"/>
        <v>0</v>
      </c>
      <c r="AV262" s="662">
        <f t="shared" si="106"/>
        <v>0</v>
      </c>
      <c r="AW262" s="662">
        <f t="shared" si="106"/>
        <v>37310</v>
      </c>
      <c r="AX262" s="662">
        <f t="shared" si="106"/>
        <v>625</v>
      </c>
      <c r="AY262" s="662">
        <f t="shared" si="106"/>
        <v>0</v>
      </c>
      <c r="AZ262" s="662">
        <f t="shared" si="106"/>
        <v>437</v>
      </c>
      <c r="BA262" s="662">
        <f t="shared" si="106"/>
        <v>15174</v>
      </c>
      <c r="BB262" s="662">
        <f t="shared" si="106"/>
        <v>0</v>
      </c>
      <c r="BC262" s="662">
        <f t="shared" si="106"/>
        <v>0</v>
      </c>
      <c r="BD262" s="662">
        <f t="shared" si="106"/>
        <v>14770</v>
      </c>
      <c r="BE262" s="802">
        <f t="shared" si="106"/>
        <v>4155</v>
      </c>
      <c r="BF262" s="662">
        <f t="shared" si="106"/>
        <v>0</v>
      </c>
      <c r="BG262" s="662">
        <f t="shared" si="106"/>
        <v>3598</v>
      </c>
      <c r="BH262" s="662">
        <f t="shared" si="106"/>
        <v>35827</v>
      </c>
      <c r="BI262" s="662">
        <f t="shared" si="106"/>
        <v>0</v>
      </c>
      <c r="BJ262" s="662">
        <f t="shared" si="106"/>
        <v>0</v>
      </c>
      <c r="BK262" s="662">
        <f t="shared" si="106"/>
        <v>35827</v>
      </c>
      <c r="BL262" s="662">
        <f t="shared" si="106"/>
        <v>89929</v>
      </c>
      <c r="BM262" s="662">
        <f t="shared" si="106"/>
        <v>0</v>
      </c>
      <c r="BN262" s="662">
        <f t="shared" si="106"/>
        <v>83458</v>
      </c>
      <c r="BO262" s="662">
        <f t="shared" ref="BO262:DZ262" si="107">BO263</f>
        <v>816883</v>
      </c>
      <c r="BP262" s="662">
        <f t="shared" si="107"/>
        <v>0</v>
      </c>
      <c r="BQ262" s="662">
        <f t="shared" si="107"/>
        <v>0</v>
      </c>
      <c r="BR262" s="662">
        <f t="shared" si="107"/>
        <v>748851</v>
      </c>
      <c r="BS262" s="662">
        <f t="shared" si="107"/>
        <v>27001</v>
      </c>
      <c r="BT262" s="662">
        <f t="shared" si="107"/>
        <v>0</v>
      </c>
      <c r="BU262" s="662">
        <f t="shared" si="107"/>
        <v>25301</v>
      </c>
      <c r="BV262" s="662">
        <f t="shared" si="107"/>
        <v>603850</v>
      </c>
      <c r="BW262" s="662">
        <f t="shared" si="107"/>
        <v>0</v>
      </c>
      <c r="BX262" s="662">
        <f t="shared" si="107"/>
        <v>0</v>
      </c>
      <c r="BY262" s="662">
        <f t="shared" si="107"/>
        <v>603850</v>
      </c>
      <c r="BZ262" s="662">
        <f t="shared" si="107"/>
        <v>9606</v>
      </c>
      <c r="CA262" s="662">
        <f t="shared" si="107"/>
        <v>0</v>
      </c>
      <c r="CB262" s="662">
        <f t="shared" si="107"/>
        <v>9454</v>
      </c>
      <c r="CC262" s="662">
        <f t="shared" si="107"/>
        <v>253830</v>
      </c>
      <c r="CD262" s="662">
        <f t="shared" si="107"/>
        <v>0</v>
      </c>
      <c r="CE262" s="662">
        <f t="shared" si="107"/>
        <v>0</v>
      </c>
      <c r="CF262" s="662">
        <f t="shared" si="107"/>
        <v>239641</v>
      </c>
      <c r="CG262" s="662">
        <f t="shared" si="107"/>
        <v>82931</v>
      </c>
      <c r="CH262" s="662">
        <f t="shared" si="107"/>
        <v>0</v>
      </c>
      <c r="CI262" s="662">
        <f t="shared" si="107"/>
        <v>78231</v>
      </c>
      <c r="CJ262" s="662">
        <f t="shared" si="107"/>
        <v>1594493</v>
      </c>
      <c r="CK262" s="662">
        <f t="shared" si="107"/>
        <v>0</v>
      </c>
      <c r="CL262" s="662">
        <f t="shared" si="107"/>
        <v>0</v>
      </c>
      <c r="CM262" s="662">
        <f t="shared" si="107"/>
        <v>1497129</v>
      </c>
      <c r="CN262" s="662">
        <f t="shared" si="107"/>
        <v>41895</v>
      </c>
      <c r="CO262" s="662">
        <f t="shared" si="107"/>
        <v>0</v>
      </c>
      <c r="CP262" s="662">
        <f t="shared" si="107"/>
        <v>41634</v>
      </c>
      <c r="CQ262" s="662">
        <f t="shared" si="107"/>
        <v>1264937</v>
      </c>
      <c r="CR262" s="662">
        <f t="shared" si="107"/>
        <v>0</v>
      </c>
      <c r="CS262" s="662">
        <f t="shared" si="107"/>
        <v>0</v>
      </c>
      <c r="CT262" s="662">
        <f t="shared" si="107"/>
        <v>1251560</v>
      </c>
      <c r="CU262" s="662">
        <f t="shared" si="107"/>
        <v>14335</v>
      </c>
      <c r="CV262" s="662">
        <f t="shared" si="107"/>
        <v>0</v>
      </c>
      <c r="CW262" s="662">
        <f t="shared" si="107"/>
        <v>14335</v>
      </c>
      <c r="CX262" s="662">
        <f t="shared" si="107"/>
        <v>576500</v>
      </c>
      <c r="CY262" s="662">
        <f t="shared" si="107"/>
        <v>0</v>
      </c>
      <c r="CZ262" s="662">
        <f t="shared" si="107"/>
        <v>0</v>
      </c>
      <c r="DA262" s="662">
        <f t="shared" si="107"/>
        <v>576500</v>
      </c>
      <c r="DB262" s="662">
        <f t="shared" si="107"/>
        <v>75763</v>
      </c>
      <c r="DC262" s="662">
        <f t="shared" si="107"/>
        <v>0</v>
      </c>
      <c r="DD262" s="662">
        <f t="shared" si="107"/>
        <v>73066</v>
      </c>
      <c r="DE262" s="662">
        <f t="shared" si="107"/>
        <v>1788240</v>
      </c>
      <c r="DF262" s="662">
        <f t="shared" si="107"/>
        <v>0</v>
      </c>
      <c r="DG262" s="662">
        <f t="shared" si="107"/>
        <v>0</v>
      </c>
      <c r="DH262" s="662">
        <f t="shared" si="107"/>
        <v>1661260</v>
      </c>
      <c r="DI262" s="662">
        <f t="shared" si="107"/>
        <v>384300</v>
      </c>
      <c r="DJ262" s="662">
        <f t="shared" si="107"/>
        <v>0</v>
      </c>
      <c r="DK262" s="662">
        <f t="shared" si="107"/>
        <v>382800</v>
      </c>
      <c r="DL262" s="662">
        <f t="shared" si="107"/>
        <v>5821900</v>
      </c>
      <c r="DM262" s="662">
        <f t="shared" si="107"/>
        <v>0</v>
      </c>
      <c r="DN262" s="662">
        <f t="shared" si="107"/>
        <v>0</v>
      </c>
      <c r="DO262" s="662">
        <f t="shared" si="107"/>
        <v>5534590</v>
      </c>
      <c r="DP262" s="662">
        <f t="shared" si="107"/>
        <v>26086</v>
      </c>
      <c r="DQ262" s="662">
        <f t="shared" si="107"/>
        <v>0</v>
      </c>
      <c r="DR262" s="662">
        <f t="shared" si="107"/>
        <v>25985</v>
      </c>
      <c r="DS262" s="662">
        <f t="shared" si="107"/>
        <v>307357</v>
      </c>
      <c r="DT262" s="662">
        <f t="shared" si="107"/>
        <v>0</v>
      </c>
      <c r="DU262" s="662">
        <f t="shared" si="107"/>
        <v>0</v>
      </c>
      <c r="DV262" s="662">
        <f t="shared" si="107"/>
        <v>290794</v>
      </c>
      <c r="DW262" s="662">
        <f t="shared" si="107"/>
        <v>184529</v>
      </c>
      <c r="DX262" s="662">
        <f t="shared" si="107"/>
        <v>0</v>
      </c>
      <c r="DY262" s="662">
        <f t="shared" si="107"/>
        <v>183657</v>
      </c>
      <c r="DZ262" s="662">
        <f t="shared" si="107"/>
        <v>6025771</v>
      </c>
      <c r="EA262" s="662">
        <f t="shared" ref="EA262:EQ262" si="108">EA263</f>
        <v>0</v>
      </c>
      <c r="EB262" s="662">
        <f t="shared" si="108"/>
        <v>0</v>
      </c>
      <c r="EC262" s="662">
        <f t="shared" si="108"/>
        <v>5590389</v>
      </c>
      <c r="ED262" s="662">
        <f t="shared" si="108"/>
        <v>157891</v>
      </c>
      <c r="EE262" s="662">
        <f t="shared" si="108"/>
        <v>0</v>
      </c>
      <c r="EF262" s="662">
        <f t="shared" si="108"/>
        <v>154431</v>
      </c>
      <c r="EG262" s="662">
        <f t="shared" si="108"/>
        <v>3411665</v>
      </c>
      <c r="EH262" s="662">
        <f t="shared" si="108"/>
        <v>0</v>
      </c>
      <c r="EI262" s="662">
        <f t="shared" si="108"/>
        <v>0</v>
      </c>
      <c r="EJ262" s="662">
        <f t="shared" si="108"/>
        <v>3250225</v>
      </c>
      <c r="EK262" s="662">
        <f t="shared" si="108"/>
        <v>40604</v>
      </c>
      <c r="EL262" s="662">
        <f t="shared" si="108"/>
        <v>0</v>
      </c>
      <c r="EM262" s="662">
        <f t="shared" si="108"/>
        <v>38804</v>
      </c>
      <c r="EN262" s="662">
        <f t="shared" si="108"/>
        <v>369882</v>
      </c>
      <c r="EO262" s="662">
        <f t="shared" si="108"/>
        <v>0</v>
      </c>
      <c r="EP262" s="662">
        <f t="shared" si="108"/>
        <v>0</v>
      </c>
      <c r="EQ262" s="662">
        <f t="shared" si="108"/>
        <v>376750</v>
      </c>
    </row>
    <row r="263" spans="1:149" ht="13.95" customHeight="1" x14ac:dyDescent="0.3">
      <c r="A263" s="660" t="s">
        <v>1919</v>
      </c>
      <c r="B263" s="661" t="s">
        <v>269</v>
      </c>
      <c r="C263" s="662">
        <v>1164568</v>
      </c>
      <c r="D263" s="662">
        <v>0</v>
      </c>
      <c r="E263" s="662">
        <v>1139468</v>
      </c>
      <c r="F263" s="662">
        <v>23174206</v>
      </c>
      <c r="G263" s="662">
        <v>0</v>
      </c>
      <c r="H263" s="662">
        <v>0</v>
      </c>
      <c r="I263" s="662">
        <v>21941049</v>
      </c>
      <c r="J263" s="802">
        <v>132</v>
      </c>
      <c r="K263" s="662">
        <v>0</v>
      </c>
      <c r="L263" s="662">
        <v>112</v>
      </c>
      <c r="M263" s="662">
        <v>1018</v>
      </c>
      <c r="N263" s="662">
        <v>0</v>
      </c>
      <c r="O263" s="662">
        <v>0</v>
      </c>
      <c r="P263" s="662">
        <v>1018</v>
      </c>
      <c r="Q263" s="802">
        <v>0</v>
      </c>
      <c r="R263" s="662">
        <v>0</v>
      </c>
      <c r="S263" s="662">
        <v>0</v>
      </c>
      <c r="T263" s="662">
        <v>0</v>
      </c>
      <c r="U263" s="662">
        <v>0</v>
      </c>
      <c r="V263" s="662">
        <v>0</v>
      </c>
      <c r="W263" s="802">
        <v>16840</v>
      </c>
      <c r="X263" s="662">
        <v>0</v>
      </c>
      <c r="Y263" s="662">
        <v>16340</v>
      </c>
      <c r="Z263" s="662">
        <v>212400</v>
      </c>
      <c r="AA263" s="662">
        <v>0</v>
      </c>
      <c r="AB263" s="662">
        <v>0</v>
      </c>
      <c r="AC263" s="662">
        <v>195400</v>
      </c>
      <c r="AD263" s="802">
        <v>2394</v>
      </c>
      <c r="AE263" s="662">
        <v>0</v>
      </c>
      <c r="AF263" s="662">
        <v>2325</v>
      </c>
      <c r="AG263" s="662">
        <v>7185</v>
      </c>
      <c r="AH263" s="662">
        <v>0</v>
      </c>
      <c r="AI263" s="662">
        <v>0</v>
      </c>
      <c r="AJ263" s="662">
        <v>7185</v>
      </c>
      <c r="AK263" s="802">
        <v>392</v>
      </c>
      <c r="AL263" s="662">
        <v>387</v>
      </c>
      <c r="AM263" s="662">
        <v>28000</v>
      </c>
      <c r="AN263" s="662">
        <v>0</v>
      </c>
      <c r="AO263" s="662">
        <v>0</v>
      </c>
      <c r="AP263" s="662">
        <v>28000</v>
      </c>
      <c r="AQ263" s="802">
        <v>5160</v>
      </c>
      <c r="AR263" s="662">
        <v>0</v>
      </c>
      <c r="AS263" s="662">
        <v>5113</v>
      </c>
      <c r="AT263" s="662">
        <v>39294</v>
      </c>
      <c r="AU263" s="662">
        <v>0</v>
      </c>
      <c r="AV263" s="662">
        <v>0</v>
      </c>
      <c r="AW263" s="662">
        <v>37310</v>
      </c>
      <c r="AX263" s="662">
        <v>625</v>
      </c>
      <c r="AY263" s="662">
        <v>0</v>
      </c>
      <c r="AZ263" s="662">
        <v>437</v>
      </c>
      <c r="BA263" s="662">
        <v>15174</v>
      </c>
      <c r="BB263" s="662">
        <v>0</v>
      </c>
      <c r="BC263" s="662">
        <v>0</v>
      </c>
      <c r="BD263" s="662">
        <v>14770</v>
      </c>
      <c r="BE263" s="802">
        <v>4155</v>
      </c>
      <c r="BF263" s="662">
        <v>0</v>
      </c>
      <c r="BG263" s="662">
        <v>3598</v>
      </c>
      <c r="BH263" s="662">
        <v>35827</v>
      </c>
      <c r="BI263" s="662">
        <v>0</v>
      </c>
      <c r="BJ263" s="662">
        <v>0</v>
      </c>
      <c r="BK263" s="662">
        <v>35827</v>
      </c>
      <c r="BL263" s="662">
        <v>89929</v>
      </c>
      <c r="BM263" s="662">
        <v>0</v>
      </c>
      <c r="BN263" s="662">
        <v>83458</v>
      </c>
      <c r="BO263" s="662">
        <v>816883</v>
      </c>
      <c r="BP263" s="662">
        <v>0</v>
      </c>
      <c r="BQ263" s="662">
        <v>0</v>
      </c>
      <c r="BR263" s="662">
        <v>748851</v>
      </c>
      <c r="BS263" s="662">
        <v>27001</v>
      </c>
      <c r="BT263" s="662">
        <v>0</v>
      </c>
      <c r="BU263" s="662">
        <v>25301</v>
      </c>
      <c r="BV263" s="662">
        <v>603850</v>
      </c>
      <c r="BW263" s="662">
        <v>0</v>
      </c>
      <c r="BX263" s="662">
        <v>0</v>
      </c>
      <c r="BY263" s="662">
        <v>603850</v>
      </c>
      <c r="BZ263" s="662">
        <v>9606</v>
      </c>
      <c r="CA263" s="662">
        <v>0</v>
      </c>
      <c r="CB263" s="662">
        <v>9454</v>
      </c>
      <c r="CC263" s="662">
        <v>253830</v>
      </c>
      <c r="CD263" s="662">
        <v>0</v>
      </c>
      <c r="CE263" s="662">
        <v>0</v>
      </c>
      <c r="CF263" s="662">
        <v>239641</v>
      </c>
      <c r="CG263" s="662">
        <v>82931</v>
      </c>
      <c r="CH263" s="662">
        <v>0</v>
      </c>
      <c r="CI263" s="662">
        <v>78231</v>
      </c>
      <c r="CJ263" s="662">
        <v>1594493</v>
      </c>
      <c r="CK263" s="662">
        <v>0</v>
      </c>
      <c r="CL263" s="662">
        <v>0</v>
      </c>
      <c r="CM263" s="662">
        <v>1497129</v>
      </c>
      <c r="CN263" s="662">
        <v>41895</v>
      </c>
      <c r="CO263" s="662">
        <v>0</v>
      </c>
      <c r="CP263" s="662">
        <v>41634</v>
      </c>
      <c r="CQ263" s="662">
        <v>1264937</v>
      </c>
      <c r="CR263" s="662">
        <v>0</v>
      </c>
      <c r="CS263" s="662">
        <v>0</v>
      </c>
      <c r="CT263" s="662">
        <v>1251560</v>
      </c>
      <c r="CU263" s="662">
        <v>14335</v>
      </c>
      <c r="CV263" s="662">
        <v>0</v>
      </c>
      <c r="CW263" s="662">
        <v>14335</v>
      </c>
      <c r="CX263" s="662">
        <v>576500</v>
      </c>
      <c r="CY263" s="662">
        <v>0</v>
      </c>
      <c r="CZ263" s="662">
        <v>0</v>
      </c>
      <c r="DA263" s="662">
        <v>576500</v>
      </c>
      <c r="DB263" s="662">
        <v>75763</v>
      </c>
      <c r="DC263" s="662">
        <v>0</v>
      </c>
      <c r="DD263" s="662">
        <v>73066</v>
      </c>
      <c r="DE263" s="662">
        <v>1788240</v>
      </c>
      <c r="DF263" s="662">
        <v>0</v>
      </c>
      <c r="DG263" s="662">
        <v>0</v>
      </c>
      <c r="DH263" s="662">
        <v>1661260</v>
      </c>
      <c r="DI263" s="662">
        <v>384300</v>
      </c>
      <c r="DJ263" s="662">
        <v>0</v>
      </c>
      <c r="DK263" s="662">
        <v>382800</v>
      </c>
      <c r="DL263" s="662">
        <v>5821900</v>
      </c>
      <c r="DM263" s="662">
        <v>0</v>
      </c>
      <c r="DN263" s="662">
        <v>0</v>
      </c>
      <c r="DO263" s="662">
        <v>5534590</v>
      </c>
      <c r="DP263" s="662">
        <v>26086</v>
      </c>
      <c r="DQ263" s="662">
        <v>0</v>
      </c>
      <c r="DR263" s="662">
        <v>25985</v>
      </c>
      <c r="DS263" s="662">
        <v>307357</v>
      </c>
      <c r="DT263" s="662">
        <v>0</v>
      </c>
      <c r="DU263" s="662">
        <v>0</v>
      </c>
      <c r="DV263" s="662">
        <v>290794</v>
      </c>
      <c r="DW263" s="662">
        <v>184529</v>
      </c>
      <c r="DX263" s="662">
        <v>0</v>
      </c>
      <c r="DY263" s="662">
        <v>183657</v>
      </c>
      <c r="DZ263" s="662">
        <v>6025771</v>
      </c>
      <c r="EA263" s="662">
        <v>0</v>
      </c>
      <c r="EB263" s="662">
        <v>0</v>
      </c>
      <c r="EC263" s="662">
        <v>5590389</v>
      </c>
      <c r="ED263" s="662">
        <v>157891</v>
      </c>
      <c r="EE263" s="662">
        <v>0</v>
      </c>
      <c r="EF263" s="662">
        <v>154431</v>
      </c>
      <c r="EG263" s="662">
        <v>3411665</v>
      </c>
      <c r="EH263" s="662">
        <v>0</v>
      </c>
      <c r="EI263" s="662">
        <v>0</v>
      </c>
      <c r="EJ263" s="662">
        <v>3250225</v>
      </c>
      <c r="EK263" s="662">
        <v>40604</v>
      </c>
      <c r="EL263" s="662">
        <v>0</v>
      </c>
      <c r="EM263" s="662">
        <v>38804</v>
      </c>
      <c r="EN263" s="662">
        <v>369882</v>
      </c>
      <c r="EO263" s="662">
        <v>0</v>
      </c>
      <c r="EP263" s="662">
        <v>0</v>
      </c>
      <c r="EQ263" s="662">
        <v>376750</v>
      </c>
    </row>
    <row r="264" spans="1:149" ht="13.95" customHeight="1" x14ac:dyDescent="0.3">
      <c r="A264" s="660" t="s">
        <v>1920</v>
      </c>
      <c r="B264" s="661" t="s">
        <v>269</v>
      </c>
      <c r="C264" s="662">
        <v>0</v>
      </c>
      <c r="D264" s="662">
        <v>0</v>
      </c>
      <c r="E264" s="662">
        <v>0</v>
      </c>
      <c r="F264" s="662">
        <v>0</v>
      </c>
      <c r="G264" s="662">
        <v>0</v>
      </c>
      <c r="H264" s="662">
        <v>0</v>
      </c>
      <c r="I264" s="662">
        <v>759748</v>
      </c>
      <c r="J264" s="802">
        <v>0</v>
      </c>
      <c r="K264" s="662">
        <v>0</v>
      </c>
      <c r="L264" s="662">
        <v>0</v>
      </c>
      <c r="M264" s="662">
        <v>0</v>
      </c>
      <c r="N264" s="662">
        <v>0</v>
      </c>
      <c r="O264" s="662">
        <v>0</v>
      </c>
      <c r="P264" s="662">
        <v>70</v>
      </c>
      <c r="Q264" s="802">
        <v>0</v>
      </c>
      <c r="R264" s="662">
        <v>0</v>
      </c>
      <c r="S264" s="662">
        <v>0</v>
      </c>
      <c r="T264" s="662">
        <v>0</v>
      </c>
      <c r="U264" s="662">
        <v>0</v>
      </c>
      <c r="V264" s="662">
        <v>0</v>
      </c>
      <c r="W264" s="802">
        <v>0</v>
      </c>
      <c r="X264" s="662">
        <v>0</v>
      </c>
      <c r="Y264" s="662">
        <v>0</v>
      </c>
      <c r="Z264" s="662">
        <v>0</v>
      </c>
      <c r="AA264" s="662">
        <v>0</v>
      </c>
      <c r="AB264" s="662">
        <v>0</v>
      </c>
      <c r="AC264" s="662">
        <v>21000</v>
      </c>
      <c r="AD264" s="802">
        <v>0</v>
      </c>
      <c r="AE264" s="662">
        <v>0</v>
      </c>
      <c r="AF264" s="662">
        <v>0</v>
      </c>
      <c r="AG264" s="662">
        <v>0</v>
      </c>
      <c r="AH264" s="662">
        <v>0</v>
      </c>
      <c r="AI264" s="662">
        <v>0</v>
      </c>
      <c r="AJ264" s="662">
        <v>0</v>
      </c>
      <c r="AK264" s="802">
        <v>0</v>
      </c>
      <c r="AL264" s="662">
        <v>0</v>
      </c>
      <c r="AM264" s="662">
        <v>0</v>
      </c>
      <c r="AN264" s="662">
        <v>0</v>
      </c>
      <c r="AO264" s="662">
        <v>0</v>
      </c>
      <c r="AP264" s="662">
        <v>0</v>
      </c>
      <c r="AQ264" s="802">
        <v>0</v>
      </c>
      <c r="AR264" s="662">
        <v>0</v>
      </c>
      <c r="AS264" s="662">
        <v>0</v>
      </c>
      <c r="AT264" s="662">
        <v>0</v>
      </c>
      <c r="AU264" s="662">
        <v>0</v>
      </c>
      <c r="AV264" s="662">
        <v>0</v>
      </c>
      <c r="AW264" s="662">
        <v>47</v>
      </c>
      <c r="AX264" s="662">
        <v>0</v>
      </c>
      <c r="AY264" s="662">
        <v>0</v>
      </c>
      <c r="AZ264" s="662">
        <v>0</v>
      </c>
      <c r="BA264" s="662">
        <v>0</v>
      </c>
      <c r="BB264" s="662">
        <v>0</v>
      </c>
      <c r="BC264" s="662">
        <v>0</v>
      </c>
      <c r="BD264" s="662">
        <v>0</v>
      </c>
      <c r="BE264" s="802">
        <v>0</v>
      </c>
      <c r="BF264" s="662">
        <v>0</v>
      </c>
      <c r="BG264" s="662">
        <v>0</v>
      </c>
      <c r="BH264" s="662">
        <v>0</v>
      </c>
      <c r="BI264" s="662">
        <v>0</v>
      </c>
      <c r="BJ264" s="662">
        <v>0</v>
      </c>
      <c r="BK264" s="662">
        <v>0</v>
      </c>
      <c r="BL264" s="662">
        <v>0</v>
      </c>
      <c r="BM264" s="662">
        <v>0</v>
      </c>
      <c r="BN264" s="662">
        <v>0</v>
      </c>
      <c r="BO264" s="662">
        <v>0</v>
      </c>
      <c r="BP264" s="662">
        <v>0</v>
      </c>
      <c r="BQ264" s="662">
        <v>0</v>
      </c>
      <c r="BR264" s="662">
        <v>711</v>
      </c>
      <c r="BS264" s="662">
        <v>0</v>
      </c>
      <c r="BT264" s="662">
        <v>0</v>
      </c>
      <c r="BU264" s="662">
        <v>0</v>
      </c>
      <c r="BV264" s="662">
        <v>0</v>
      </c>
      <c r="BW264" s="662">
        <v>0</v>
      </c>
      <c r="BX264" s="662">
        <v>0</v>
      </c>
      <c r="BY264" s="662">
        <v>10</v>
      </c>
      <c r="BZ264" s="662">
        <v>0</v>
      </c>
      <c r="CA264" s="662">
        <v>0</v>
      </c>
      <c r="CB264" s="662">
        <v>0</v>
      </c>
      <c r="CC264" s="662">
        <v>0</v>
      </c>
      <c r="CD264" s="662">
        <v>0</v>
      </c>
      <c r="CE264" s="662">
        <v>0</v>
      </c>
      <c r="CF264" s="662">
        <v>7540</v>
      </c>
      <c r="CG264" s="662">
        <v>0</v>
      </c>
      <c r="CH264" s="662">
        <v>0</v>
      </c>
      <c r="CI264" s="662">
        <v>0</v>
      </c>
      <c r="CJ264" s="662">
        <v>0</v>
      </c>
      <c r="CK264" s="662">
        <v>0</v>
      </c>
      <c r="CL264" s="662">
        <v>0</v>
      </c>
      <c r="CM264" s="662">
        <v>49200</v>
      </c>
      <c r="CN264" s="662">
        <v>0</v>
      </c>
      <c r="CO264" s="662">
        <v>0</v>
      </c>
      <c r="CP264" s="662">
        <v>0</v>
      </c>
      <c r="CQ264" s="662">
        <v>0</v>
      </c>
      <c r="CR264" s="662">
        <v>0</v>
      </c>
      <c r="CS264" s="662">
        <v>0</v>
      </c>
      <c r="CT264" s="662">
        <v>13060</v>
      </c>
      <c r="CU264" s="662">
        <v>0</v>
      </c>
      <c r="CV264" s="662">
        <v>0</v>
      </c>
      <c r="CW264" s="662">
        <v>0</v>
      </c>
      <c r="CX264" s="662">
        <v>0</v>
      </c>
      <c r="CY264" s="662">
        <v>0</v>
      </c>
      <c r="CZ264" s="662">
        <v>0</v>
      </c>
      <c r="DA264" s="662">
        <v>2500</v>
      </c>
      <c r="DB264" s="662">
        <v>0</v>
      </c>
      <c r="DC264" s="662">
        <v>0</v>
      </c>
      <c r="DD264" s="662">
        <v>0</v>
      </c>
      <c r="DE264" s="662">
        <v>0</v>
      </c>
      <c r="DF264" s="662">
        <v>0</v>
      </c>
      <c r="DG264" s="662">
        <v>0</v>
      </c>
      <c r="DH264" s="662">
        <v>9180</v>
      </c>
      <c r="DI264" s="662">
        <v>0</v>
      </c>
      <c r="DJ264" s="662">
        <v>0</v>
      </c>
      <c r="DK264" s="662">
        <v>0</v>
      </c>
      <c r="DL264" s="662">
        <v>0</v>
      </c>
      <c r="DM264" s="662">
        <v>0</v>
      </c>
      <c r="DN264" s="662">
        <v>0</v>
      </c>
      <c r="DO264" s="662">
        <v>108590</v>
      </c>
      <c r="DP264" s="662">
        <v>0</v>
      </c>
      <c r="DQ264" s="662">
        <v>0</v>
      </c>
      <c r="DR264" s="662">
        <v>0</v>
      </c>
      <c r="DS264" s="662">
        <v>0</v>
      </c>
      <c r="DT264" s="662">
        <v>0</v>
      </c>
      <c r="DU264" s="662">
        <v>0</v>
      </c>
      <c r="DV264" s="662">
        <v>930</v>
      </c>
      <c r="DW264" s="662">
        <v>0</v>
      </c>
      <c r="DX264" s="662">
        <v>0</v>
      </c>
      <c r="DY264" s="662">
        <v>0</v>
      </c>
      <c r="DZ264" s="662">
        <v>0</v>
      </c>
      <c r="EA264" s="662">
        <v>0</v>
      </c>
      <c r="EB264" s="662">
        <v>0</v>
      </c>
      <c r="EC264" s="662">
        <v>104015</v>
      </c>
      <c r="ED264" s="662">
        <v>0</v>
      </c>
      <c r="EE264" s="662">
        <v>0</v>
      </c>
      <c r="EF264" s="662">
        <v>0</v>
      </c>
      <c r="EG264" s="662">
        <v>0</v>
      </c>
      <c r="EH264" s="662">
        <v>0</v>
      </c>
      <c r="EI264" s="662">
        <v>0</v>
      </c>
      <c r="EJ264" s="662">
        <v>369545</v>
      </c>
      <c r="EK264" s="662">
        <v>0</v>
      </c>
      <c r="EL264" s="662">
        <v>0</v>
      </c>
      <c r="EM264" s="662">
        <v>0</v>
      </c>
      <c r="EN264" s="662">
        <v>0</v>
      </c>
      <c r="EO264" s="662">
        <v>0</v>
      </c>
      <c r="EP264" s="662">
        <v>0</v>
      </c>
      <c r="EQ264" s="662">
        <v>73350</v>
      </c>
    </row>
    <row r="265" spans="1:149" ht="13.95" customHeight="1" x14ac:dyDescent="0.3">
      <c r="A265" s="660" t="s">
        <v>1921</v>
      </c>
      <c r="B265" s="661" t="s">
        <v>269</v>
      </c>
      <c r="C265" s="662">
        <v>0</v>
      </c>
      <c r="D265" s="662">
        <v>0</v>
      </c>
      <c r="E265" s="662">
        <v>0</v>
      </c>
      <c r="F265" s="662">
        <v>0</v>
      </c>
      <c r="G265" s="662">
        <v>0</v>
      </c>
      <c r="H265" s="662">
        <v>0</v>
      </c>
      <c r="I265" s="662">
        <v>21181301</v>
      </c>
      <c r="J265" s="802">
        <v>0</v>
      </c>
      <c r="K265" s="662">
        <v>0</v>
      </c>
      <c r="L265" s="662">
        <v>0</v>
      </c>
      <c r="M265" s="662">
        <v>0</v>
      </c>
      <c r="N265" s="662">
        <v>0</v>
      </c>
      <c r="O265" s="662">
        <v>0</v>
      </c>
      <c r="P265" s="662">
        <v>948</v>
      </c>
      <c r="Q265" s="802">
        <v>0</v>
      </c>
      <c r="R265" s="662">
        <v>0</v>
      </c>
      <c r="S265" s="662">
        <v>0</v>
      </c>
      <c r="T265" s="662">
        <v>0</v>
      </c>
      <c r="U265" s="662">
        <v>0</v>
      </c>
      <c r="V265" s="662">
        <v>0</v>
      </c>
      <c r="W265" s="802">
        <v>0</v>
      </c>
      <c r="X265" s="662">
        <v>0</v>
      </c>
      <c r="Y265" s="662">
        <v>0</v>
      </c>
      <c r="Z265" s="662">
        <v>0</v>
      </c>
      <c r="AA265" s="662">
        <v>0</v>
      </c>
      <c r="AB265" s="662">
        <v>0</v>
      </c>
      <c r="AC265" s="662">
        <v>174400</v>
      </c>
      <c r="AD265" s="802">
        <v>0</v>
      </c>
      <c r="AE265" s="662">
        <v>0</v>
      </c>
      <c r="AF265" s="662">
        <v>0</v>
      </c>
      <c r="AG265" s="662">
        <v>0</v>
      </c>
      <c r="AH265" s="662">
        <v>0</v>
      </c>
      <c r="AI265" s="662">
        <v>0</v>
      </c>
      <c r="AJ265" s="662">
        <v>7185</v>
      </c>
      <c r="AK265" s="802">
        <v>0</v>
      </c>
      <c r="AL265" s="662">
        <v>0</v>
      </c>
      <c r="AM265" s="662">
        <v>0</v>
      </c>
      <c r="AN265" s="662">
        <v>0</v>
      </c>
      <c r="AO265" s="662">
        <v>0</v>
      </c>
      <c r="AP265" s="662">
        <v>28000</v>
      </c>
      <c r="AQ265" s="802">
        <v>0</v>
      </c>
      <c r="AR265" s="662">
        <v>0</v>
      </c>
      <c r="AS265" s="662">
        <v>0</v>
      </c>
      <c r="AT265" s="662">
        <v>0</v>
      </c>
      <c r="AU265" s="662">
        <v>0</v>
      </c>
      <c r="AV265" s="662">
        <v>0</v>
      </c>
      <c r="AW265" s="662">
        <v>37263</v>
      </c>
      <c r="AX265" s="662">
        <v>0</v>
      </c>
      <c r="AY265" s="662">
        <v>0</v>
      </c>
      <c r="AZ265" s="662">
        <v>0</v>
      </c>
      <c r="BA265" s="662">
        <v>0</v>
      </c>
      <c r="BB265" s="662">
        <v>0</v>
      </c>
      <c r="BC265" s="662">
        <v>0</v>
      </c>
      <c r="BD265" s="662">
        <v>14770</v>
      </c>
      <c r="BE265" s="802">
        <v>0</v>
      </c>
      <c r="BF265" s="662">
        <v>0</v>
      </c>
      <c r="BG265" s="662">
        <v>0</v>
      </c>
      <c r="BH265" s="662">
        <v>0</v>
      </c>
      <c r="BI265" s="662">
        <v>0</v>
      </c>
      <c r="BJ265" s="662">
        <v>0</v>
      </c>
      <c r="BK265" s="662">
        <v>35827</v>
      </c>
      <c r="BL265" s="662">
        <v>0</v>
      </c>
      <c r="BM265" s="662">
        <v>0</v>
      </c>
      <c r="BN265" s="662">
        <v>0</v>
      </c>
      <c r="BO265" s="662">
        <v>0</v>
      </c>
      <c r="BP265" s="662">
        <v>0</v>
      </c>
      <c r="BQ265" s="662">
        <v>0</v>
      </c>
      <c r="BR265" s="662">
        <v>748140</v>
      </c>
      <c r="BS265" s="662">
        <v>0</v>
      </c>
      <c r="BT265" s="662">
        <v>0</v>
      </c>
      <c r="BU265" s="662">
        <v>0</v>
      </c>
      <c r="BV265" s="662">
        <v>0</v>
      </c>
      <c r="BW265" s="662">
        <v>0</v>
      </c>
      <c r="BX265" s="662">
        <v>0</v>
      </c>
      <c r="BY265" s="662">
        <v>603840</v>
      </c>
      <c r="BZ265" s="662">
        <v>0</v>
      </c>
      <c r="CA265" s="662">
        <v>0</v>
      </c>
      <c r="CB265" s="662">
        <v>0</v>
      </c>
      <c r="CC265" s="662">
        <v>0</v>
      </c>
      <c r="CD265" s="662">
        <v>0</v>
      </c>
      <c r="CE265" s="662">
        <v>0</v>
      </c>
      <c r="CF265" s="662">
        <v>232101</v>
      </c>
      <c r="CG265" s="662">
        <v>0</v>
      </c>
      <c r="CH265" s="662">
        <v>0</v>
      </c>
      <c r="CI265" s="662">
        <v>0</v>
      </c>
      <c r="CJ265" s="662">
        <v>0</v>
      </c>
      <c r="CK265" s="662">
        <v>0</v>
      </c>
      <c r="CL265" s="662">
        <v>0</v>
      </c>
      <c r="CM265" s="662">
        <v>1447929</v>
      </c>
      <c r="CN265" s="662">
        <v>0</v>
      </c>
      <c r="CO265" s="662">
        <v>0</v>
      </c>
      <c r="CP265" s="662">
        <v>0</v>
      </c>
      <c r="CQ265" s="662">
        <v>0</v>
      </c>
      <c r="CR265" s="662">
        <v>0</v>
      </c>
      <c r="CS265" s="662">
        <v>0</v>
      </c>
      <c r="CT265" s="662">
        <v>1238500</v>
      </c>
      <c r="CU265" s="662">
        <v>0</v>
      </c>
      <c r="CV265" s="662">
        <v>0</v>
      </c>
      <c r="CW265" s="662">
        <v>0</v>
      </c>
      <c r="CX265" s="662">
        <v>0</v>
      </c>
      <c r="CY265" s="662">
        <v>0</v>
      </c>
      <c r="CZ265" s="662">
        <v>0</v>
      </c>
      <c r="DA265" s="662">
        <v>574000</v>
      </c>
      <c r="DB265" s="662">
        <v>0</v>
      </c>
      <c r="DC265" s="662">
        <v>0</v>
      </c>
      <c r="DD265" s="662">
        <v>0</v>
      </c>
      <c r="DE265" s="662">
        <v>0</v>
      </c>
      <c r="DF265" s="662">
        <v>0</v>
      </c>
      <c r="DG265" s="662">
        <v>0</v>
      </c>
      <c r="DH265" s="662">
        <v>1652080</v>
      </c>
      <c r="DI265" s="662">
        <v>0</v>
      </c>
      <c r="DJ265" s="662">
        <v>0</v>
      </c>
      <c r="DK265" s="662">
        <v>0</v>
      </c>
      <c r="DL265" s="662">
        <v>0</v>
      </c>
      <c r="DM265" s="662">
        <v>0</v>
      </c>
      <c r="DN265" s="662">
        <v>0</v>
      </c>
      <c r="DO265" s="662">
        <v>5426000</v>
      </c>
      <c r="DP265" s="662">
        <v>0</v>
      </c>
      <c r="DQ265" s="662">
        <v>0</v>
      </c>
      <c r="DR265" s="662">
        <v>0</v>
      </c>
      <c r="DS265" s="662">
        <v>0</v>
      </c>
      <c r="DT265" s="662">
        <v>0</v>
      </c>
      <c r="DU265" s="662">
        <v>0</v>
      </c>
      <c r="DV265" s="662">
        <v>289864</v>
      </c>
      <c r="DW265" s="662">
        <v>0</v>
      </c>
      <c r="DX265" s="662">
        <v>0</v>
      </c>
      <c r="DY265" s="662">
        <v>0</v>
      </c>
      <c r="DZ265" s="662">
        <v>0</v>
      </c>
      <c r="EA265" s="662">
        <v>0</v>
      </c>
      <c r="EB265" s="662">
        <v>0</v>
      </c>
      <c r="EC265" s="662">
        <v>5486374</v>
      </c>
      <c r="ED265" s="662">
        <v>0</v>
      </c>
      <c r="EE265" s="662">
        <v>0</v>
      </c>
      <c r="EF265" s="662">
        <v>0</v>
      </c>
      <c r="EG265" s="662">
        <v>0</v>
      </c>
      <c r="EH265" s="662">
        <v>0</v>
      </c>
      <c r="EI265" s="662">
        <v>0</v>
      </c>
      <c r="EJ265" s="662">
        <v>2880680</v>
      </c>
      <c r="EK265" s="662">
        <v>0</v>
      </c>
      <c r="EL265" s="662">
        <v>0</v>
      </c>
      <c r="EM265" s="662">
        <v>0</v>
      </c>
      <c r="EN265" s="662">
        <v>0</v>
      </c>
      <c r="EO265" s="662">
        <v>0</v>
      </c>
      <c r="EP265" s="662">
        <v>0</v>
      </c>
      <c r="EQ265" s="662">
        <v>303400</v>
      </c>
    </row>
    <row r="266" spans="1:149" ht="13.95" customHeight="1" x14ac:dyDescent="0.3">
      <c r="A266" s="660" t="s">
        <v>1922</v>
      </c>
      <c r="B266" s="661" t="s">
        <v>269</v>
      </c>
      <c r="C266" s="662">
        <v>0</v>
      </c>
      <c r="D266" s="662">
        <v>0</v>
      </c>
      <c r="E266" s="662">
        <v>0</v>
      </c>
      <c r="F266" s="662">
        <v>3365814</v>
      </c>
      <c r="G266" s="662">
        <v>0</v>
      </c>
      <c r="H266" s="662">
        <v>0</v>
      </c>
      <c r="I266" s="662">
        <v>0</v>
      </c>
      <c r="J266" s="802">
        <v>0</v>
      </c>
      <c r="K266" s="662">
        <v>0</v>
      </c>
      <c r="L266" s="662">
        <v>0</v>
      </c>
      <c r="M266" s="662">
        <v>95</v>
      </c>
      <c r="N266" s="662">
        <v>0</v>
      </c>
      <c r="O266" s="662">
        <v>0</v>
      </c>
      <c r="P266" s="662">
        <v>0</v>
      </c>
      <c r="Q266" s="802">
        <v>0</v>
      </c>
      <c r="R266" s="662">
        <v>0</v>
      </c>
      <c r="S266" s="662">
        <v>0</v>
      </c>
      <c r="T266" s="662">
        <v>0</v>
      </c>
      <c r="U266" s="662">
        <v>0</v>
      </c>
      <c r="V266" s="662">
        <v>0</v>
      </c>
      <c r="W266" s="802">
        <v>0</v>
      </c>
      <c r="X266" s="662">
        <v>0</v>
      </c>
      <c r="Y266" s="662">
        <v>0</v>
      </c>
      <c r="Z266" s="662">
        <v>21446</v>
      </c>
      <c r="AA266" s="662">
        <v>0</v>
      </c>
      <c r="AB266" s="662">
        <v>0</v>
      </c>
      <c r="AC266" s="662">
        <v>0</v>
      </c>
      <c r="AD266" s="802">
        <v>0</v>
      </c>
      <c r="AE266" s="662">
        <v>0</v>
      </c>
      <c r="AF266" s="662">
        <v>0</v>
      </c>
      <c r="AG266" s="662">
        <v>915</v>
      </c>
      <c r="AH266" s="662">
        <v>0</v>
      </c>
      <c r="AI266" s="662">
        <v>0</v>
      </c>
      <c r="AJ266" s="662">
        <v>0</v>
      </c>
      <c r="AK266" s="802">
        <v>0</v>
      </c>
      <c r="AL266" s="662">
        <v>0</v>
      </c>
      <c r="AM266" s="662">
        <v>4000</v>
      </c>
      <c r="AN266" s="662">
        <v>0</v>
      </c>
      <c r="AO266" s="662">
        <v>0</v>
      </c>
      <c r="AP266" s="662">
        <v>0</v>
      </c>
      <c r="AQ266" s="802">
        <v>0</v>
      </c>
      <c r="AR266" s="662">
        <v>0</v>
      </c>
      <c r="AS266" s="662">
        <v>0</v>
      </c>
      <c r="AT266" s="662">
        <v>5042</v>
      </c>
      <c r="AU266" s="662">
        <v>0</v>
      </c>
      <c r="AV266" s="662">
        <v>0</v>
      </c>
      <c r="AW266" s="662">
        <v>0</v>
      </c>
      <c r="AX266" s="662">
        <v>0</v>
      </c>
      <c r="AY266" s="662">
        <v>0</v>
      </c>
      <c r="AZ266" s="662">
        <v>0</v>
      </c>
      <c r="BA266" s="662">
        <v>2314</v>
      </c>
      <c r="BB266" s="662">
        <v>0</v>
      </c>
      <c r="BC266" s="662">
        <v>0</v>
      </c>
      <c r="BD266" s="662">
        <v>0</v>
      </c>
      <c r="BE266" s="802">
        <v>0</v>
      </c>
      <c r="BF266" s="662">
        <v>0</v>
      </c>
      <c r="BG266" s="662">
        <v>0</v>
      </c>
      <c r="BH266" s="662">
        <v>4896</v>
      </c>
      <c r="BI266" s="662">
        <v>0</v>
      </c>
      <c r="BJ266" s="662">
        <v>0</v>
      </c>
      <c r="BK266" s="662">
        <v>0</v>
      </c>
      <c r="BL266" s="662">
        <v>0</v>
      </c>
      <c r="BM266" s="662">
        <v>0</v>
      </c>
      <c r="BN266" s="662">
        <v>0</v>
      </c>
      <c r="BO266" s="662">
        <v>104527</v>
      </c>
      <c r="BP266" s="662">
        <v>0</v>
      </c>
      <c r="BQ266" s="662">
        <v>0</v>
      </c>
      <c r="BR266" s="662">
        <v>0</v>
      </c>
      <c r="BS266" s="662">
        <v>0</v>
      </c>
      <c r="BT266" s="662">
        <v>0</v>
      </c>
      <c r="BU266" s="662">
        <v>0</v>
      </c>
      <c r="BV266" s="662">
        <v>76406</v>
      </c>
      <c r="BW266" s="662">
        <v>0</v>
      </c>
      <c r="BX266" s="662">
        <v>0</v>
      </c>
      <c r="BY266" s="662">
        <v>0</v>
      </c>
      <c r="BZ266" s="662">
        <v>0</v>
      </c>
      <c r="CA266" s="662">
        <v>0</v>
      </c>
      <c r="CB266" s="662">
        <v>0</v>
      </c>
      <c r="CC266" s="662">
        <v>28162</v>
      </c>
      <c r="CD266" s="662">
        <v>0</v>
      </c>
      <c r="CE266" s="662">
        <v>0</v>
      </c>
      <c r="CF266" s="662">
        <v>0</v>
      </c>
      <c r="CG266" s="662">
        <v>0</v>
      </c>
      <c r="CH266" s="662">
        <v>0</v>
      </c>
      <c r="CI266" s="662">
        <v>0</v>
      </c>
      <c r="CJ266" s="662">
        <v>176600</v>
      </c>
      <c r="CK266" s="662">
        <v>0</v>
      </c>
      <c r="CL266" s="662">
        <v>0</v>
      </c>
      <c r="CM266" s="662">
        <v>0</v>
      </c>
      <c r="CN266" s="662">
        <v>0</v>
      </c>
      <c r="CO266" s="662">
        <v>0</v>
      </c>
      <c r="CP266" s="662">
        <v>0</v>
      </c>
      <c r="CQ266" s="662">
        <v>177430</v>
      </c>
      <c r="CR266" s="662">
        <v>0</v>
      </c>
      <c r="CS266" s="662">
        <v>0</v>
      </c>
      <c r="CT266" s="662">
        <v>0</v>
      </c>
      <c r="CU266" s="662">
        <v>0</v>
      </c>
      <c r="CV266" s="662">
        <v>0</v>
      </c>
      <c r="CW266" s="662">
        <v>0</v>
      </c>
      <c r="CX266" s="662">
        <v>37500</v>
      </c>
      <c r="CY266" s="662">
        <v>0</v>
      </c>
      <c r="CZ266" s="662">
        <v>0</v>
      </c>
      <c r="DA266" s="662">
        <v>0</v>
      </c>
      <c r="DB266" s="662">
        <v>0</v>
      </c>
      <c r="DC266" s="662">
        <v>0</v>
      </c>
      <c r="DD266" s="662">
        <v>0</v>
      </c>
      <c r="DE266" s="662">
        <v>240709</v>
      </c>
      <c r="DF266" s="662">
        <v>0</v>
      </c>
      <c r="DG266" s="662">
        <v>0</v>
      </c>
      <c r="DH266" s="662">
        <v>0</v>
      </c>
      <c r="DI266" s="662">
        <v>0</v>
      </c>
      <c r="DJ266" s="662">
        <v>0</v>
      </c>
      <c r="DK266" s="662">
        <v>0</v>
      </c>
      <c r="DL266" s="662">
        <v>880980</v>
      </c>
      <c r="DM266" s="662">
        <v>0</v>
      </c>
      <c r="DN266" s="662">
        <v>0</v>
      </c>
      <c r="DO266" s="662">
        <v>0</v>
      </c>
      <c r="DP266" s="662">
        <v>0</v>
      </c>
      <c r="DQ266" s="662">
        <v>0</v>
      </c>
      <c r="DR266" s="662">
        <v>0</v>
      </c>
      <c r="DS266" s="662">
        <v>53297</v>
      </c>
      <c r="DT266" s="662">
        <v>0</v>
      </c>
      <c r="DU266" s="662">
        <v>0</v>
      </c>
      <c r="DV266" s="662">
        <v>0</v>
      </c>
      <c r="DW266" s="662">
        <v>0</v>
      </c>
      <c r="DX266" s="662">
        <v>0</v>
      </c>
      <c r="DY266" s="662">
        <v>0</v>
      </c>
      <c r="DZ266" s="662">
        <v>1083263</v>
      </c>
      <c r="EA266" s="662">
        <v>0</v>
      </c>
      <c r="EB266" s="662">
        <v>0</v>
      </c>
      <c r="EC266" s="662">
        <v>0</v>
      </c>
      <c r="ED266" s="662">
        <v>0</v>
      </c>
      <c r="EE266" s="662">
        <v>0</v>
      </c>
      <c r="EF266" s="662">
        <v>0</v>
      </c>
      <c r="EG266" s="662">
        <v>435692</v>
      </c>
      <c r="EH266" s="662">
        <v>0</v>
      </c>
      <c r="EI266" s="662">
        <v>0</v>
      </c>
      <c r="EJ266" s="662">
        <v>0</v>
      </c>
      <c r="EK266" s="662">
        <v>0</v>
      </c>
      <c r="EL266" s="662">
        <v>0</v>
      </c>
      <c r="EM266" s="662">
        <v>0</v>
      </c>
      <c r="EN266" s="662">
        <v>32540</v>
      </c>
      <c r="EO266" s="662">
        <v>0</v>
      </c>
      <c r="EP266" s="662">
        <v>0</v>
      </c>
      <c r="EQ266" s="662">
        <v>0</v>
      </c>
    </row>
    <row r="267" spans="1:149" ht="13.95" customHeight="1" x14ac:dyDescent="0.3">
      <c r="A267" s="660" t="s">
        <v>1923</v>
      </c>
      <c r="B267" s="661" t="s">
        <v>269</v>
      </c>
      <c r="C267" s="662">
        <f t="shared" ref="C267:BN267" si="109">C268</f>
        <v>172404</v>
      </c>
      <c r="D267" s="662">
        <f t="shared" si="109"/>
        <v>0</v>
      </c>
      <c r="E267" s="662">
        <f t="shared" si="109"/>
        <v>165713</v>
      </c>
      <c r="F267" s="662">
        <f t="shared" si="109"/>
        <v>34815138</v>
      </c>
      <c r="G267" s="662">
        <f t="shared" si="109"/>
        <v>0</v>
      </c>
      <c r="H267" s="662">
        <f t="shared" si="109"/>
        <v>0</v>
      </c>
      <c r="I267" s="662">
        <f t="shared" si="109"/>
        <v>33780588</v>
      </c>
      <c r="J267" s="802">
        <f t="shared" si="109"/>
        <v>0</v>
      </c>
      <c r="K267" s="662">
        <f t="shared" si="109"/>
        <v>0</v>
      </c>
      <c r="L267" s="662">
        <f t="shared" si="109"/>
        <v>0</v>
      </c>
      <c r="M267" s="662">
        <f t="shared" si="109"/>
        <v>0</v>
      </c>
      <c r="N267" s="662">
        <f t="shared" si="109"/>
        <v>0</v>
      </c>
      <c r="O267" s="662">
        <f t="shared" si="109"/>
        <v>0</v>
      </c>
      <c r="P267" s="662">
        <f t="shared" si="109"/>
        <v>0</v>
      </c>
      <c r="Q267" s="802">
        <f t="shared" si="109"/>
        <v>0</v>
      </c>
      <c r="R267" s="662">
        <f t="shared" si="109"/>
        <v>0</v>
      </c>
      <c r="S267" s="662">
        <f t="shared" si="109"/>
        <v>0</v>
      </c>
      <c r="T267" s="662">
        <f t="shared" si="109"/>
        <v>0</v>
      </c>
      <c r="U267" s="662">
        <f t="shared" si="109"/>
        <v>0</v>
      </c>
      <c r="V267" s="662">
        <f t="shared" si="109"/>
        <v>0</v>
      </c>
      <c r="W267" s="802">
        <f t="shared" si="109"/>
        <v>92</v>
      </c>
      <c r="X267" s="662">
        <f t="shared" si="109"/>
        <v>0</v>
      </c>
      <c r="Y267" s="662">
        <f t="shared" si="109"/>
        <v>91</v>
      </c>
      <c r="Z267" s="662">
        <f t="shared" si="109"/>
        <v>8730</v>
      </c>
      <c r="AA267" s="662">
        <f t="shared" si="109"/>
        <v>0</v>
      </c>
      <c r="AB267" s="662">
        <f t="shared" si="109"/>
        <v>0</v>
      </c>
      <c r="AC267" s="662">
        <f t="shared" si="109"/>
        <v>8460</v>
      </c>
      <c r="AD267" s="802">
        <f t="shared" si="109"/>
        <v>2</v>
      </c>
      <c r="AE267" s="662">
        <f t="shared" si="109"/>
        <v>0</v>
      </c>
      <c r="AF267" s="662">
        <f t="shared" si="109"/>
        <v>2</v>
      </c>
      <c r="AG267" s="662">
        <f t="shared" si="109"/>
        <v>160</v>
      </c>
      <c r="AH267" s="662">
        <f t="shared" si="109"/>
        <v>0</v>
      </c>
      <c r="AI267" s="662">
        <f t="shared" si="109"/>
        <v>0</v>
      </c>
      <c r="AJ267" s="662">
        <f t="shared" si="109"/>
        <v>160</v>
      </c>
      <c r="AK267" s="802">
        <f t="shared" si="109"/>
        <v>0</v>
      </c>
      <c r="AL267" s="662">
        <f t="shared" si="109"/>
        <v>0</v>
      </c>
      <c r="AM267" s="662">
        <f t="shared" si="109"/>
        <v>0</v>
      </c>
      <c r="AN267" s="662">
        <f t="shared" si="109"/>
        <v>0</v>
      </c>
      <c r="AO267" s="662">
        <f t="shared" si="109"/>
        <v>0</v>
      </c>
      <c r="AP267" s="662">
        <f t="shared" si="109"/>
        <v>0</v>
      </c>
      <c r="AQ267" s="802">
        <f t="shared" si="109"/>
        <v>0</v>
      </c>
      <c r="AR267" s="662">
        <f t="shared" si="109"/>
        <v>0</v>
      </c>
      <c r="AS267" s="662">
        <f t="shared" si="109"/>
        <v>0</v>
      </c>
      <c r="AT267" s="662">
        <f t="shared" si="109"/>
        <v>0</v>
      </c>
      <c r="AU267" s="662">
        <f t="shared" si="109"/>
        <v>0</v>
      </c>
      <c r="AV267" s="662">
        <f t="shared" si="109"/>
        <v>0</v>
      </c>
      <c r="AW267" s="662">
        <f t="shared" si="109"/>
        <v>0</v>
      </c>
      <c r="AX267" s="662">
        <f t="shared" si="109"/>
        <v>0</v>
      </c>
      <c r="AY267" s="662">
        <f t="shared" si="109"/>
        <v>0</v>
      </c>
      <c r="AZ267" s="662">
        <f t="shared" si="109"/>
        <v>0</v>
      </c>
      <c r="BA267" s="662">
        <f t="shared" si="109"/>
        <v>0</v>
      </c>
      <c r="BB267" s="662">
        <f t="shared" si="109"/>
        <v>0</v>
      </c>
      <c r="BC267" s="662">
        <f t="shared" si="109"/>
        <v>0</v>
      </c>
      <c r="BD267" s="662">
        <f t="shared" si="109"/>
        <v>0</v>
      </c>
      <c r="BE267" s="802">
        <f t="shared" si="109"/>
        <v>0</v>
      </c>
      <c r="BF267" s="662">
        <f t="shared" si="109"/>
        <v>0</v>
      </c>
      <c r="BG267" s="662">
        <f t="shared" si="109"/>
        <v>0</v>
      </c>
      <c r="BH267" s="662">
        <f t="shared" si="109"/>
        <v>0</v>
      </c>
      <c r="BI267" s="662">
        <f t="shared" si="109"/>
        <v>0</v>
      </c>
      <c r="BJ267" s="662">
        <f t="shared" si="109"/>
        <v>0</v>
      </c>
      <c r="BK267" s="662">
        <f t="shared" si="109"/>
        <v>0</v>
      </c>
      <c r="BL267" s="662">
        <f t="shared" si="109"/>
        <v>12</v>
      </c>
      <c r="BM267" s="662">
        <f t="shared" si="109"/>
        <v>0</v>
      </c>
      <c r="BN267" s="662">
        <f t="shared" si="109"/>
        <v>12</v>
      </c>
      <c r="BO267" s="662">
        <f t="shared" ref="BO267:DZ267" si="110">BO268</f>
        <v>1170</v>
      </c>
      <c r="BP267" s="662">
        <f t="shared" si="110"/>
        <v>0</v>
      </c>
      <c r="BQ267" s="662">
        <f t="shared" si="110"/>
        <v>0</v>
      </c>
      <c r="BR267" s="662">
        <f t="shared" si="110"/>
        <v>1136</v>
      </c>
      <c r="BS267" s="662">
        <f t="shared" si="110"/>
        <v>0</v>
      </c>
      <c r="BT267" s="662">
        <f t="shared" si="110"/>
        <v>0</v>
      </c>
      <c r="BU267" s="662">
        <f t="shared" si="110"/>
        <v>0</v>
      </c>
      <c r="BV267" s="662">
        <f t="shared" si="110"/>
        <v>0</v>
      </c>
      <c r="BW267" s="662">
        <f t="shared" si="110"/>
        <v>0</v>
      </c>
      <c r="BX267" s="662">
        <f t="shared" si="110"/>
        <v>0</v>
      </c>
      <c r="BY267" s="662">
        <f t="shared" si="110"/>
        <v>0</v>
      </c>
      <c r="BZ267" s="662">
        <f t="shared" si="110"/>
        <v>0</v>
      </c>
      <c r="CA267" s="662">
        <f t="shared" si="110"/>
        <v>0</v>
      </c>
      <c r="CB267" s="662">
        <f t="shared" si="110"/>
        <v>0</v>
      </c>
      <c r="CC267" s="662">
        <f t="shared" si="110"/>
        <v>0</v>
      </c>
      <c r="CD267" s="662">
        <f t="shared" si="110"/>
        <v>0</v>
      </c>
      <c r="CE267" s="662">
        <f t="shared" si="110"/>
        <v>0</v>
      </c>
      <c r="CF267" s="662">
        <f t="shared" si="110"/>
        <v>0</v>
      </c>
      <c r="CG267" s="662">
        <f t="shared" si="110"/>
        <v>658</v>
      </c>
      <c r="CH267" s="662">
        <f t="shared" si="110"/>
        <v>0</v>
      </c>
      <c r="CI267" s="662">
        <f t="shared" si="110"/>
        <v>616</v>
      </c>
      <c r="CJ267" s="662">
        <f t="shared" si="110"/>
        <v>53530</v>
      </c>
      <c r="CK267" s="662">
        <f t="shared" si="110"/>
        <v>0</v>
      </c>
      <c r="CL267" s="662">
        <f t="shared" si="110"/>
        <v>0</v>
      </c>
      <c r="CM267" s="662">
        <f t="shared" si="110"/>
        <v>40710</v>
      </c>
      <c r="CN267" s="662">
        <f t="shared" si="110"/>
        <v>6</v>
      </c>
      <c r="CO267" s="662">
        <f t="shared" si="110"/>
        <v>0</v>
      </c>
      <c r="CP267" s="662">
        <f t="shared" si="110"/>
        <v>6</v>
      </c>
      <c r="CQ267" s="662">
        <f t="shared" si="110"/>
        <v>720</v>
      </c>
      <c r="CR267" s="662">
        <f t="shared" si="110"/>
        <v>0</v>
      </c>
      <c r="CS267" s="662">
        <f t="shared" si="110"/>
        <v>0</v>
      </c>
      <c r="CT267" s="662">
        <f t="shared" si="110"/>
        <v>720</v>
      </c>
      <c r="CU267" s="662">
        <f t="shared" si="110"/>
        <v>11</v>
      </c>
      <c r="CV267" s="662">
        <f t="shared" si="110"/>
        <v>0</v>
      </c>
      <c r="CW267" s="662">
        <f t="shared" si="110"/>
        <v>11</v>
      </c>
      <c r="CX267" s="662">
        <f t="shared" si="110"/>
        <v>1980</v>
      </c>
      <c r="CY267" s="662">
        <f t="shared" si="110"/>
        <v>0</v>
      </c>
      <c r="CZ267" s="662">
        <f t="shared" si="110"/>
        <v>0</v>
      </c>
      <c r="DA267" s="662">
        <f t="shared" si="110"/>
        <v>1980</v>
      </c>
      <c r="DB267" s="662">
        <f t="shared" si="110"/>
        <v>4181</v>
      </c>
      <c r="DC267" s="662">
        <f t="shared" si="110"/>
        <v>0</v>
      </c>
      <c r="DD267" s="662">
        <f t="shared" si="110"/>
        <v>4141</v>
      </c>
      <c r="DE267" s="662">
        <f t="shared" si="110"/>
        <v>754030</v>
      </c>
      <c r="DF267" s="662">
        <f t="shared" si="110"/>
        <v>0</v>
      </c>
      <c r="DG267" s="662">
        <f t="shared" si="110"/>
        <v>0</v>
      </c>
      <c r="DH267" s="662">
        <f t="shared" si="110"/>
        <v>722359</v>
      </c>
      <c r="DI267" s="662">
        <f t="shared" si="110"/>
        <v>9579</v>
      </c>
      <c r="DJ267" s="662">
        <f t="shared" si="110"/>
        <v>0</v>
      </c>
      <c r="DK267" s="662">
        <f t="shared" si="110"/>
        <v>9569</v>
      </c>
      <c r="DL267" s="662">
        <f t="shared" si="110"/>
        <v>2394650</v>
      </c>
      <c r="DM267" s="662">
        <f t="shared" si="110"/>
        <v>0</v>
      </c>
      <c r="DN267" s="662">
        <f t="shared" si="110"/>
        <v>0</v>
      </c>
      <c r="DO267" s="662">
        <f t="shared" si="110"/>
        <v>2383675</v>
      </c>
      <c r="DP267" s="662">
        <f t="shared" si="110"/>
        <v>5863</v>
      </c>
      <c r="DQ267" s="662">
        <f t="shared" si="110"/>
        <v>0</v>
      </c>
      <c r="DR267" s="662">
        <f t="shared" si="110"/>
        <v>5708</v>
      </c>
      <c r="DS267" s="662">
        <f t="shared" si="110"/>
        <v>1015266</v>
      </c>
      <c r="DT267" s="662">
        <f t="shared" si="110"/>
        <v>0</v>
      </c>
      <c r="DU267" s="662">
        <f t="shared" si="110"/>
        <v>0</v>
      </c>
      <c r="DV267" s="662">
        <f t="shared" si="110"/>
        <v>1001705</v>
      </c>
      <c r="DW267" s="662">
        <f t="shared" si="110"/>
        <v>40071</v>
      </c>
      <c r="DX267" s="662">
        <f t="shared" si="110"/>
        <v>0</v>
      </c>
      <c r="DY267" s="662">
        <f t="shared" si="110"/>
        <v>39933</v>
      </c>
      <c r="DZ267" s="662">
        <f t="shared" si="110"/>
        <v>10262044</v>
      </c>
      <c r="EA267" s="662">
        <f t="shared" ref="EA267:EQ267" si="111">EA268</f>
        <v>0</v>
      </c>
      <c r="EB267" s="662">
        <f t="shared" si="111"/>
        <v>0</v>
      </c>
      <c r="EC267" s="662">
        <f t="shared" si="111"/>
        <v>9786500</v>
      </c>
      <c r="ED267" s="662">
        <f t="shared" si="111"/>
        <v>108482</v>
      </c>
      <c r="EE267" s="662">
        <f t="shared" si="111"/>
        <v>0</v>
      </c>
      <c r="EF267" s="662">
        <f t="shared" si="111"/>
        <v>102274</v>
      </c>
      <c r="EG267" s="662">
        <f t="shared" si="111"/>
        <v>19759718</v>
      </c>
      <c r="EH267" s="662">
        <f t="shared" si="111"/>
        <v>0</v>
      </c>
      <c r="EI267" s="662">
        <f t="shared" si="111"/>
        <v>0</v>
      </c>
      <c r="EJ267" s="662">
        <f t="shared" si="111"/>
        <v>19270013</v>
      </c>
      <c r="EK267" s="662">
        <f t="shared" si="111"/>
        <v>3450</v>
      </c>
      <c r="EL267" s="662">
        <f t="shared" si="111"/>
        <v>0</v>
      </c>
      <c r="EM267" s="662">
        <f t="shared" si="111"/>
        <v>3353</v>
      </c>
      <c r="EN267" s="662">
        <f t="shared" si="111"/>
        <v>563360</v>
      </c>
      <c r="EO267" s="662">
        <f t="shared" si="111"/>
        <v>0</v>
      </c>
      <c r="EP267" s="662">
        <f t="shared" si="111"/>
        <v>0</v>
      </c>
      <c r="EQ267" s="662">
        <f t="shared" si="111"/>
        <v>563360</v>
      </c>
      <c r="ER267" s="654"/>
      <c r="ES267" s="654"/>
    </row>
    <row r="268" spans="1:149" ht="13.95" customHeight="1" x14ac:dyDescent="0.3">
      <c r="A268" s="660" t="s">
        <v>1924</v>
      </c>
      <c r="B268" s="661" t="s">
        <v>269</v>
      </c>
      <c r="C268" s="662">
        <f t="shared" ref="C268:BN268" si="112">C269+C274+C279+C282+C283</f>
        <v>172404</v>
      </c>
      <c r="D268" s="662">
        <f t="shared" si="112"/>
        <v>0</v>
      </c>
      <c r="E268" s="662">
        <f t="shared" si="112"/>
        <v>165713</v>
      </c>
      <c r="F268" s="662">
        <f t="shared" si="112"/>
        <v>34815138</v>
      </c>
      <c r="G268" s="662">
        <f t="shared" si="112"/>
        <v>0</v>
      </c>
      <c r="H268" s="662">
        <f t="shared" si="112"/>
        <v>0</v>
      </c>
      <c r="I268" s="662">
        <f t="shared" si="112"/>
        <v>33780588</v>
      </c>
      <c r="J268" s="802">
        <f t="shared" si="112"/>
        <v>0</v>
      </c>
      <c r="K268" s="662">
        <f t="shared" si="112"/>
        <v>0</v>
      </c>
      <c r="L268" s="662">
        <f t="shared" si="112"/>
        <v>0</v>
      </c>
      <c r="M268" s="662">
        <f t="shared" si="112"/>
        <v>0</v>
      </c>
      <c r="N268" s="662">
        <f t="shared" si="112"/>
        <v>0</v>
      </c>
      <c r="O268" s="662">
        <f t="shared" si="112"/>
        <v>0</v>
      </c>
      <c r="P268" s="662">
        <f t="shared" si="112"/>
        <v>0</v>
      </c>
      <c r="Q268" s="802">
        <f t="shared" si="112"/>
        <v>0</v>
      </c>
      <c r="R268" s="662">
        <f t="shared" si="112"/>
        <v>0</v>
      </c>
      <c r="S268" s="662">
        <f t="shared" si="112"/>
        <v>0</v>
      </c>
      <c r="T268" s="662">
        <f t="shared" si="112"/>
        <v>0</v>
      </c>
      <c r="U268" s="662">
        <f t="shared" si="112"/>
        <v>0</v>
      </c>
      <c r="V268" s="662">
        <f t="shared" si="112"/>
        <v>0</v>
      </c>
      <c r="W268" s="802">
        <f t="shared" si="112"/>
        <v>92</v>
      </c>
      <c r="X268" s="662">
        <f t="shared" si="112"/>
        <v>0</v>
      </c>
      <c r="Y268" s="662">
        <f t="shared" si="112"/>
        <v>91</v>
      </c>
      <c r="Z268" s="662">
        <f t="shared" si="112"/>
        <v>8730</v>
      </c>
      <c r="AA268" s="662">
        <f t="shared" si="112"/>
        <v>0</v>
      </c>
      <c r="AB268" s="662">
        <f t="shared" si="112"/>
        <v>0</v>
      </c>
      <c r="AC268" s="662">
        <f t="shared" si="112"/>
        <v>8460</v>
      </c>
      <c r="AD268" s="802">
        <f t="shared" si="112"/>
        <v>2</v>
      </c>
      <c r="AE268" s="662">
        <f t="shared" si="112"/>
        <v>0</v>
      </c>
      <c r="AF268" s="662">
        <f t="shared" si="112"/>
        <v>2</v>
      </c>
      <c r="AG268" s="662">
        <f t="shared" si="112"/>
        <v>160</v>
      </c>
      <c r="AH268" s="662">
        <f t="shared" si="112"/>
        <v>0</v>
      </c>
      <c r="AI268" s="662">
        <f t="shared" si="112"/>
        <v>0</v>
      </c>
      <c r="AJ268" s="662">
        <f t="shared" si="112"/>
        <v>160</v>
      </c>
      <c r="AK268" s="802">
        <f t="shared" si="112"/>
        <v>0</v>
      </c>
      <c r="AL268" s="662">
        <f t="shared" si="112"/>
        <v>0</v>
      </c>
      <c r="AM268" s="662">
        <f t="shared" si="112"/>
        <v>0</v>
      </c>
      <c r="AN268" s="662">
        <f t="shared" si="112"/>
        <v>0</v>
      </c>
      <c r="AO268" s="662">
        <f t="shared" si="112"/>
        <v>0</v>
      </c>
      <c r="AP268" s="662">
        <f t="shared" si="112"/>
        <v>0</v>
      </c>
      <c r="AQ268" s="802">
        <f t="shared" si="112"/>
        <v>0</v>
      </c>
      <c r="AR268" s="662">
        <f t="shared" si="112"/>
        <v>0</v>
      </c>
      <c r="AS268" s="662">
        <f t="shared" si="112"/>
        <v>0</v>
      </c>
      <c r="AT268" s="662">
        <f t="shared" si="112"/>
        <v>0</v>
      </c>
      <c r="AU268" s="662">
        <f t="shared" si="112"/>
        <v>0</v>
      </c>
      <c r="AV268" s="662">
        <f t="shared" si="112"/>
        <v>0</v>
      </c>
      <c r="AW268" s="662">
        <f t="shared" si="112"/>
        <v>0</v>
      </c>
      <c r="AX268" s="662">
        <f t="shared" si="112"/>
        <v>0</v>
      </c>
      <c r="AY268" s="662">
        <f t="shared" si="112"/>
        <v>0</v>
      </c>
      <c r="AZ268" s="662">
        <f t="shared" si="112"/>
        <v>0</v>
      </c>
      <c r="BA268" s="662">
        <f t="shared" si="112"/>
        <v>0</v>
      </c>
      <c r="BB268" s="662">
        <f t="shared" si="112"/>
        <v>0</v>
      </c>
      <c r="BC268" s="662">
        <f t="shared" si="112"/>
        <v>0</v>
      </c>
      <c r="BD268" s="662">
        <f t="shared" si="112"/>
        <v>0</v>
      </c>
      <c r="BE268" s="802">
        <f t="shared" si="112"/>
        <v>0</v>
      </c>
      <c r="BF268" s="662">
        <f t="shared" si="112"/>
        <v>0</v>
      </c>
      <c r="BG268" s="662">
        <f t="shared" si="112"/>
        <v>0</v>
      </c>
      <c r="BH268" s="662">
        <f t="shared" si="112"/>
        <v>0</v>
      </c>
      <c r="BI268" s="662">
        <f t="shared" si="112"/>
        <v>0</v>
      </c>
      <c r="BJ268" s="662">
        <f t="shared" si="112"/>
        <v>0</v>
      </c>
      <c r="BK268" s="662">
        <f t="shared" si="112"/>
        <v>0</v>
      </c>
      <c r="BL268" s="662">
        <f t="shared" si="112"/>
        <v>12</v>
      </c>
      <c r="BM268" s="662">
        <f t="shared" si="112"/>
        <v>0</v>
      </c>
      <c r="BN268" s="662">
        <f t="shared" si="112"/>
        <v>12</v>
      </c>
      <c r="BO268" s="662">
        <f t="shared" ref="BO268:DZ268" si="113">BO269+BO274+BO279+BO282+BO283</f>
        <v>1170</v>
      </c>
      <c r="BP268" s="662">
        <f t="shared" si="113"/>
        <v>0</v>
      </c>
      <c r="BQ268" s="662">
        <f t="shared" si="113"/>
        <v>0</v>
      </c>
      <c r="BR268" s="662">
        <f t="shared" si="113"/>
        <v>1136</v>
      </c>
      <c r="BS268" s="662">
        <f t="shared" si="113"/>
        <v>0</v>
      </c>
      <c r="BT268" s="662">
        <f t="shared" si="113"/>
        <v>0</v>
      </c>
      <c r="BU268" s="662">
        <f t="shared" si="113"/>
        <v>0</v>
      </c>
      <c r="BV268" s="662">
        <f t="shared" si="113"/>
        <v>0</v>
      </c>
      <c r="BW268" s="662">
        <f t="shared" si="113"/>
        <v>0</v>
      </c>
      <c r="BX268" s="662">
        <f t="shared" si="113"/>
        <v>0</v>
      </c>
      <c r="BY268" s="662">
        <f t="shared" si="113"/>
        <v>0</v>
      </c>
      <c r="BZ268" s="662">
        <f t="shared" si="113"/>
        <v>0</v>
      </c>
      <c r="CA268" s="662">
        <f t="shared" si="113"/>
        <v>0</v>
      </c>
      <c r="CB268" s="662">
        <f t="shared" si="113"/>
        <v>0</v>
      </c>
      <c r="CC268" s="662">
        <f t="shared" si="113"/>
        <v>0</v>
      </c>
      <c r="CD268" s="662">
        <f t="shared" si="113"/>
        <v>0</v>
      </c>
      <c r="CE268" s="662">
        <f t="shared" si="113"/>
        <v>0</v>
      </c>
      <c r="CF268" s="662">
        <f t="shared" si="113"/>
        <v>0</v>
      </c>
      <c r="CG268" s="662">
        <f t="shared" si="113"/>
        <v>658</v>
      </c>
      <c r="CH268" s="662">
        <f t="shared" si="113"/>
        <v>0</v>
      </c>
      <c r="CI268" s="662">
        <f t="shared" si="113"/>
        <v>616</v>
      </c>
      <c r="CJ268" s="662">
        <f t="shared" si="113"/>
        <v>53530</v>
      </c>
      <c r="CK268" s="662">
        <f t="shared" si="113"/>
        <v>0</v>
      </c>
      <c r="CL268" s="662">
        <f t="shared" si="113"/>
        <v>0</v>
      </c>
      <c r="CM268" s="662">
        <f t="shared" si="113"/>
        <v>40710</v>
      </c>
      <c r="CN268" s="662">
        <f t="shared" si="113"/>
        <v>6</v>
      </c>
      <c r="CO268" s="662">
        <f t="shared" si="113"/>
        <v>0</v>
      </c>
      <c r="CP268" s="662">
        <f t="shared" si="113"/>
        <v>6</v>
      </c>
      <c r="CQ268" s="662">
        <f t="shared" si="113"/>
        <v>720</v>
      </c>
      <c r="CR268" s="662">
        <f t="shared" si="113"/>
        <v>0</v>
      </c>
      <c r="CS268" s="662">
        <f t="shared" si="113"/>
        <v>0</v>
      </c>
      <c r="CT268" s="662">
        <f t="shared" si="113"/>
        <v>720</v>
      </c>
      <c r="CU268" s="662">
        <f t="shared" si="113"/>
        <v>11</v>
      </c>
      <c r="CV268" s="662">
        <f t="shared" si="113"/>
        <v>0</v>
      </c>
      <c r="CW268" s="662">
        <f t="shared" si="113"/>
        <v>11</v>
      </c>
      <c r="CX268" s="662">
        <f t="shared" si="113"/>
        <v>1980</v>
      </c>
      <c r="CY268" s="662">
        <f t="shared" si="113"/>
        <v>0</v>
      </c>
      <c r="CZ268" s="662">
        <f t="shared" si="113"/>
        <v>0</v>
      </c>
      <c r="DA268" s="662">
        <f t="shared" si="113"/>
        <v>1980</v>
      </c>
      <c r="DB268" s="662">
        <f t="shared" si="113"/>
        <v>4181</v>
      </c>
      <c r="DC268" s="662">
        <f t="shared" si="113"/>
        <v>0</v>
      </c>
      <c r="DD268" s="662">
        <f t="shared" si="113"/>
        <v>4141</v>
      </c>
      <c r="DE268" s="662">
        <f t="shared" si="113"/>
        <v>754030</v>
      </c>
      <c r="DF268" s="662">
        <f t="shared" si="113"/>
        <v>0</v>
      </c>
      <c r="DG268" s="662">
        <f t="shared" si="113"/>
        <v>0</v>
      </c>
      <c r="DH268" s="662">
        <f t="shared" si="113"/>
        <v>722359</v>
      </c>
      <c r="DI268" s="662">
        <f t="shared" si="113"/>
        <v>9579</v>
      </c>
      <c r="DJ268" s="662">
        <f t="shared" si="113"/>
        <v>0</v>
      </c>
      <c r="DK268" s="662">
        <f t="shared" si="113"/>
        <v>9569</v>
      </c>
      <c r="DL268" s="662">
        <f t="shared" si="113"/>
        <v>2394650</v>
      </c>
      <c r="DM268" s="662">
        <f t="shared" si="113"/>
        <v>0</v>
      </c>
      <c r="DN268" s="662">
        <f t="shared" si="113"/>
        <v>0</v>
      </c>
      <c r="DO268" s="662">
        <f t="shared" si="113"/>
        <v>2383675</v>
      </c>
      <c r="DP268" s="662">
        <f t="shared" si="113"/>
        <v>5863</v>
      </c>
      <c r="DQ268" s="662">
        <f t="shared" si="113"/>
        <v>0</v>
      </c>
      <c r="DR268" s="662">
        <f t="shared" si="113"/>
        <v>5708</v>
      </c>
      <c r="DS268" s="662">
        <f t="shared" si="113"/>
        <v>1015266</v>
      </c>
      <c r="DT268" s="662">
        <f t="shared" si="113"/>
        <v>0</v>
      </c>
      <c r="DU268" s="662">
        <f t="shared" si="113"/>
        <v>0</v>
      </c>
      <c r="DV268" s="662">
        <f t="shared" si="113"/>
        <v>1001705</v>
      </c>
      <c r="DW268" s="662">
        <f t="shared" si="113"/>
        <v>40071</v>
      </c>
      <c r="DX268" s="662">
        <f t="shared" si="113"/>
        <v>0</v>
      </c>
      <c r="DY268" s="662">
        <f t="shared" si="113"/>
        <v>39933</v>
      </c>
      <c r="DZ268" s="662">
        <f t="shared" si="113"/>
        <v>10262044</v>
      </c>
      <c r="EA268" s="662">
        <f t="shared" ref="EA268:EQ268" si="114">EA269+EA274+EA279+EA282+EA283</f>
        <v>0</v>
      </c>
      <c r="EB268" s="662">
        <f t="shared" si="114"/>
        <v>0</v>
      </c>
      <c r="EC268" s="662">
        <f t="shared" si="114"/>
        <v>9786500</v>
      </c>
      <c r="ED268" s="662">
        <f t="shared" si="114"/>
        <v>108482</v>
      </c>
      <c r="EE268" s="662">
        <f t="shared" si="114"/>
        <v>0</v>
      </c>
      <c r="EF268" s="662">
        <f t="shared" si="114"/>
        <v>102274</v>
      </c>
      <c r="EG268" s="662">
        <f t="shared" si="114"/>
        <v>19759718</v>
      </c>
      <c r="EH268" s="662">
        <f t="shared" si="114"/>
        <v>0</v>
      </c>
      <c r="EI268" s="662">
        <f t="shared" si="114"/>
        <v>0</v>
      </c>
      <c r="EJ268" s="662">
        <f t="shared" si="114"/>
        <v>19270013</v>
      </c>
      <c r="EK268" s="662">
        <f t="shared" si="114"/>
        <v>3450</v>
      </c>
      <c r="EL268" s="662">
        <f t="shared" si="114"/>
        <v>0</v>
      </c>
      <c r="EM268" s="662">
        <f t="shared" si="114"/>
        <v>3353</v>
      </c>
      <c r="EN268" s="662">
        <f t="shared" si="114"/>
        <v>563360</v>
      </c>
      <c r="EO268" s="662">
        <f t="shared" si="114"/>
        <v>0</v>
      </c>
      <c r="EP268" s="662">
        <f t="shared" si="114"/>
        <v>0</v>
      </c>
      <c r="EQ268" s="662">
        <f t="shared" si="114"/>
        <v>563360</v>
      </c>
    </row>
    <row r="269" spans="1:149" ht="13.95" customHeight="1" x14ac:dyDescent="0.3">
      <c r="A269" s="660" t="s">
        <v>1925</v>
      </c>
      <c r="B269" s="661" t="s">
        <v>269</v>
      </c>
      <c r="C269" s="662">
        <v>82729</v>
      </c>
      <c r="D269" s="662">
        <v>0</v>
      </c>
      <c r="E269" s="662">
        <v>81849</v>
      </c>
      <c r="F269" s="662">
        <v>17106669</v>
      </c>
      <c r="G269" s="662">
        <v>0</v>
      </c>
      <c r="H269" s="662">
        <v>0</v>
      </c>
      <c r="I269" s="662">
        <v>16502076</v>
      </c>
      <c r="J269" s="802">
        <v>0</v>
      </c>
      <c r="K269" s="662">
        <v>0</v>
      </c>
      <c r="L269" s="662">
        <v>0</v>
      </c>
      <c r="M269" s="662">
        <v>0</v>
      </c>
      <c r="N269" s="662">
        <v>0</v>
      </c>
      <c r="O269" s="662">
        <v>0</v>
      </c>
      <c r="P269" s="662">
        <v>0</v>
      </c>
      <c r="Q269" s="802">
        <v>0</v>
      </c>
      <c r="R269" s="662">
        <v>0</v>
      </c>
      <c r="S269" s="662">
        <v>0</v>
      </c>
      <c r="T269" s="662">
        <v>0</v>
      </c>
      <c r="U269" s="662">
        <v>0</v>
      </c>
      <c r="V269" s="662">
        <v>0</v>
      </c>
      <c r="W269" s="802">
        <v>16</v>
      </c>
      <c r="X269" s="662">
        <v>0</v>
      </c>
      <c r="Y269" s="662">
        <v>16</v>
      </c>
      <c r="Z269" s="662">
        <v>1410</v>
      </c>
      <c r="AA269" s="662">
        <v>0</v>
      </c>
      <c r="AB269" s="662">
        <v>0</v>
      </c>
      <c r="AC269" s="662">
        <v>1390</v>
      </c>
      <c r="AD269" s="802">
        <v>0</v>
      </c>
      <c r="AE269" s="662">
        <v>0</v>
      </c>
      <c r="AF269" s="662">
        <v>0</v>
      </c>
      <c r="AG269" s="662">
        <v>0</v>
      </c>
      <c r="AH269" s="662">
        <v>0</v>
      </c>
      <c r="AI269" s="662">
        <v>0</v>
      </c>
      <c r="AJ269" s="662">
        <v>0</v>
      </c>
      <c r="AK269" s="802">
        <v>0</v>
      </c>
      <c r="AL269" s="662">
        <v>0</v>
      </c>
      <c r="AM269" s="662">
        <v>0</v>
      </c>
      <c r="AN269" s="662">
        <v>0</v>
      </c>
      <c r="AO269" s="662">
        <v>0</v>
      </c>
      <c r="AP269" s="662">
        <v>0</v>
      </c>
      <c r="AQ269" s="802">
        <v>0</v>
      </c>
      <c r="AR269" s="662">
        <v>0</v>
      </c>
      <c r="AS269" s="662">
        <v>0</v>
      </c>
      <c r="AT269" s="662">
        <v>0</v>
      </c>
      <c r="AU269" s="662">
        <v>0</v>
      </c>
      <c r="AV269" s="662">
        <v>0</v>
      </c>
      <c r="AW269" s="662">
        <v>0</v>
      </c>
      <c r="AX269" s="662">
        <v>0</v>
      </c>
      <c r="AY269" s="662">
        <v>0</v>
      </c>
      <c r="AZ269" s="662">
        <v>0</v>
      </c>
      <c r="BA269" s="662">
        <v>0</v>
      </c>
      <c r="BB269" s="662">
        <v>0</v>
      </c>
      <c r="BC269" s="662">
        <v>0</v>
      </c>
      <c r="BD269" s="662">
        <v>0</v>
      </c>
      <c r="BE269" s="802">
        <v>0</v>
      </c>
      <c r="BF269" s="662">
        <v>0</v>
      </c>
      <c r="BG269" s="662">
        <v>0</v>
      </c>
      <c r="BH269" s="662">
        <v>0</v>
      </c>
      <c r="BI269" s="662">
        <v>0</v>
      </c>
      <c r="BJ269" s="662">
        <v>0</v>
      </c>
      <c r="BK269" s="662">
        <v>0</v>
      </c>
      <c r="BL269" s="662">
        <v>4</v>
      </c>
      <c r="BM269" s="662">
        <v>0</v>
      </c>
      <c r="BN269" s="662">
        <v>4</v>
      </c>
      <c r="BO269" s="662">
        <v>450</v>
      </c>
      <c r="BP269" s="662">
        <v>0</v>
      </c>
      <c r="BQ269" s="662">
        <v>0</v>
      </c>
      <c r="BR269" s="662">
        <v>426</v>
      </c>
      <c r="BS269" s="662">
        <v>0</v>
      </c>
      <c r="BT269" s="662">
        <v>0</v>
      </c>
      <c r="BU269" s="662">
        <v>0</v>
      </c>
      <c r="BV269" s="662">
        <v>0</v>
      </c>
      <c r="BW269" s="662">
        <v>0</v>
      </c>
      <c r="BX269" s="662">
        <v>0</v>
      </c>
      <c r="BY269" s="662">
        <v>0</v>
      </c>
      <c r="BZ269" s="662">
        <v>0</v>
      </c>
      <c r="CA269" s="662">
        <v>0</v>
      </c>
      <c r="CB269" s="662">
        <v>0</v>
      </c>
      <c r="CC269" s="662">
        <v>0</v>
      </c>
      <c r="CD269" s="662">
        <v>0</v>
      </c>
      <c r="CE269" s="662">
        <v>0</v>
      </c>
      <c r="CF269" s="662">
        <v>0</v>
      </c>
      <c r="CG269" s="662">
        <v>420</v>
      </c>
      <c r="CH269" s="662">
        <v>0</v>
      </c>
      <c r="CI269" s="662">
        <v>400</v>
      </c>
      <c r="CJ269" s="662">
        <v>34250</v>
      </c>
      <c r="CK269" s="662">
        <v>0</v>
      </c>
      <c r="CL269" s="662">
        <v>0</v>
      </c>
      <c r="CM269" s="662">
        <v>24200</v>
      </c>
      <c r="CN269" s="662">
        <v>6</v>
      </c>
      <c r="CO269" s="662">
        <v>0</v>
      </c>
      <c r="CP269" s="662">
        <v>6</v>
      </c>
      <c r="CQ269" s="662">
        <v>720</v>
      </c>
      <c r="CR269" s="662">
        <v>0</v>
      </c>
      <c r="CS269" s="662">
        <v>0</v>
      </c>
      <c r="CT269" s="662">
        <v>720</v>
      </c>
      <c r="CU269" s="662">
        <v>8</v>
      </c>
      <c r="CV269" s="662">
        <v>0</v>
      </c>
      <c r="CW269" s="662">
        <v>8</v>
      </c>
      <c r="CX269" s="662">
        <v>1440</v>
      </c>
      <c r="CY269" s="662">
        <v>0</v>
      </c>
      <c r="CZ269" s="662">
        <v>0</v>
      </c>
      <c r="DA269" s="662">
        <v>1440</v>
      </c>
      <c r="DB269" s="662">
        <v>990</v>
      </c>
      <c r="DC269" s="662">
        <v>0</v>
      </c>
      <c r="DD269" s="662">
        <v>985</v>
      </c>
      <c r="DE269" s="662">
        <v>179610</v>
      </c>
      <c r="DF269" s="662">
        <v>0</v>
      </c>
      <c r="DG269" s="662">
        <v>0</v>
      </c>
      <c r="DH269" s="662">
        <v>171431</v>
      </c>
      <c r="DI269" s="662">
        <v>3890</v>
      </c>
      <c r="DJ269" s="662">
        <v>0</v>
      </c>
      <c r="DK269" s="662">
        <v>3890</v>
      </c>
      <c r="DL269" s="662">
        <v>1055750</v>
      </c>
      <c r="DM269" s="662">
        <v>0</v>
      </c>
      <c r="DN269" s="662">
        <v>0</v>
      </c>
      <c r="DO269" s="662">
        <v>1051470</v>
      </c>
      <c r="DP269" s="662">
        <v>3834</v>
      </c>
      <c r="DQ269" s="662">
        <v>0</v>
      </c>
      <c r="DR269" s="662">
        <v>3809</v>
      </c>
      <c r="DS269" s="662">
        <v>701139</v>
      </c>
      <c r="DT269" s="662">
        <v>0</v>
      </c>
      <c r="DU269" s="662">
        <v>0</v>
      </c>
      <c r="DV269" s="662">
        <v>691051</v>
      </c>
      <c r="DW269" s="662">
        <v>16382</v>
      </c>
      <c r="DX269" s="662">
        <v>0</v>
      </c>
      <c r="DY269" s="662">
        <v>16358</v>
      </c>
      <c r="DZ269" s="662">
        <v>4187380</v>
      </c>
      <c r="EA269" s="662">
        <v>0</v>
      </c>
      <c r="EB269" s="662">
        <v>0</v>
      </c>
      <c r="EC269" s="662">
        <v>3889108</v>
      </c>
      <c r="ED269" s="662">
        <v>54964</v>
      </c>
      <c r="EE269" s="662">
        <v>0</v>
      </c>
      <c r="EF269" s="662">
        <v>54255</v>
      </c>
      <c r="EG269" s="662">
        <v>10561860</v>
      </c>
      <c r="EH269" s="662">
        <v>0</v>
      </c>
      <c r="EI269" s="662">
        <v>0</v>
      </c>
      <c r="EJ269" s="662">
        <v>10288180</v>
      </c>
      <c r="EK269" s="662">
        <v>2215</v>
      </c>
      <c r="EL269" s="662">
        <v>0</v>
      </c>
      <c r="EM269" s="662">
        <v>2118</v>
      </c>
      <c r="EN269" s="662">
        <v>382660</v>
      </c>
      <c r="EO269" s="662">
        <v>0</v>
      </c>
      <c r="EP269" s="662">
        <v>0</v>
      </c>
      <c r="EQ269" s="662">
        <v>382660</v>
      </c>
    </row>
    <row r="270" spans="1:149" ht="13.95" customHeight="1" x14ac:dyDescent="0.3">
      <c r="A270" s="660" t="s">
        <v>1926</v>
      </c>
      <c r="B270" s="661" t="s">
        <v>269</v>
      </c>
      <c r="C270" s="662">
        <v>0</v>
      </c>
      <c r="D270" s="662">
        <v>0</v>
      </c>
      <c r="E270" s="662">
        <v>0</v>
      </c>
      <c r="F270" s="662">
        <v>0</v>
      </c>
      <c r="G270" s="662">
        <v>0</v>
      </c>
      <c r="H270" s="662">
        <v>0</v>
      </c>
      <c r="I270" s="662">
        <v>0</v>
      </c>
      <c r="J270" s="802">
        <v>0</v>
      </c>
      <c r="K270" s="662">
        <v>0</v>
      </c>
      <c r="L270" s="662">
        <v>0</v>
      </c>
      <c r="M270" s="662">
        <v>0</v>
      </c>
      <c r="N270" s="662">
        <v>0</v>
      </c>
      <c r="O270" s="662">
        <v>0</v>
      </c>
      <c r="P270" s="662">
        <v>0</v>
      </c>
      <c r="Q270" s="802">
        <v>0</v>
      </c>
      <c r="R270" s="662">
        <v>0</v>
      </c>
      <c r="S270" s="662">
        <v>0</v>
      </c>
      <c r="T270" s="662">
        <v>0</v>
      </c>
      <c r="U270" s="662">
        <v>0</v>
      </c>
      <c r="V270" s="662">
        <v>0</v>
      </c>
      <c r="W270" s="802">
        <v>0</v>
      </c>
      <c r="X270" s="662">
        <v>0</v>
      </c>
      <c r="Y270" s="662">
        <v>0</v>
      </c>
      <c r="Z270" s="662">
        <v>0</v>
      </c>
      <c r="AA270" s="662">
        <v>0</v>
      </c>
      <c r="AB270" s="662">
        <v>0</v>
      </c>
      <c r="AC270" s="662">
        <v>0</v>
      </c>
      <c r="AD270" s="802">
        <v>0</v>
      </c>
      <c r="AE270" s="662">
        <v>0</v>
      </c>
      <c r="AF270" s="662">
        <v>0</v>
      </c>
      <c r="AG270" s="662">
        <v>0</v>
      </c>
      <c r="AH270" s="662">
        <v>0</v>
      </c>
      <c r="AI270" s="662">
        <v>0</v>
      </c>
      <c r="AJ270" s="662">
        <v>0</v>
      </c>
      <c r="AK270" s="802">
        <v>0</v>
      </c>
      <c r="AL270" s="662">
        <v>0</v>
      </c>
      <c r="AM270" s="662">
        <v>0</v>
      </c>
      <c r="AN270" s="662">
        <v>0</v>
      </c>
      <c r="AO270" s="662">
        <v>0</v>
      </c>
      <c r="AP270" s="662">
        <v>0</v>
      </c>
      <c r="AQ270" s="802">
        <v>0</v>
      </c>
      <c r="AR270" s="662">
        <v>0</v>
      </c>
      <c r="AS270" s="662">
        <v>0</v>
      </c>
      <c r="AT270" s="662">
        <v>0</v>
      </c>
      <c r="AU270" s="662">
        <v>0</v>
      </c>
      <c r="AV270" s="662">
        <v>0</v>
      </c>
      <c r="AW270" s="662">
        <v>0</v>
      </c>
      <c r="AX270" s="662">
        <v>0</v>
      </c>
      <c r="AY270" s="662">
        <v>0</v>
      </c>
      <c r="AZ270" s="662">
        <v>0</v>
      </c>
      <c r="BA270" s="662">
        <v>0</v>
      </c>
      <c r="BB270" s="662">
        <v>0</v>
      </c>
      <c r="BC270" s="662">
        <v>0</v>
      </c>
      <c r="BD270" s="662">
        <v>0</v>
      </c>
      <c r="BE270" s="802">
        <v>0</v>
      </c>
      <c r="BF270" s="662">
        <v>0</v>
      </c>
      <c r="BG270" s="662">
        <v>0</v>
      </c>
      <c r="BH270" s="662">
        <v>0</v>
      </c>
      <c r="BI270" s="662">
        <v>0</v>
      </c>
      <c r="BJ270" s="662">
        <v>0</v>
      </c>
      <c r="BK270" s="662">
        <v>0</v>
      </c>
      <c r="BL270" s="662">
        <v>0</v>
      </c>
      <c r="BM270" s="662">
        <v>0</v>
      </c>
      <c r="BN270" s="662">
        <v>0</v>
      </c>
      <c r="BO270" s="662">
        <v>0</v>
      </c>
      <c r="BP270" s="662">
        <v>0</v>
      </c>
      <c r="BQ270" s="662">
        <v>0</v>
      </c>
      <c r="BR270" s="662">
        <v>0</v>
      </c>
      <c r="BS270" s="662">
        <v>0</v>
      </c>
      <c r="BT270" s="662">
        <v>0</v>
      </c>
      <c r="BU270" s="662">
        <v>0</v>
      </c>
      <c r="BV270" s="662">
        <v>0</v>
      </c>
      <c r="BW270" s="662">
        <v>0</v>
      </c>
      <c r="BX270" s="662">
        <v>0</v>
      </c>
      <c r="BY270" s="662">
        <v>0</v>
      </c>
      <c r="BZ270" s="662">
        <v>0</v>
      </c>
      <c r="CA270" s="662">
        <v>0</v>
      </c>
      <c r="CB270" s="662">
        <v>0</v>
      </c>
      <c r="CC270" s="662">
        <v>0</v>
      </c>
      <c r="CD270" s="662">
        <v>0</v>
      </c>
      <c r="CE270" s="662">
        <v>0</v>
      </c>
      <c r="CF270" s="662">
        <v>0</v>
      </c>
      <c r="CG270" s="662">
        <v>0</v>
      </c>
      <c r="CH270" s="662">
        <v>0</v>
      </c>
      <c r="CI270" s="662">
        <v>0</v>
      </c>
      <c r="CJ270" s="662">
        <v>0</v>
      </c>
      <c r="CK270" s="662">
        <v>0</v>
      </c>
      <c r="CL270" s="662">
        <v>0</v>
      </c>
      <c r="CM270" s="662">
        <v>0</v>
      </c>
      <c r="CN270" s="662">
        <v>0</v>
      </c>
      <c r="CO270" s="662">
        <v>0</v>
      </c>
      <c r="CP270" s="662">
        <v>0</v>
      </c>
      <c r="CQ270" s="662">
        <v>0</v>
      </c>
      <c r="CR270" s="662">
        <v>0</v>
      </c>
      <c r="CS270" s="662">
        <v>0</v>
      </c>
      <c r="CT270" s="662">
        <v>0</v>
      </c>
      <c r="CU270" s="662">
        <v>0</v>
      </c>
      <c r="CV270" s="662">
        <v>0</v>
      </c>
      <c r="CW270" s="662">
        <v>0</v>
      </c>
      <c r="CX270" s="662">
        <v>0</v>
      </c>
      <c r="CY270" s="662">
        <v>0</v>
      </c>
      <c r="CZ270" s="662">
        <v>0</v>
      </c>
      <c r="DA270" s="662">
        <v>0</v>
      </c>
      <c r="DB270" s="662">
        <v>0</v>
      </c>
      <c r="DC270" s="662">
        <v>0</v>
      </c>
      <c r="DD270" s="662">
        <v>0</v>
      </c>
      <c r="DE270" s="662">
        <v>0</v>
      </c>
      <c r="DF270" s="662">
        <v>0</v>
      </c>
      <c r="DG270" s="662">
        <v>0</v>
      </c>
      <c r="DH270" s="662">
        <v>0</v>
      </c>
      <c r="DI270" s="662">
        <v>0</v>
      </c>
      <c r="DJ270" s="662">
        <v>0</v>
      </c>
      <c r="DK270" s="662">
        <v>0</v>
      </c>
      <c r="DL270" s="662">
        <v>0</v>
      </c>
      <c r="DM270" s="662">
        <v>0</v>
      </c>
      <c r="DN270" s="662">
        <v>0</v>
      </c>
      <c r="DO270" s="662">
        <v>0</v>
      </c>
      <c r="DP270" s="662">
        <v>0</v>
      </c>
      <c r="DQ270" s="662">
        <v>0</v>
      </c>
      <c r="DR270" s="662">
        <v>0</v>
      </c>
      <c r="DS270" s="662">
        <v>0</v>
      </c>
      <c r="DT270" s="662">
        <v>0</v>
      </c>
      <c r="DU270" s="662">
        <v>0</v>
      </c>
      <c r="DV270" s="662">
        <v>0</v>
      </c>
      <c r="DW270" s="662">
        <v>0</v>
      </c>
      <c r="DX270" s="662">
        <v>0</v>
      </c>
      <c r="DY270" s="662">
        <v>0</v>
      </c>
      <c r="DZ270" s="662">
        <v>0</v>
      </c>
      <c r="EA270" s="662">
        <v>0</v>
      </c>
      <c r="EB270" s="662">
        <v>0</v>
      </c>
      <c r="EC270" s="662">
        <v>0</v>
      </c>
      <c r="ED270" s="662">
        <v>0</v>
      </c>
      <c r="EE270" s="662">
        <v>0</v>
      </c>
      <c r="EF270" s="662">
        <v>0</v>
      </c>
      <c r="EG270" s="662">
        <v>0</v>
      </c>
      <c r="EH270" s="662">
        <v>0</v>
      </c>
      <c r="EI270" s="662">
        <v>0</v>
      </c>
      <c r="EJ270" s="662">
        <v>0</v>
      </c>
      <c r="EK270" s="662">
        <v>0</v>
      </c>
      <c r="EL270" s="662">
        <v>0</v>
      </c>
      <c r="EM270" s="662">
        <v>0</v>
      </c>
      <c r="EN270" s="662">
        <v>0</v>
      </c>
      <c r="EO270" s="662">
        <v>0</v>
      </c>
      <c r="EP270" s="662">
        <v>0</v>
      </c>
      <c r="EQ270" s="662">
        <v>0</v>
      </c>
    </row>
    <row r="271" spans="1:149" ht="20.7" customHeight="1" x14ac:dyDescent="0.3">
      <c r="A271" s="660" t="s">
        <v>1927</v>
      </c>
      <c r="B271" s="661" t="s">
        <v>269</v>
      </c>
      <c r="C271" s="662">
        <v>0</v>
      </c>
      <c r="D271" s="662">
        <v>0</v>
      </c>
      <c r="E271" s="662">
        <v>0</v>
      </c>
      <c r="F271" s="662">
        <v>0</v>
      </c>
      <c r="G271" s="662">
        <v>0</v>
      </c>
      <c r="H271" s="662">
        <v>0</v>
      </c>
      <c r="I271" s="662">
        <v>0</v>
      </c>
      <c r="J271" s="802">
        <v>0</v>
      </c>
      <c r="K271" s="662">
        <v>0</v>
      </c>
      <c r="L271" s="662">
        <v>0</v>
      </c>
      <c r="M271" s="662">
        <v>0</v>
      </c>
      <c r="N271" s="662">
        <v>0</v>
      </c>
      <c r="O271" s="662">
        <v>0</v>
      </c>
      <c r="P271" s="662">
        <v>0</v>
      </c>
      <c r="Q271" s="802">
        <v>0</v>
      </c>
      <c r="R271" s="662">
        <v>0</v>
      </c>
      <c r="S271" s="662">
        <v>0</v>
      </c>
      <c r="T271" s="662">
        <v>0</v>
      </c>
      <c r="U271" s="662">
        <v>0</v>
      </c>
      <c r="V271" s="662">
        <v>0</v>
      </c>
      <c r="W271" s="802">
        <v>0</v>
      </c>
      <c r="X271" s="662">
        <v>0</v>
      </c>
      <c r="Y271" s="662">
        <v>0</v>
      </c>
      <c r="Z271" s="662">
        <v>0</v>
      </c>
      <c r="AA271" s="662">
        <v>0</v>
      </c>
      <c r="AB271" s="662">
        <v>0</v>
      </c>
      <c r="AC271" s="662">
        <v>0</v>
      </c>
      <c r="AD271" s="802">
        <v>0</v>
      </c>
      <c r="AE271" s="662">
        <v>0</v>
      </c>
      <c r="AF271" s="662">
        <v>0</v>
      </c>
      <c r="AG271" s="662">
        <v>0</v>
      </c>
      <c r="AH271" s="662">
        <v>0</v>
      </c>
      <c r="AI271" s="662">
        <v>0</v>
      </c>
      <c r="AJ271" s="662">
        <v>0</v>
      </c>
      <c r="AK271" s="802">
        <v>0</v>
      </c>
      <c r="AL271" s="662">
        <v>0</v>
      </c>
      <c r="AM271" s="662">
        <v>0</v>
      </c>
      <c r="AN271" s="662">
        <v>0</v>
      </c>
      <c r="AO271" s="662">
        <v>0</v>
      </c>
      <c r="AP271" s="662">
        <v>0</v>
      </c>
      <c r="AQ271" s="802">
        <v>0</v>
      </c>
      <c r="AR271" s="662">
        <v>0</v>
      </c>
      <c r="AS271" s="662">
        <v>0</v>
      </c>
      <c r="AT271" s="662">
        <v>0</v>
      </c>
      <c r="AU271" s="662">
        <v>0</v>
      </c>
      <c r="AV271" s="662">
        <v>0</v>
      </c>
      <c r="AW271" s="662">
        <v>0</v>
      </c>
      <c r="AX271" s="662">
        <v>0</v>
      </c>
      <c r="AY271" s="662">
        <v>0</v>
      </c>
      <c r="AZ271" s="662">
        <v>0</v>
      </c>
      <c r="BA271" s="662">
        <v>0</v>
      </c>
      <c r="BB271" s="662">
        <v>0</v>
      </c>
      <c r="BC271" s="662">
        <v>0</v>
      </c>
      <c r="BD271" s="662">
        <v>0</v>
      </c>
      <c r="BE271" s="802">
        <v>0</v>
      </c>
      <c r="BF271" s="662">
        <v>0</v>
      </c>
      <c r="BG271" s="662">
        <v>0</v>
      </c>
      <c r="BH271" s="662">
        <v>0</v>
      </c>
      <c r="BI271" s="662">
        <v>0</v>
      </c>
      <c r="BJ271" s="662">
        <v>0</v>
      </c>
      <c r="BK271" s="662">
        <v>0</v>
      </c>
      <c r="BL271" s="662">
        <v>0</v>
      </c>
      <c r="BM271" s="662">
        <v>0</v>
      </c>
      <c r="BN271" s="662">
        <v>0</v>
      </c>
      <c r="BO271" s="662">
        <v>0</v>
      </c>
      <c r="BP271" s="662">
        <v>0</v>
      </c>
      <c r="BQ271" s="662">
        <v>0</v>
      </c>
      <c r="BR271" s="662">
        <v>0</v>
      </c>
      <c r="BS271" s="662">
        <v>0</v>
      </c>
      <c r="BT271" s="662">
        <v>0</v>
      </c>
      <c r="BU271" s="662">
        <v>0</v>
      </c>
      <c r="BV271" s="662">
        <v>0</v>
      </c>
      <c r="BW271" s="662">
        <v>0</v>
      </c>
      <c r="BX271" s="662">
        <v>0</v>
      </c>
      <c r="BY271" s="662">
        <v>0</v>
      </c>
      <c r="BZ271" s="662">
        <v>0</v>
      </c>
      <c r="CA271" s="662">
        <v>0</v>
      </c>
      <c r="CB271" s="662">
        <v>0</v>
      </c>
      <c r="CC271" s="662">
        <v>0</v>
      </c>
      <c r="CD271" s="662">
        <v>0</v>
      </c>
      <c r="CE271" s="662">
        <v>0</v>
      </c>
      <c r="CF271" s="662">
        <v>0</v>
      </c>
      <c r="CG271" s="662">
        <v>0</v>
      </c>
      <c r="CH271" s="662">
        <v>0</v>
      </c>
      <c r="CI271" s="662">
        <v>0</v>
      </c>
      <c r="CJ271" s="662">
        <v>0</v>
      </c>
      <c r="CK271" s="662">
        <v>0</v>
      </c>
      <c r="CL271" s="662">
        <v>0</v>
      </c>
      <c r="CM271" s="662">
        <v>0</v>
      </c>
      <c r="CN271" s="662">
        <v>0</v>
      </c>
      <c r="CO271" s="662">
        <v>0</v>
      </c>
      <c r="CP271" s="662">
        <v>0</v>
      </c>
      <c r="CQ271" s="662">
        <v>0</v>
      </c>
      <c r="CR271" s="662">
        <v>0</v>
      </c>
      <c r="CS271" s="662">
        <v>0</v>
      </c>
      <c r="CT271" s="662">
        <v>0</v>
      </c>
      <c r="CU271" s="662">
        <v>0</v>
      </c>
      <c r="CV271" s="662">
        <v>0</v>
      </c>
      <c r="CW271" s="662">
        <v>0</v>
      </c>
      <c r="CX271" s="662">
        <v>0</v>
      </c>
      <c r="CY271" s="662">
        <v>0</v>
      </c>
      <c r="CZ271" s="662">
        <v>0</v>
      </c>
      <c r="DA271" s="662">
        <v>0</v>
      </c>
      <c r="DB271" s="662">
        <v>0</v>
      </c>
      <c r="DC271" s="662">
        <v>0</v>
      </c>
      <c r="DD271" s="662">
        <v>0</v>
      </c>
      <c r="DE271" s="662">
        <v>0</v>
      </c>
      <c r="DF271" s="662">
        <v>0</v>
      </c>
      <c r="DG271" s="662">
        <v>0</v>
      </c>
      <c r="DH271" s="662">
        <v>0</v>
      </c>
      <c r="DI271" s="662">
        <v>0</v>
      </c>
      <c r="DJ271" s="662">
        <v>0</v>
      </c>
      <c r="DK271" s="662">
        <v>0</v>
      </c>
      <c r="DL271" s="662">
        <v>0</v>
      </c>
      <c r="DM271" s="662">
        <v>0</v>
      </c>
      <c r="DN271" s="662">
        <v>0</v>
      </c>
      <c r="DO271" s="662">
        <v>0</v>
      </c>
      <c r="DP271" s="662">
        <v>0</v>
      </c>
      <c r="DQ271" s="662">
        <v>0</v>
      </c>
      <c r="DR271" s="662">
        <v>0</v>
      </c>
      <c r="DS271" s="662">
        <v>0</v>
      </c>
      <c r="DT271" s="662">
        <v>0</v>
      </c>
      <c r="DU271" s="662">
        <v>0</v>
      </c>
      <c r="DV271" s="662">
        <v>0</v>
      </c>
      <c r="DW271" s="662">
        <v>0</v>
      </c>
      <c r="DX271" s="662">
        <v>0</v>
      </c>
      <c r="DY271" s="662">
        <v>0</v>
      </c>
      <c r="DZ271" s="662">
        <v>0</v>
      </c>
      <c r="EA271" s="662">
        <v>0</v>
      </c>
      <c r="EB271" s="662">
        <v>0</v>
      </c>
      <c r="EC271" s="662">
        <v>0</v>
      </c>
      <c r="ED271" s="662">
        <v>0</v>
      </c>
      <c r="EE271" s="662">
        <v>0</v>
      </c>
      <c r="EF271" s="662">
        <v>0</v>
      </c>
      <c r="EG271" s="662">
        <v>0</v>
      </c>
      <c r="EH271" s="662">
        <v>0</v>
      </c>
      <c r="EI271" s="662">
        <v>0</v>
      </c>
      <c r="EJ271" s="662">
        <v>0</v>
      </c>
      <c r="EK271" s="662">
        <v>0</v>
      </c>
      <c r="EL271" s="662">
        <v>0</v>
      </c>
      <c r="EM271" s="662">
        <v>0</v>
      </c>
      <c r="EN271" s="662">
        <v>0</v>
      </c>
      <c r="EO271" s="662">
        <v>0</v>
      </c>
      <c r="EP271" s="662">
        <v>0</v>
      </c>
      <c r="EQ271" s="662">
        <v>0</v>
      </c>
    </row>
    <row r="272" spans="1:149" ht="13.95" customHeight="1" x14ac:dyDescent="0.3">
      <c r="A272" s="660" t="s">
        <v>1928</v>
      </c>
      <c r="B272" s="661" t="s">
        <v>269</v>
      </c>
      <c r="C272" s="662">
        <v>0</v>
      </c>
      <c r="D272" s="662">
        <v>0</v>
      </c>
      <c r="E272" s="662">
        <v>0</v>
      </c>
      <c r="F272" s="662">
        <v>0</v>
      </c>
      <c r="G272" s="662">
        <v>0</v>
      </c>
      <c r="H272" s="662">
        <v>0</v>
      </c>
      <c r="I272" s="662">
        <v>0</v>
      </c>
      <c r="J272" s="802">
        <v>0</v>
      </c>
      <c r="K272" s="662">
        <v>0</v>
      </c>
      <c r="L272" s="662">
        <v>0</v>
      </c>
      <c r="M272" s="662">
        <v>0</v>
      </c>
      <c r="N272" s="662">
        <v>0</v>
      </c>
      <c r="O272" s="662">
        <v>0</v>
      </c>
      <c r="P272" s="662">
        <v>0</v>
      </c>
      <c r="Q272" s="802">
        <v>0</v>
      </c>
      <c r="R272" s="662">
        <v>0</v>
      </c>
      <c r="S272" s="662">
        <v>0</v>
      </c>
      <c r="T272" s="662">
        <v>0</v>
      </c>
      <c r="U272" s="662">
        <v>0</v>
      </c>
      <c r="V272" s="662">
        <v>0</v>
      </c>
      <c r="W272" s="802">
        <v>0</v>
      </c>
      <c r="X272" s="662">
        <v>0</v>
      </c>
      <c r="Y272" s="662">
        <v>0</v>
      </c>
      <c r="Z272" s="662">
        <v>0</v>
      </c>
      <c r="AA272" s="662">
        <v>0</v>
      </c>
      <c r="AB272" s="662">
        <v>0</v>
      </c>
      <c r="AC272" s="662">
        <v>0</v>
      </c>
      <c r="AD272" s="802">
        <v>0</v>
      </c>
      <c r="AE272" s="662">
        <v>0</v>
      </c>
      <c r="AF272" s="662">
        <v>0</v>
      </c>
      <c r="AG272" s="662">
        <v>0</v>
      </c>
      <c r="AH272" s="662">
        <v>0</v>
      </c>
      <c r="AI272" s="662">
        <v>0</v>
      </c>
      <c r="AJ272" s="662">
        <v>0</v>
      </c>
      <c r="AK272" s="802">
        <v>0</v>
      </c>
      <c r="AL272" s="662">
        <v>0</v>
      </c>
      <c r="AM272" s="662">
        <v>0</v>
      </c>
      <c r="AN272" s="662">
        <v>0</v>
      </c>
      <c r="AO272" s="662">
        <v>0</v>
      </c>
      <c r="AP272" s="662">
        <v>0</v>
      </c>
      <c r="AQ272" s="802">
        <v>0</v>
      </c>
      <c r="AR272" s="662">
        <v>0</v>
      </c>
      <c r="AS272" s="662">
        <v>0</v>
      </c>
      <c r="AT272" s="662">
        <v>0</v>
      </c>
      <c r="AU272" s="662">
        <v>0</v>
      </c>
      <c r="AV272" s="662">
        <v>0</v>
      </c>
      <c r="AW272" s="662">
        <v>0</v>
      </c>
      <c r="AX272" s="662">
        <v>0</v>
      </c>
      <c r="AY272" s="662">
        <v>0</v>
      </c>
      <c r="AZ272" s="662">
        <v>0</v>
      </c>
      <c r="BA272" s="662">
        <v>0</v>
      </c>
      <c r="BB272" s="662">
        <v>0</v>
      </c>
      <c r="BC272" s="662">
        <v>0</v>
      </c>
      <c r="BD272" s="662">
        <v>0</v>
      </c>
      <c r="BE272" s="802">
        <v>0</v>
      </c>
      <c r="BF272" s="662">
        <v>0</v>
      </c>
      <c r="BG272" s="662">
        <v>0</v>
      </c>
      <c r="BH272" s="662">
        <v>0</v>
      </c>
      <c r="BI272" s="662">
        <v>0</v>
      </c>
      <c r="BJ272" s="662">
        <v>0</v>
      </c>
      <c r="BK272" s="662">
        <v>0</v>
      </c>
      <c r="BL272" s="662">
        <v>0</v>
      </c>
      <c r="BM272" s="662">
        <v>0</v>
      </c>
      <c r="BN272" s="662">
        <v>0</v>
      </c>
      <c r="BO272" s="662">
        <v>0</v>
      </c>
      <c r="BP272" s="662">
        <v>0</v>
      </c>
      <c r="BQ272" s="662">
        <v>0</v>
      </c>
      <c r="BR272" s="662">
        <v>0</v>
      </c>
      <c r="BS272" s="662">
        <v>0</v>
      </c>
      <c r="BT272" s="662">
        <v>0</v>
      </c>
      <c r="BU272" s="662">
        <v>0</v>
      </c>
      <c r="BV272" s="662">
        <v>0</v>
      </c>
      <c r="BW272" s="662">
        <v>0</v>
      </c>
      <c r="BX272" s="662">
        <v>0</v>
      </c>
      <c r="BY272" s="662">
        <v>0</v>
      </c>
      <c r="BZ272" s="662">
        <v>0</v>
      </c>
      <c r="CA272" s="662">
        <v>0</v>
      </c>
      <c r="CB272" s="662">
        <v>0</v>
      </c>
      <c r="CC272" s="662">
        <v>0</v>
      </c>
      <c r="CD272" s="662">
        <v>0</v>
      </c>
      <c r="CE272" s="662">
        <v>0</v>
      </c>
      <c r="CF272" s="662">
        <v>0</v>
      </c>
      <c r="CG272" s="662">
        <v>0</v>
      </c>
      <c r="CH272" s="662">
        <v>0</v>
      </c>
      <c r="CI272" s="662">
        <v>0</v>
      </c>
      <c r="CJ272" s="662">
        <v>0</v>
      </c>
      <c r="CK272" s="662">
        <v>0</v>
      </c>
      <c r="CL272" s="662">
        <v>0</v>
      </c>
      <c r="CM272" s="662">
        <v>0</v>
      </c>
      <c r="CN272" s="662">
        <v>0</v>
      </c>
      <c r="CO272" s="662">
        <v>0</v>
      </c>
      <c r="CP272" s="662">
        <v>0</v>
      </c>
      <c r="CQ272" s="662">
        <v>0</v>
      </c>
      <c r="CR272" s="662">
        <v>0</v>
      </c>
      <c r="CS272" s="662">
        <v>0</v>
      </c>
      <c r="CT272" s="662">
        <v>0</v>
      </c>
      <c r="CU272" s="662">
        <v>0</v>
      </c>
      <c r="CV272" s="662">
        <v>0</v>
      </c>
      <c r="CW272" s="662">
        <v>0</v>
      </c>
      <c r="CX272" s="662">
        <v>0</v>
      </c>
      <c r="CY272" s="662">
        <v>0</v>
      </c>
      <c r="CZ272" s="662">
        <v>0</v>
      </c>
      <c r="DA272" s="662">
        <v>0</v>
      </c>
      <c r="DB272" s="662">
        <v>0</v>
      </c>
      <c r="DC272" s="662">
        <v>0</v>
      </c>
      <c r="DD272" s="662">
        <v>0</v>
      </c>
      <c r="DE272" s="662">
        <v>0</v>
      </c>
      <c r="DF272" s="662">
        <v>0</v>
      </c>
      <c r="DG272" s="662">
        <v>0</v>
      </c>
      <c r="DH272" s="662">
        <v>0</v>
      </c>
      <c r="DI272" s="662">
        <v>0</v>
      </c>
      <c r="DJ272" s="662">
        <v>0</v>
      </c>
      <c r="DK272" s="662">
        <v>0</v>
      </c>
      <c r="DL272" s="662">
        <v>0</v>
      </c>
      <c r="DM272" s="662">
        <v>0</v>
      </c>
      <c r="DN272" s="662">
        <v>0</v>
      </c>
      <c r="DO272" s="662">
        <v>0</v>
      </c>
      <c r="DP272" s="662">
        <v>0</v>
      </c>
      <c r="DQ272" s="662">
        <v>0</v>
      </c>
      <c r="DR272" s="662">
        <v>0</v>
      </c>
      <c r="DS272" s="662">
        <v>0</v>
      </c>
      <c r="DT272" s="662">
        <v>0</v>
      </c>
      <c r="DU272" s="662">
        <v>0</v>
      </c>
      <c r="DV272" s="662">
        <v>0</v>
      </c>
      <c r="DW272" s="662">
        <v>0</v>
      </c>
      <c r="DX272" s="662">
        <v>0</v>
      </c>
      <c r="DY272" s="662">
        <v>0</v>
      </c>
      <c r="DZ272" s="662">
        <v>0</v>
      </c>
      <c r="EA272" s="662">
        <v>0</v>
      </c>
      <c r="EB272" s="662">
        <v>0</v>
      </c>
      <c r="EC272" s="662">
        <v>0</v>
      </c>
      <c r="ED272" s="662">
        <v>0</v>
      </c>
      <c r="EE272" s="662">
        <v>0</v>
      </c>
      <c r="EF272" s="662">
        <v>0</v>
      </c>
      <c r="EG272" s="662">
        <v>0</v>
      </c>
      <c r="EH272" s="662">
        <v>0</v>
      </c>
      <c r="EI272" s="662">
        <v>0</v>
      </c>
      <c r="EJ272" s="662">
        <v>0</v>
      </c>
      <c r="EK272" s="662">
        <v>0</v>
      </c>
      <c r="EL272" s="662">
        <v>0</v>
      </c>
      <c r="EM272" s="662">
        <v>0</v>
      </c>
      <c r="EN272" s="662">
        <v>0</v>
      </c>
      <c r="EO272" s="662">
        <v>0</v>
      </c>
      <c r="EP272" s="662">
        <v>0</v>
      </c>
      <c r="EQ272" s="662">
        <v>0</v>
      </c>
    </row>
    <row r="273" spans="1:149" ht="13.95" customHeight="1" x14ac:dyDescent="0.3">
      <c r="A273" s="660" t="s">
        <v>1929</v>
      </c>
      <c r="B273" s="661" t="s">
        <v>269</v>
      </c>
      <c r="C273" s="662">
        <v>0</v>
      </c>
      <c r="D273" s="662">
        <v>0</v>
      </c>
      <c r="E273" s="662">
        <v>0</v>
      </c>
      <c r="F273" s="662">
        <v>0</v>
      </c>
      <c r="G273" s="662">
        <v>0</v>
      </c>
      <c r="H273" s="662">
        <v>0</v>
      </c>
      <c r="I273" s="662">
        <v>0</v>
      </c>
      <c r="J273" s="802">
        <v>0</v>
      </c>
      <c r="K273" s="662">
        <v>0</v>
      </c>
      <c r="L273" s="662">
        <v>0</v>
      </c>
      <c r="M273" s="662">
        <v>0</v>
      </c>
      <c r="N273" s="662">
        <v>0</v>
      </c>
      <c r="O273" s="662">
        <v>0</v>
      </c>
      <c r="P273" s="662">
        <v>0</v>
      </c>
      <c r="Q273" s="802">
        <v>0</v>
      </c>
      <c r="R273" s="662">
        <v>0</v>
      </c>
      <c r="S273" s="662">
        <v>0</v>
      </c>
      <c r="T273" s="662">
        <v>0</v>
      </c>
      <c r="U273" s="662">
        <v>0</v>
      </c>
      <c r="V273" s="662">
        <v>0</v>
      </c>
      <c r="W273" s="802">
        <v>0</v>
      </c>
      <c r="X273" s="662">
        <v>0</v>
      </c>
      <c r="Y273" s="662">
        <v>0</v>
      </c>
      <c r="Z273" s="662">
        <v>0</v>
      </c>
      <c r="AA273" s="662">
        <v>0</v>
      </c>
      <c r="AB273" s="662">
        <v>0</v>
      </c>
      <c r="AC273" s="662">
        <v>0</v>
      </c>
      <c r="AD273" s="802">
        <v>0</v>
      </c>
      <c r="AE273" s="662">
        <v>0</v>
      </c>
      <c r="AF273" s="662">
        <v>0</v>
      </c>
      <c r="AG273" s="662">
        <v>0</v>
      </c>
      <c r="AH273" s="662">
        <v>0</v>
      </c>
      <c r="AI273" s="662">
        <v>0</v>
      </c>
      <c r="AJ273" s="662">
        <v>0</v>
      </c>
      <c r="AK273" s="802">
        <v>0</v>
      </c>
      <c r="AL273" s="662">
        <v>0</v>
      </c>
      <c r="AM273" s="662">
        <v>0</v>
      </c>
      <c r="AN273" s="662">
        <v>0</v>
      </c>
      <c r="AO273" s="662">
        <v>0</v>
      </c>
      <c r="AP273" s="662">
        <v>0</v>
      </c>
      <c r="AQ273" s="802">
        <v>0</v>
      </c>
      <c r="AR273" s="662">
        <v>0</v>
      </c>
      <c r="AS273" s="662">
        <v>0</v>
      </c>
      <c r="AT273" s="662">
        <v>0</v>
      </c>
      <c r="AU273" s="662">
        <v>0</v>
      </c>
      <c r="AV273" s="662">
        <v>0</v>
      </c>
      <c r="AW273" s="662">
        <v>0</v>
      </c>
      <c r="AX273" s="662">
        <v>0</v>
      </c>
      <c r="AY273" s="662">
        <v>0</v>
      </c>
      <c r="AZ273" s="662">
        <v>0</v>
      </c>
      <c r="BA273" s="662">
        <v>0</v>
      </c>
      <c r="BB273" s="662">
        <v>0</v>
      </c>
      <c r="BC273" s="662">
        <v>0</v>
      </c>
      <c r="BD273" s="662">
        <v>0</v>
      </c>
      <c r="BE273" s="802">
        <v>0</v>
      </c>
      <c r="BF273" s="662">
        <v>0</v>
      </c>
      <c r="BG273" s="662">
        <v>0</v>
      </c>
      <c r="BH273" s="662">
        <v>0</v>
      </c>
      <c r="BI273" s="662">
        <v>0</v>
      </c>
      <c r="BJ273" s="662">
        <v>0</v>
      </c>
      <c r="BK273" s="662">
        <v>0</v>
      </c>
      <c r="BL273" s="662">
        <v>0</v>
      </c>
      <c r="BM273" s="662">
        <v>0</v>
      </c>
      <c r="BN273" s="662">
        <v>0</v>
      </c>
      <c r="BO273" s="662">
        <v>0</v>
      </c>
      <c r="BP273" s="662">
        <v>0</v>
      </c>
      <c r="BQ273" s="662">
        <v>0</v>
      </c>
      <c r="BR273" s="662">
        <v>0</v>
      </c>
      <c r="BS273" s="662">
        <v>0</v>
      </c>
      <c r="BT273" s="662">
        <v>0</v>
      </c>
      <c r="BU273" s="662">
        <v>0</v>
      </c>
      <c r="BV273" s="662">
        <v>0</v>
      </c>
      <c r="BW273" s="662">
        <v>0</v>
      </c>
      <c r="BX273" s="662">
        <v>0</v>
      </c>
      <c r="BY273" s="662">
        <v>0</v>
      </c>
      <c r="BZ273" s="662">
        <v>0</v>
      </c>
      <c r="CA273" s="662">
        <v>0</v>
      </c>
      <c r="CB273" s="662">
        <v>0</v>
      </c>
      <c r="CC273" s="662">
        <v>0</v>
      </c>
      <c r="CD273" s="662">
        <v>0</v>
      </c>
      <c r="CE273" s="662">
        <v>0</v>
      </c>
      <c r="CF273" s="662">
        <v>0</v>
      </c>
      <c r="CG273" s="662">
        <v>0</v>
      </c>
      <c r="CH273" s="662">
        <v>0</v>
      </c>
      <c r="CI273" s="662">
        <v>0</v>
      </c>
      <c r="CJ273" s="662">
        <v>0</v>
      </c>
      <c r="CK273" s="662">
        <v>0</v>
      </c>
      <c r="CL273" s="662">
        <v>0</v>
      </c>
      <c r="CM273" s="662">
        <v>0</v>
      </c>
      <c r="CN273" s="662">
        <v>0</v>
      </c>
      <c r="CO273" s="662">
        <v>0</v>
      </c>
      <c r="CP273" s="662">
        <v>0</v>
      </c>
      <c r="CQ273" s="662">
        <v>0</v>
      </c>
      <c r="CR273" s="662">
        <v>0</v>
      </c>
      <c r="CS273" s="662">
        <v>0</v>
      </c>
      <c r="CT273" s="662">
        <v>0</v>
      </c>
      <c r="CU273" s="662">
        <v>0</v>
      </c>
      <c r="CV273" s="662">
        <v>0</v>
      </c>
      <c r="CW273" s="662">
        <v>0</v>
      </c>
      <c r="CX273" s="662">
        <v>0</v>
      </c>
      <c r="CY273" s="662">
        <v>0</v>
      </c>
      <c r="CZ273" s="662">
        <v>0</v>
      </c>
      <c r="DA273" s="662">
        <v>0</v>
      </c>
      <c r="DB273" s="662">
        <v>0</v>
      </c>
      <c r="DC273" s="662">
        <v>0</v>
      </c>
      <c r="DD273" s="662">
        <v>0</v>
      </c>
      <c r="DE273" s="662">
        <v>0</v>
      </c>
      <c r="DF273" s="662">
        <v>0</v>
      </c>
      <c r="DG273" s="662">
        <v>0</v>
      </c>
      <c r="DH273" s="662">
        <v>0</v>
      </c>
      <c r="DI273" s="662">
        <v>0</v>
      </c>
      <c r="DJ273" s="662">
        <v>0</v>
      </c>
      <c r="DK273" s="662">
        <v>0</v>
      </c>
      <c r="DL273" s="662">
        <v>0</v>
      </c>
      <c r="DM273" s="662">
        <v>0</v>
      </c>
      <c r="DN273" s="662">
        <v>0</v>
      </c>
      <c r="DO273" s="662">
        <v>0</v>
      </c>
      <c r="DP273" s="662">
        <v>0</v>
      </c>
      <c r="DQ273" s="662">
        <v>0</v>
      </c>
      <c r="DR273" s="662">
        <v>0</v>
      </c>
      <c r="DS273" s="662">
        <v>0</v>
      </c>
      <c r="DT273" s="662">
        <v>0</v>
      </c>
      <c r="DU273" s="662">
        <v>0</v>
      </c>
      <c r="DV273" s="662">
        <v>0</v>
      </c>
      <c r="DW273" s="662">
        <v>0</v>
      </c>
      <c r="DX273" s="662">
        <v>0</v>
      </c>
      <c r="DY273" s="662">
        <v>0</v>
      </c>
      <c r="DZ273" s="662">
        <v>0</v>
      </c>
      <c r="EA273" s="662">
        <v>0</v>
      </c>
      <c r="EB273" s="662">
        <v>0</v>
      </c>
      <c r="EC273" s="662">
        <v>0</v>
      </c>
      <c r="ED273" s="662">
        <v>0</v>
      </c>
      <c r="EE273" s="662">
        <v>0</v>
      </c>
      <c r="EF273" s="662">
        <v>0</v>
      </c>
      <c r="EG273" s="662">
        <v>0</v>
      </c>
      <c r="EH273" s="662">
        <v>0</v>
      </c>
      <c r="EI273" s="662">
        <v>0</v>
      </c>
      <c r="EJ273" s="662">
        <v>0</v>
      </c>
      <c r="EK273" s="662">
        <v>0</v>
      </c>
      <c r="EL273" s="662">
        <v>0</v>
      </c>
      <c r="EM273" s="662">
        <v>0</v>
      </c>
      <c r="EN273" s="662">
        <v>0</v>
      </c>
      <c r="EO273" s="662">
        <v>0</v>
      </c>
      <c r="EP273" s="662">
        <v>0</v>
      </c>
      <c r="EQ273" s="662">
        <v>0</v>
      </c>
    </row>
    <row r="274" spans="1:149" s="663" customFormat="1" ht="13.95" customHeight="1" x14ac:dyDescent="0.3">
      <c r="A274" s="660" t="s">
        <v>1930</v>
      </c>
      <c r="B274" s="661" t="s">
        <v>269</v>
      </c>
      <c r="C274" s="662">
        <f t="shared" ref="C274:BN274" si="115">C276+C278+C280+C282+C284+C285+C286</f>
        <v>62014</v>
      </c>
      <c r="D274" s="662">
        <f t="shared" si="115"/>
        <v>0</v>
      </c>
      <c r="E274" s="662">
        <f t="shared" si="115"/>
        <v>58892</v>
      </c>
      <c r="F274" s="662">
        <f t="shared" si="115"/>
        <v>12760939</v>
      </c>
      <c r="G274" s="662">
        <f t="shared" si="115"/>
        <v>0</v>
      </c>
      <c r="H274" s="662">
        <f t="shared" si="115"/>
        <v>0</v>
      </c>
      <c r="I274" s="662">
        <f t="shared" si="115"/>
        <v>12457264</v>
      </c>
      <c r="J274" s="802">
        <f t="shared" si="115"/>
        <v>0</v>
      </c>
      <c r="K274" s="662">
        <f t="shared" si="115"/>
        <v>0</v>
      </c>
      <c r="L274" s="662">
        <f t="shared" si="115"/>
        <v>0</v>
      </c>
      <c r="M274" s="662">
        <f t="shared" si="115"/>
        <v>0</v>
      </c>
      <c r="N274" s="662">
        <f t="shared" si="115"/>
        <v>0</v>
      </c>
      <c r="O274" s="662">
        <f t="shared" si="115"/>
        <v>0</v>
      </c>
      <c r="P274" s="662">
        <f t="shared" si="115"/>
        <v>0</v>
      </c>
      <c r="Q274" s="802">
        <f t="shared" si="115"/>
        <v>0</v>
      </c>
      <c r="R274" s="662">
        <f t="shared" si="115"/>
        <v>0</v>
      </c>
      <c r="S274" s="662">
        <f t="shared" si="115"/>
        <v>0</v>
      </c>
      <c r="T274" s="662">
        <f t="shared" si="115"/>
        <v>0</v>
      </c>
      <c r="U274" s="662">
        <f t="shared" si="115"/>
        <v>0</v>
      </c>
      <c r="V274" s="662">
        <f t="shared" si="115"/>
        <v>0</v>
      </c>
      <c r="W274" s="802">
        <f t="shared" si="115"/>
        <v>43</v>
      </c>
      <c r="X274" s="662">
        <f t="shared" si="115"/>
        <v>0</v>
      </c>
      <c r="Y274" s="662">
        <f t="shared" si="115"/>
        <v>42</v>
      </c>
      <c r="Z274" s="662">
        <f t="shared" si="115"/>
        <v>3970</v>
      </c>
      <c r="AA274" s="662">
        <f t="shared" si="115"/>
        <v>0</v>
      </c>
      <c r="AB274" s="662">
        <f t="shared" si="115"/>
        <v>0</v>
      </c>
      <c r="AC274" s="662">
        <f t="shared" si="115"/>
        <v>3820</v>
      </c>
      <c r="AD274" s="802">
        <f t="shared" si="115"/>
        <v>1</v>
      </c>
      <c r="AE274" s="662">
        <f t="shared" si="115"/>
        <v>0</v>
      </c>
      <c r="AF274" s="662">
        <f t="shared" si="115"/>
        <v>1</v>
      </c>
      <c r="AG274" s="662">
        <f t="shared" si="115"/>
        <v>80</v>
      </c>
      <c r="AH274" s="662">
        <f t="shared" si="115"/>
        <v>0</v>
      </c>
      <c r="AI274" s="662">
        <f t="shared" si="115"/>
        <v>0</v>
      </c>
      <c r="AJ274" s="662">
        <f t="shared" si="115"/>
        <v>80</v>
      </c>
      <c r="AK274" s="802">
        <f t="shared" si="115"/>
        <v>0</v>
      </c>
      <c r="AL274" s="662">
        <f t="shared" si="115"/>
        <v>0</v>
      </c>
      <c r="AM274" s="662">
        <f t="shared" si="115"/>
        <v>0</v>
      </c>
      <c r="AN274" s="662">
        <f t="shared" si="115"/>
        <v>0</v>
      </c>
      <c r="AO274" s="662">
        <f t="shared" si="115"/>
        <v>0</v>
      </c>
      <c r="AP274" s="662">
        <f t="shared" si="115"/>
        <v>0</v>
      </c>
      <c r="AQ274" s="802">
        <f t="shared" si="115"/>
        <v>0</v>
      </c>
      <c r="AR274" s="662">
        <f t="shared" si="115"/>
        <v>0</v>
      </c>
      <c r="AS274" s="662">
        <f t="shared" si="115"/>
        <v>0</v>
      </c>
      <c r="AT274" s="662">
        <f t="shared" si="115"/>
        <v>0</v>
      </c>
      <c r="AU274" s="662">
        <f t="shared" si="115"/>
        <v>0</v>
      </c>
      <c r="AV274" s="662">
        <f t="shared" si="115"/>
        <v>0</v>
      </c>
      <c r="AW274" s="662">
        <f t="shared" si="115"/>
        <v>0</v>
      </c>
      <c r="AX274" s="662">
        <f t="shared" si="115"/>
        <v>0</v>
      </c>
      <c r="AY274" s="662">
        <f t="shared" si="115"/>
        <v>0</v>
      </c>
      <c r="AZ274" s="662">
        <f t="shared" si="115"/>
        <v>0</v>
      </c>
      <c r="BA274" s="662">
        <f t="shared" si="115"/>
        <v>0</v>
      </c>
      <c r="BB274" s="662">
        <f t="shared" si="115"/>
        <v>0</v>
      </c>
      <c r="BC274" s="662">
        <f t="shared" si="115"/>
        <v>0</v>
      </c>
      <c r="BD274" s="662">
        <f t="shared" si="115"/>
        <v>0</v>
      </c>
      <c r="BE274" s="802">
        <f t="shared" si="115"/>
        <v>0</v>
      </c>
      <c r="BF274" s="662">
        <f t="shared" si="115"/>
        <v>0</v>
      </c>
      <c r="BG274" s="662">
        <f t="shared" si="115"/>
        <v>0</v>
      </c>
      <c r="BH274" s="662">
        <f t="shared" si="115"/>
        <v>0</v>
      </c>
      <c r="BI274" s="662">
        <f t="shared" si="115"/>
        <v>0</v>
      </c>
      <c r="BJ274" s="662">
        <f t="shared" si="115"/>
        <v>0</v>
      </c>
      <c r="BK274" s="662">
        <f t="shared" si="115"/>
        <v>0</v>
      </c>
      <c r="BL274" s="662">
        <f t="shared" si="115"/>
        <v>5</v>
      </c>
      <c r="BM274" s="662">
        <f t="shared" si="115"/>
        <v>0</v>
      </c>
      <c r="BN274" s="662">
        <f t="shared" si="115"/>
        <v>5</v>
      </c>
      <c r="BO274" s="662">
        <f t="shared" ref="BO274:DZ274" si="116">BO276+BO278+BO280+BO282+BO284+BO285+BO286</f>
        <v>460</v>
      </c>
      <c r="BP274" s="662">
        <f t="shared" si="116"/>
        <v>0</v>
      </c>
      <c r="BQ274" s="662">
        <f t="shared" si="116"/>
        <v>0</v>
      </c>
      <c r="BR274" s="662">
        <f t="shared" si="116"/>
        <v>455</v>
      </c>
      <c r="BS274" s="662">
        <f t="shared" si="116"/>
        <v>0</v>
      </c>
      <c r="BT274" s="662">
        <f t="shared" si="116"/>
        <v>0</v>
      </c>
      <c r="BU274" s="662">
        <f t="shared" si="116"/>
        <v>0</v>
      </c>
      <c r="BV274" s="662">
        <f t="shared" si="116"/>
        <v>0</v>
      </c>
      <c r="BW274" s="662">
        <f t="shared" si="116"/>
        <v>0</v>
      </c>
      <c r="BX274" s="662">
        <f t="shared" si="116"/>
        <v>0</v>
      </c>
      <c r="BY274" s="662">
        <f t="shared" si="116"/>
        <v>0</v>
      </c>
      <c r="BZ274" s="662">
        <f t="shared" si="116"/>
        <v>0</v>
      </c>
      <c r="CA274" s="662">
        <f t="shared" si="116"/>
        <v>0</v>
      </c>
      <c r="CB274" s="662">
        <f t="shared" si="116"/>
        <v>0</v>
      </c>
      <c r="CC274" s="662">
        <f t="shared" si="116"/>
        <v>0</v>
      </c>
      <c r="CD274" s="662">
        <f t="shared" si="116"/>
        <v>0</v>
      </c>
      <c r="CE274" s="662">
        <f t="shared" si="116"/>
        <v>0</v>
      </c>
      <c r="CF274" s="662">
        <f t="shared" si="116"/>
        <v>0</v>
      </c>
      <c r="CG274" s="662">
        <f t="shared" si="116"/>
        <v>174</v>
      </c>
      <c r="CH274" s="662">
        <f t="shared" si="116"/>
        <v>0</v>
      </c>
      <c r="CI274" s="662">
        <f t="shared" si="116"/>
        <v>162</v>
      </c>
      <c r="CJ274" s="662">
        <f t="shared" si="116"/>
        <v>13730</v>
      </c>
      <c r="CK274" s="662">
        <f t="shared" si="116"/>
        <v>0</v>
      </c>
      <c r="CL274" s="662">
        <f t="shared" si="116"/>
        <v>0</v>
      </c>
      <c r="CM274" s="662">
        <f t="shared" si="116"/>
        <v>11380</v>
      </c>
      <c r="CN274" s="662">
        <f t="shared" si="116"/>
        <v>0</v>
      </c>
      <c r="CO274" s="662">
        <f t="shared" si="116"/>
        <v>0</v>
      </c>
      <c r="CP274" s="662">
        <f t="shared" si="116"/>
        <v>0</v>
      </c>
      <c r="CQ274" s="662">
        <f t="shared" si="116"/>
        <v>0</v>
      </c>
      <c r="CR274" s="662">
        <f t="shared" si="116"/>
        <v>0</v>
      </c>
      <c r="CS274" s="662">
        <f t="shared" si="116"/>
        <v>0</v>
      </c>
      <c r="CT274" s="662">
        <f t="shared" si="116"/>
        <v>0</v>
      </c>
      <c r="CU274" s="662">
        <f t="shared" si="116"/>
        <v>2</v>
      </c>
      <c r="CV274" s="662">
        <f t="shared" si="116"/>
        <v>0</v>
      </c>
      <c r="CW274" s="662">
        <f t="shared" si="116"/>
        <v>2</v>
      </c>
      <c r="CX274" s="662">
        <f t="shared" si="116"/>
        <v>360</v>
      </c>
      <c r="CY274" s="662">
        <f t="shared" si="116"/>
        <v>0</v>
      </c>
      <c r="CZ274" s="662">
        <f t="shared" si="116"/>
        <v>0</v>
      </c>
      <c r="DA274" s="662">
        <f t="shared" si="116"/>
        <v>360</v>
      </c>
      <c r="DB274" s="662">
        <f t="shared" si="116"/>
        <v>1956</v>
      </c>
      <c r="DC274" s="662">
        <f t="shared" si="116"/>
        <v>0</v>
      </c>
      <c r="DD274" s="662">
        <f t="shared" si="116"/>
        <v>1931</v>
      </c>
      <c r="DE274" s="662">
        <f t="shared" si="116"/>
        <v>346395</v>
      </c>
      <c r="DF274" s="662">
        <f t="shared" si="116"/>
        <v>0</v>
      </c>
      <c r="DG274" s="662">
        <f t="shared" si="116"/>
        <v>0</v>
      </c>
      <c r="DH274" s="662">
        <f t="shared" si="116"/>
        <v>331753</v>
      </c>
      <c r="DI274" s="662">
        <f t="shared" si="116"/>
        <v>5406</v>
      </c>
      <c r="DJ274" s="662">
        <f t="shared" si="116"/>
        <v>0</v>
      </c>
      <c r="DK274" s="662">
        <f t="shared" si="116"/>
        <v>5401</v>
      </c>
      <c r="DL274" s="662">
        <f t="shared" si="116"/>
        <v>1300525</v>
      </c>
      <c r="DM274" s="662">
        <f t="shared" si="116"/>
        <v>0</v>
      </c>
      <c r="DN274" s="662">
        <f t="shared" si="116"/>
        <v>0</v>
      </c>
      <c r="DO274" s="662">
        <f t="shared" si="116"/>
        <v>1295360</v>
      </c>
      <c r="DP274" s="662">
        <f t="shared" si="116"/>
        <v>1980</v>
      </c>
      <c r="DQ274" s="662">
        <f t="shared" si="116"/>
        <v>0</v>
      </c>
      <c r="DR274" s="662">
        <f t="shared" si="116"/>
        <v>1851</v>
      </c>
      <c r="DS274" s="662">
        <f t="shared" si="116"/>
        <v>304203</v>
      </c>
      <c r="DT274" s="662">
        <f t="shared" si="116"/>
        <v>0</v>
      </c>
      <c r="DU274" s="662">
        <f t="shared" si="116"/>
        <v>0</v>
      </c>
      <c r="DV274" s="662">
        <f t="shared" si="116"/>
        <v>300786</v>
      </c>
      <c r="DW274" s="662">
        <f t="shared" si="116"/>
        <v>21099</v>
      </c>
      <c r="DX274" s="662">
        <f t="shared" si="116"/>
        <v>0</v>
      </c>
      <c r="DY274" s="662">
        <f t="shared" si="116"/>
        <v>21027</v>
      </c>
      <c r="DZ274" s="662">
        <f t="shared" si="116"/>
        <v>5534648</v>
      </c>
      <c r="EA274" s="662">
        <f t="shared" ref="EA274:EQ274" si="117">EA276+EA278+EA280+EA282+EA284+EA285+EA286</f>
        <v>0</v>
      </c>
      <c r="EB274" s="662">
        <f t="shared" si="117"/>
        <v>0</v>
      </c>
      <c r="EC274" s="662">
        <f t="shared" si="117"/>
        <v>5371722</v>
      </c>
      <c r="ED274" s="662">
        <f t="shared" si="117"/>
        <v>30237</v>
      </c>
      <c r="EE274" s="662">
        <f t="shared" si="117"/>
        <v>0</v>
      </c>
      <c r="EF274" s="662">
        <f t="shared" si="117"/>
        <v>27359</v>
      </c>
      <c r="EG274" s="662">
        <f t="shared" si="117"/>
        <v>5092988</v>
      </c>
      <c r="EH274" s="662">
        <f t="shared" si="117"/>
        <v>0</v>
      </c>
      <c r="EI274" s="662">
        <f t="shared" si="117"/>
        <v>0</v>
      </c>
      <c r="EJ274" s="662">
        <f t="shared" si="117"/>
        <v>4977938</v>
      </c>
      <c r="EK274" s="662">
        <f t="shared" si="117"/>
        <v>1114</v>
      </c>
      <c r="EL274" s="662">
        <f t="shared" si="117"/>
        <v>0</v>
      </c>
      <c r="EM274" s="662">
        <f t="shared" si="117"/>
        <v>1114</v>
      </c>
      <c r="EN274" s="662">
        <f t="shared" si="117"/>
        <v>163800</v>
      </c>
      <c r="EO274" s="662">
        <f t="shared" si="117"/>
        <v>0</v>
      </c>
      <c r="EP274" s="662">
        <f t="shared" si="117"/>
        <v>0</v>
      </c>
      <c r="EQ274" s="662">
        <f t="shared" si="117"/>
        <v>163800</v>
      </c>
      <c r="ER274" s="659"/>
      <c r="ES274" s="659"/>
    </row>
    <row r="275" spans="1:149" ht="20.7" customHeight="1" x14ac:dyDescent="0.3">
      <c r="A275" s="660" t="s">
        <v>1931</v>
      </c>
      <c r="B275" s="661" t="s">
        <v>269</v>
      </c>
      <c r="C275" s="662">
        <v>0</v>
      </c>
      <c r="D275" s="662">
        <v>0</v>
      </c>
      <c r="E275" s="662">
        <v>0</v>
      </c>
      <c r="F275" s="662">
        <v>0</v>
      </c>
      <c r="G275" s="662">
        <v>0</v>
      </c>
      <c r="H275" s="662">
        <v>0</v>
      </c>
      <c r="I275" s="662">
        <v>0</v>
      </c>
      <c r="J275" s="802">
        <v>0</v>
      </c>
      <c r="K275" s="662">
        <v>0</v>
      </c>
      <c r="L275" s="662">
        <v>0</v>
      </c>
      <c r="M275" s="662">
        <v>0</v>
      </c>
      <c r="N275" s="662">
        <v>0</v>
      </c>
      <c r="O275" s="662">
        <v>0</v>
      </c>
      <c r="P275" s="662">
        <v>0</v>
      </c>
      <c r="Q275" s="802">
        <v>0</v>
      </c>
      <c r="R275" s="662">
        <v>0</v>
      </c>
      <c r="S275" s="662">
        <v>0</v>
      </c>
      <c r="T275" s="662">
        <v>0</v>
      </c>
      <c r="U275" s="662">
        <v>0</v>
      </c>
      <c r="V275" s="662">
        <v>0</v>
      </c>
      <c r="W275" s="802">
        <v>0</v>
      </c>
      <c r="X275" s="662">
        <v>0</v>
      </c>
      <c r="Y275" s="662">
        <v>0</v>
      </c>
      <c r="Z275" s="662">
        <v>0</v>
      </c>
      <c r="AA275" s="662">
        <v>0</v>
      </c>
      <c r="AB275" s="662">
        <v>0</v>
      </c>
      <c r="AC275" s="662">
        <v>0</v>
      </c>
      <c r="AD275" s="802">
        <v>0</v>
      </c>
      <c r="AE275" s="662">
        <v>0</v>
      </c>
      <c r="AF275" s="662">
        <v>0</v>
      </c>
      <c r="AG275" s="662">
        <v>0</v>
      </c>
      <c r="AH275" s="662">
        <v>0</v>
      </c>
      <c r="AI275" s="662">
        <v>0</v>
      </c>
      <c r="AJ275" s="662">
        <v>0</v>
      </c>
      <c r="AK275" s="802">
        <v>0</v>
      </c>
      <c r="AL275" s="662">
        <v>0</v>
      </c>
      <c r="AM275" s="662">
        <v>0</v>
      </c>
      <c r="AN275" s="662">
        <v>0</v>
      </c>
      <c r="AO275" s="662">
        <v>0</v>
      </c>
      <c r="AP275" s="662">
        <v>0</v>
      </c>
      <c r="AQ275" s="802">
        <v>0</v>
      </c>
      <c r="AR275" s="662">
        <v>0</v>
      </c>
      <c r="AS275" s="662">
        <v>0</v>
      </c>
      <c r="AT275" s="662">
        <v>0</v>
      </c>
      <c r="AU275" s="662">
        <v>0</v>
      </c>
      <c r="AV275" s="662">
        <v>0</v>
      </c>
      <c r="AW275" s="662">
        <v>0</v>
      </c>
      <c r="AX275" s="662">
        <v>0</v>
      </c>
      <c r="AY275" s="662">
        <v>0</v>
      </c>
      <c r="AZ275" s="662">
        <v>0</v>
      </c>
      <c r="BA275" s="662">
        <v>0</v>
      </c>
      <c r="BB275" s="662">
        <v>0</v>
      </c>
      <c r="BC275" s="662">
        <v>0</v>
      </c>
      <c r="BD275" s="662">
        <v>0</v>
      </c>
      <c r="BE275" s="802">
        <v>0</v>
      </c>
      <c r="BF275" s="662">
        <v>0</v>
      </c>
      <c r="BG275" s="662">
        <v>0</v>
      </c>
      <c r="BH275" s="662">
        <v>0</v>
      </c>
      <c r="BI275" s="662">
        <v>0</v>
      </c>
      <c r="BJ275" s="662">
        <v>0</v>
      </c>
      <c r="BK275" s="662">
        <v>0</v>
      </c>
      <c r="BL275" s="662">
        <v>0</v>
      </c>
      <c r="BM275" s="662">
        <v>0</v>
      </c>
      <c r="BN275" s="662">
        <v>0</v>
      </c>
      <c r="BO275" s="662">
        <v>0</v>
      </c>
      <c r="BP275" s="662">
        <v>0</v>
      </c>
      <c r="BQ275" s="662">
        <v>0</v>
      </c>
      <c r="BR275" s="662">
        <v>0</v>
      </c>
      <c r="BS275" s="662">
        <v>0</v>
      </c>
      <c r="BT275" s="662">
        <v>0</v>
      </c>
      <c r="BU275" s="662">
        <v>0</v>
      </c>
      <c r="BV275" s="662">
        <v>0</v>
      </c>
      <c r="BW275" s="662">
        <v>0</v>
      </c>
      <c r="BX275" s="662">
        <v>0</v>
      </c>
      <c r="BY275" s="662">
        <v>0</v>
      </c>
      <c r="BZ275" s="662">
        <v>0</v>
      </c>
      <c r="CA275" s="662">
        <v>0</v>
      </c>
      <c r="CB275" s="662">
        <v>0</v>
      </c>
      <c r="CC275" s="662">
        <v>0</v>
      </c>
      <c r="CD275" s="662">
        <v>0</v>
      </c>
      <c r="CE275" s="662">
        <v>0</v>
      </c>
      <c r="CF275" s="662">
        <v>0</v>
      </c>
      <c r="CG275" s="662">
        <v>0</v>
      </c>
      <c r="CH275" s="662">
        <v>0</v>
      </c>
      <c r="CI275" s="662">
        <v>0</v>
      </c>
      <c r="CJ275" s="662">
        <v>0</v>
      </c>
      <c r="CK275" s="662">
        <v>0</v>
      </c>
      <c r="CL275" s="662">
        <v>0</v>
      </c>
      <c r="CM275" s="662">
        <v>0</v>
      </c>
      <c r="CN275" s="662">
        <v>0</v>
      </c>
      <c r="CO275" s="662">
        <v>0</v>
      </c>
      <c r="CP275" s="662">
        <v>0</v>
      </c>
      <c r="CQ275" s="662">
        <v>0</v>
      </c>
      <c r="CR275" s="662">
        <v>0</v>
      </c>
      <c r="CS275" s="662">
        <v>0</v>
      </c>
      <c r="CT275" s="662">
        <v>0</v>
      </c>
      <c r="CU275" s="662">
        <v>0</v>
      </c>
      <c r="CV275" s="662">
        <v>0</v>
      </c>
      <c r="CW275" s="662">
        <v>0</v>
      </c>
      <c r="CX275" s="662">
        <v>0</v>
      </c>
      <c r="CY275" s="662">
        <v>0</v>
      </c>
      <c r="CZ275" s="662">
        <v>0</v>
      </c>
      <c r="DA275" s="662">
        <v>0</v>
      </c>
      <c r="DB275" s="662">
        <v>0</v>
      </c>
      <c r="DC275" s="662">
        <v>0</v>
      </c>
      <c r="DD275" s="662">
        <v>0</v>
      </c>
      <c r="DE275" s="662">
        <v>0</v>
      </c>
      <c r="DF275" s="662">
        <v>0</v>
      </c>
      <c r="DG275" s="662">
        <v>0</v>
      </c>
      <c r="DH275" s="662">
        <v>0</v>
      </c>
      <c r="DI275" s="662">
        <v>0</v>
      </c>
      <c r="DJ275" s="662">
        <v>0</v>
      </c>
      <c r="DK275" s="662">
        <v>0</v>
      </c>
      <c r="DL275" s="662">
        <v>0</v>
      </c>
      <c r="DM275" s="662">
        <v>0</v>
      </c>
      <c r="DN275" s="662">
        <v>0</v>
      </c>
      <c r="DO275" s="662">
        <v>0</v>
      </c>
      <c r="DP275" s="662">
        <v>0</v>
      </c>
      <c r="DQ275" s="662">
        <v>0</v>
      </c>
      <c r="DR275" s="662">
        <v>0</v>
      </c>
      <c r="DS275" s="662">
        <v>0</v>
      </c>
      <c r="DT275" s="662">
        <v>0</v>
      </c>
      <c r="DU275" s="662">
        <v>0</v>
      </c>
      <c r="DV275" s="662">
        <v>0</v>
      </c>
      <c r="DW275" s="662">
        <v>0</v>
      </c>
      <c r="DX275" s="662">
        <v>0</v>
      </c>
      <c r="DY275" s="662">
        <v>0</v>
      </c>
      <c r="DZ275" s="662">
        <v>0</v>
      </c>
      <c r="EA275" s="662">
        <v>0</v>
      </c>
      <c r="EB275" s="662">
        <v>0</v>
      </c>
      <c r="EC275" s="662">
        <v>0</v>
      </c>
      <c r="ED275" s="662">
        <v>0</v>
      </c>
      <c r="EE275" s="662">
        <v>0</v>
      </c>
      <c r="EF275" s="662">
        <v>0</v>
      </c>
      <c r="EG275" s="662">
        <v>0</v>
      </c>
      <c r="EH275" s="662">
        <v>0</v>
      </c>
      <c r="EI275" s="662">
        <v>0</v>
      </c>
      <c r="EJ275" s="662">
        <v>0</v>
      </c>
      <c r="EK275" s="662">
        <v>0</v>
      </c>
      <c r="EL275" s="662">
        <v>0</v>
      </c>
      <c r="EM275" s="662">
        <v>0</v>
      </c>
      <c r="EN275" s="662">
        <v>0</v>
      </c>
      <c r="EO275" s="662">
        <v>0</v>
      </c>
      <c r="EP275" s="662">
        <v>0</v>
      </c>
      <c r="EQ275" s="662">
        <v>0</v>
      </c>
    </row>
    <row r="276" spans="1:149" ht="13.95" customHeight="1" x14ac:dyDescent="0.3">
      <c r="A276" s="660" t="s">
        <v>1932</v>
      </c>
      <c r="B276" s="661" t="s">
        <v>269</v>
      </c>
      <c r="C276" s="662">
        <v>8594</v>
      </c>
      <c r="D276" s="662">
        <v>0</v>
      </c>
      <c r="E276" s="662">
        <v>8323</v>
      </c>
      <c r="F276" s="662">
        <v>1381313</v>
      </c>
      <c r="G276" s="662">
        <v>0</v>
      </c>
      <c r="H276" s="662">
        <v>0</v>
      </c>
      <c r="I276" s="662">
        <v>1312549</v>
      </c>
      <c r="J276" s="802">
        <v>0</v>
      </c>
      <c r="K276" s="662">
        <v>0</v>
      </c>
      <c r="L276" s="662">
        <v>0</v>
      </c>
      <c r="M276" s="662">
        <v>0</v>
      </c>
      <c r="N276" s="662">
        <v>0</v>
      </c>
      <c r="O276" s="662">
        <v>0</v>
      </c>
      <c r="P276" s="662">
        <v>0</v>
      </c>
      <c r="Q276" s="802">
        <v>0</v>
      </c>
      <c r="R276" s="662">
        <v>0</v>
      </c>
      <c r="S276" s="662">
        <v>0</v>
      </c>
      <c r="T276" s="662">
        <v>0</v>
      </c>
      <c r="U276" s="662">
        <v>0</v>
      </c>
      <c r="V276" s="662">
        <v>0</v>
      </c>
      <c r="W276" s="802">
        <v>7</v>
      </c>
      <c r="X276" s="662">
        <v>0</v>
      </c>
      <c r="Y276" s="662">
        <v>6</v>
      </c>
      <c r="Z276" s="662">
        <v>400</v>
      </c>
      <c r="AA276" s="662">
        <v>0</v>
      </c>
      <c r="AB276" s="662">
        <v>0</v>
      </c>
      <c r="AC276" s="662">
        <v>380</v>
      </c>
      <c r="AD276" s="802">
        <v>0</v>
      </c>
      <c r="AE276" s="662">
        <v>0</v>
      </c>
      <c r="AF276" s="662">
        <v>0</v>
      </c>
      <c r="AG276" s="662">
        <v>0</v>
      </c>
      <c r="AH276" s="662">
        <v>0</v>
      </c>
      <c r="AI276" s="662">
        <v>0</v>
      </c>
      <c r="AJ276" s="662">
        <v>0</v>
      </c>
      <c r="AK276" s="802">
        <v>0</v>
      </c>
      <c r="AL276" s="662">
        <v>0</v>
      </c>
      <c r="AM276" s="662">
        <v>0</v>
      </c>
      <c r="AN276" s="662">
        <v>0</v>
      </c>
      <c r="AO276" s="662">
        <v>0</v>
      </c>
      <c r="AP276" s="662">
        <v>0</v>
      </c>
      <c r="AQ276" s="802">
        <v>0</v>
      </c>
      <c r="AR276" s="662">
        <v>0</v>
      </c>
      <c r="AS276" s="662">
        <v>0</v>
      </c>
      <c r="AT276" s="662">
        <v>0</v>
      </c>
      <c r="AU276" s="662">
        <v>0</v>
      </c>
      <c r="AV276" s="662">
        <v>0</v>
      </c>
      <c r="AW276" s="662">
        <v>0</v>
      </c>
      <c r="AX276" s="662">
        <v>0</v>
      </c>
      <c r="AY276" s="662">
        <v>0</v>
      </c>
      <c r="AZ276" s="662">
        <v>0</v>
      </c>
      <c r="BA276" s="662">
        <v>0</v>
      </c>
      <c r="BB276" s="662">
        <v>0</v>
      </c>
      <c r="BC276" s="662">
        <v>0</v>
      </c>
      <c r="BD276" s="662">
        <v>0</v>
      </c>
      <c r="BE276" s="802">
        <v>0</v>
      </c>
      <c r="BF276" s="662">
        <v>0</v>
      </c>
      <c r="BG276" s="662">
        <v>0</v>
      </c>
      <c r="BH276" s="662">
        <v>0</v>
      </c>
      <c r="BI276" s="662">
        <v>0</v>
      </c>
      <c r="BJ276" s="662">
        <v>0</v>
      </c>
      <c r="BK276" s="662">
        <v>0</v>
      </c>
      <c r="BL276" s="662">
        <v>0</v>
      </c>
      <c r="BM276" s="662">
        <v>0</v>
      </c>
      <c r="BN276" s="662">
        <v>0</v>
      </c>
      <c r="BO276" s="662">
        <v>0</v>
      </c>
      <c r="BP276" s="662">
        <v>0</v>
      </c>
      <c r="BQ276" s="662">
        <v>0</v>
      </c>
      <c r="BR276" s="662">
        <v>0</v>
      </c>
      <c r="BS276" s="662">
        <v>0</v>
      </c>
      <c r="BT276" s="662">
        <v>0</v>
      </c>
      <c r="BU276" s="662">
        <v>0</v>
      </c>
      <c r="BV276" s="662">
        <v>0</v>
      </c>
      <c r="BW276" s="662">
        <v>0</v>
      </c>
      <c r="BX276" s="662">
        <v>0</v>
      </c>
      <c r="BY276" s="662">
        <v>0</v>
      </c>
      <c r="BZ276" s="662">
        <v>0</v>
      </c>
      <c r="CA276" s="662">
        <v>0</v>
      </c>
      <c r="CB276" s="662">
        <v>0</v>
      </c>
      <c r="CC276" s="662">
        <v>0</v>
      </c>
      <c r="CD276" s="662">
        <v>0</v>
      </c>
      <c r="CE276" s="662">
        <v>0</v>
      </c>
      <c r="CF276" s="662">
        <v>0</v>
      </c>
      <c r="CG276" s="662">
        <v>22</v>
      </c>
      <c r="CH276" s="662">
        <v>0</v>
      </c>
      <c r="CI276" s="662">
        <v>22</v>
      </c>
      <c r="CJ276" s="662">
        <v>1580</v>
      </c>
      <c r="CK276" s="662">
        <v>0</v>
      </c>
      <c r="CL276" s="662">
        <v>0</v>
      </c>
      <c r="CM276" s="662">
        <v>1150</v>
      </c>
      <c r="CN276" s="662">
        <v>0</v>
      </c>
      <c r="CO276" s="662">
        <v>0</v>
      </c>
      <c r="CP276" s="662">
        <v>0</v>
      </c>
      <c r="CQ276" s="662">
        <v>0</v>
      </c>
      <c r="CR276" s="662">
        <v>0</v>
      </c>
      <c r="CS276" s="662">
        <v>0</v>
      </c>
      <c r="CT276" s="662">
        <v>0</v>
      </c>
      <c r="CU276" s="662">
        <v>0</v>
      </c>
      <c r="CV276" s="662">
        <v>0</v>
      </c>
      <c r="CW276" s="662">
        <v>0</v>
      </c>
      <c r="CX276" s="662">
        <v>0</v>
      </c>
      <c r="CY276" s="662">
        <v>0</v>
      </c>
      <c r="CZ276" s="662">
        <v>0</v>
      </c>
      <c r="DA276" s="662">
        <v>0</v>
      </c>
      <c r="DB276" s="662">
        <v>438</v>
      </c>
      <c r="DC276" s="662">
        <v>0</v>
      </c>
      <c r="DD276" s="662">
        <v>428</v>
      </c>
      <c r="DE276" s="662">
        <v>71975</v>
      </c>
      <c r="DF276" s="662">
        <v>0</v>
      </c>
      <c r="DG276" s="662">
        <v>0</v>
      </c>
      <c r="DH276" s="662">
        <v>68605</v>
      </c>
      <c r="DI276" s="662">
        <v>128</v>
      </c>
      <c r="DJ276" s="662">
        <v>0</v>
      </c>
      <c r="DK276" s="662">
        <v>128</v>
      </c>
      <c r="DL276" s="662">
        <v>26225</v>
      </c>
      <c r="DM276" s="662">
        <v>0</v>
      </c>
      <c r="DN276" s="662">
        <v>0</v>
      </c>
      <c r="DO276" s="662">
        <v>23705</v>
      </c>
      <c r="DP276" s="662">
        <v>656</v>
      </c>
      <c r="DQ276" s="662">
        <v>0</v>
      </c>
      <c r="DR276" s="662">
        <v>603</v>
      </c>
      <c r="DS276" s="662">
        <v>100398</v>
      </c>
      <c r="DT276" s="662">
        <v>0</v>
      </c>
      <c r="DU276" s="662">
        <v>0</v>
      </c>
      <c r="DV276" s="662">
        <v>98188</v>
      </c>
      <c r="DW276" s="662">
        <v>2412</v>
      </c>
      <c r="DX276" s="662">
        <v>0</v>
      </c>
      <c r="DY276" s="662">
        <v>2411</v>
      </c>
      <c r="DZ276" s="662">
        <v>552165</v>
      </c>
      <c r="EA276" s="662">
        <v>0</v>
      </c>
      <c r="EB276" s="662">
        <v>0</v>
      </c>
      <c r="EC276" s="662">
        <v>503001</v>
      </c>
      <c r="ED276" s="662">
        <v>4731</v>
      </c>
      <c r="EE276" s="662">
        <v>0</v>
      </c>
      <c r="EF276" s="662">
        <v>4525</v>
      </c>
      <c r="EG276" s="662">
        <v>600160</v>
      </c>
      <c r="EH276" s="662">
        <v>0</v>
      </c>
      <c r="EI276" s="662">
        <v>0</v>
      </c>
      <c r="EJ276" s="662">
        <v>589110</v>
      </c>
      <c r="EK276" s="662">
        <v>200</v>
      </c>
      <c r="EL276" s="662">
        <v>0</v>
      </c>
      <c r="EM276" s="662">
        <v>200</v>
      </c>
      <c r="EN276" s="662">
        <v>28410</v>
      </c>
      <c r="EO276" s="662">
        <v>0</v>
      </c>
      <c r="EP276" s="662">
        <v>0</v>
      </c>
      <c r="EQ276" s="662">
        <v>28410</v>
      </c>
    </row>
    <row r="277" spans="1:149" ht="13.95" customHeight="1" x14ac:dyDescent="0.3">
      <c r="A277" s="660" t="s">
        <v>1933</v>
      </c>
      <c r="B277" s="661" t="s">
        <v>269</v>
      </c>
      <c r="C277" s="662">
        <v>0</v>
      </c>
      <c r="D277" s="662">
        <v>0</v>
      </c>
      <c r="E277" s="662">
        <v>0</v>
      </c>
      <c r="F277" s="662">
        <v>0</v>
      </c>
      <c r="G277" s="662">
        <v>0</v>
      </c>
      <c r="H277" s="662">
        <v>0</v>
      </c>
      <c r="I277" s="662">
        <v>0</v>
      </c>
      <c r="J277" s="802">
        <v>0</v>
      </c>
      <c r="K277" s="662">
        <v>0</v>
      </c>
      <c r="L277" s="662">
        <v>0</v>
      </c>
      <c r="M277" s="662">
        <v>0</v>
      </c>
      <c r="N277" s="662">
        <v>0</v>
      </c>
      <c r="O277" s="662">
        <v>0</v>
      </c>
      <c r="P277" s="662">
        <v>0</v>
      </c>
      <c r="Q277" s="802">
        <v>0</v>
      </c>
      <c r="R277" s="662">
        <v>0</v>
      </c>
      <c r="S277" s="662">
        <v>0</v>
      </c>
      <c r="T277" s="662">
        <v>0</v>
      </c>
      <c r="U277" s="662">
        <v>0</v>
      </c>
      <c r="V277" s="662">
        <v>0</v>
      </c>
      <c r="W277" s="802">
        <v>0</v>
      </c>
      <c r="X277" s="662">
        <v>0</v>
      </c>
      <c r="Y277" s="662">
        <v>0</v>
      </c>
      <c r="Z277" s="662">
        <v>0</v>
      </c>
      <c r="AA277" s="662">
        <v>0</v>
      </c>
      <c r="AB277" s="662">
        <v>0</v>
      </c>
      <c r="AC277" s="662">
        <v>0</v>
      </c>
      <c r="AD277" s="802">
        <v>0</v>
      </c>
      <c r="AE277" s="662">
        <v>0</v>
      </c>
      <c r="AF277" s="662">
        <v>0</v>
      </c>
      <c r="AG277" s="662">
        <v>0</v>
      </c>
      <c r="AH277" s="662">
        <v>0</v>
      </c>
      <c r="AI277" s="662">
        <v>0</v>
      </c>
      <c r="AJ277" s="662">
        <v>0</v>
      </c>
      <c r="AK277" s="802">
        <v>0</v>
      </c>
      <c r="AL277" s="662">
        <v>0</v>
      </c>
      <c r="AM277" s="662">
        <v>0</v>
      </c>
      <c r="AN277" s="662">
        <v>0</v>
      </c>
      <c r="AO277" s="662">
        <v>0</v>
      </c>
      <c r="AP277" s="662">
        <v>0</v>
      </c>
      <c r="AQ277" s="802">
        <v>0</v>
      </c>
      <c r="AR277" s="662">
        <v>0</v>
      </c>
      <c r="AS277" s="662">
        <v>0</v>
      </c>
      <c r="AT277" s="662">
        <v>0</v>
      </c>
      <c r="AU277" s="662">
        <v>0</v>
      </c>
      <c r="AV277" s="662">
        <v>0</v>
      </c>
      <c r="AW277" s="662">
        <v>0</v>
      </c>
      <c r="AX277" s="662">
        <v>0</v>
      </c>
      <c r="AY277" s="662">
        <v>0</v>
      </c>
      <c r="AZ277" s="662">
        <v>0</v>
      </c>
      <c r="BA277" s="662">
        <v>0</v>
      </c>
      <c r="BB277" s="662">
        <v>0</v>
      </c>
      <c r="BC277" s="662">
        <v>0</v>
      </c>
      <c r="BD277" s="662">
        <v>0</v>
      </c>
      <c r="BE277" s="802">
        <v>0</v>
      </c>
      <c r="BF277" s="662">
        <v>0</v>
      </c>
      <c r="BG277" s="662">
        <v>0</v>
      </c>
      <c r="BH277" s="662">
        <v>0</v>
      </c>
      <c r="BI277" s="662">
        <v>0</v>
      </c>
      <c r="BJ277" s="662">
        <v>0</v>
      </c>
      <c r="BK277" s="662">
        <v>0</v>
      </c>
      <c r="BL277" s="662">
        <v>0</v>
      </c>
      <c r="BM277" s="662">
        <v>0</v>
      </c>
      <c r="BN277" s="662">
        <v>0</v>
      </c>
      <c r="BO277" s="662">
        <v>0</v>
      </c>
      <c r="BP277" s="662">
        <v>0</v>
      </c>
      <c r="BQ277" s="662">
        <v>0</v>
      </c>
      <c r="BR277" s="662">
        <v>0</v>
      </c>
      <c r="BS277" s="662">
        <v>0</v>
      </c>
      <c r="BT277" s="662">
        <v>0</v>
      </c>
      <c r="BU277" s="662">
        <v>0</v>
      </c>
      <c r="BV277" s="662">
        <v>0</v>
      </c>
      <c r="BW277" s="662">
        <v>0</v>
      </c>
      <c r="BX277" s="662">
        <v>0</v>
      </c>
      <c r="BY277" s="662">
        <v>0</v>
      </c>
      <c r="BZ277" s="662">
        <v>0</v>
      </c>
      <c r="CA277" s="662">
        <v>0</v>
      </c>
      <c r="CB277" s="662">
        <v>0</v>
      </c>
      <c r="CC277" s="662">
        <v>0</v>
      </c>
      <c r="CD277" s="662">
        <v>0</v>
      </c>
      <c r="CE277" s="662">
        <v>0</v>
      </c>
      <c r="CF277" s="662">
        <v>0</v>
      </c>
      <c r="CG277" s="662">
        <v>0</v>
      </c>
      <c r="CH277" s="662">
        <v>0</v>
      </c>
      <c r="CI277" s="662">
        <v>0</v>
      </c>
      <c r="CJ277" s="662">
        <v>0</v>
      </c>
      <c r="CK277" s="662">
        <v>0</v>
      </c>
      <c r="CL277" s="662">
        <v>0</v>
      </c>
      <c r="CM277" s="662">
        <v>0</v>
      </c>
      <c r="CN277" s="662">
        <v>0</v>
      </c>
      <c r="CO277" s="662">
        <v>0</v>
      </c>
      <c r="CP277" s="662">
        <v>0</v>
      </c>
      <c r="CQ277" s="662">
        <v>0</v>
      </c>
      <c r="CR277" s="662">
        <v>0</v>
      </c>
      <c r="CS277" s="662">
        <v>0</v>
      </c>
      <c r="CT277" s="662">
        <v>0</v>
      </c>
      <c r="CU277" s="662">
        <v>0</v>
      </c>
      <c r="CV277" s="662">
        <v>0</v>
      </c>
      <c r="CW277" s="662">
        <v>0</v>
      </c>
      <c r="CX277" s="662">
        <v>0</v>
      </c>
      <c r="CY277" s="662">
        <v>0</v>
      </c>
      <c r="CZ277" s="662">
        <v>0</v>
      </c>
      <c r="DA277" s="662">
        <v>0</v>
      </c>
      <c r="DB277" s="662">
        <v>0</v>
      </c>
      <c r="DC277" s="662">
        <v>0</v>
      </c>
      <c r="DD277" s="662">
        <v>0</v>
      </c>
      <c r="DE277" s="662">
        <v>0</v>
      </c>
      <c r="DF277" s="662">
        <v>0</v>
      </c>
      <c r="DG277" s="662">
        <v>0</v>
      </c>
      <c r="DH277" s="662">
        <v>0</v>
      </c>
      <c r="DI277" s="662">
        <v>0</v>
      </c>
      <c r="DJ277" s="662">
        <v>0</v>
      </c>
      <c r="DK277" s="662">
        <v>0</v>
      </c>
      <c r="DL277" s="662">
        <v>0</v>
      </c>
      <c r="DM277" s="662">
        <v>0</v>
      </c>
      <c r="DN277" s="662">
        <v>0</v>
      </c>
      <c r="DO277" s="662">
        <v>0</v>
      </c>
      <c r="DP277" s="662">
        <v>0</v>
      </c>
      <c r="DQ277" s="662">
        <v>0</v>
      </c>
      <c r="DR277" s="662">
        <v>0</v>
      </c>
      <c r="DS277" s="662">
        <v>0</v>
      </c>
      <c r="DT277" s="662">
        <v>0</v>
      </c>
      <c r="DU277" s="662">
        <v>0</v>
      </c>
      <c r="DV277" s="662">
        <v>0</v>
      </c>
      <c r="DW277" s="662">
        <v>0</v>
      </c>
      <c r="DX277" s="662">
        <v>0</v>
      </c>
      <c r="DY277" s="662">
        <v>0</v>
      </c>
      <c r="DZ277" s="662">
        <v>0</v>
      </c>
      <c r="EA277" s="662">
        <v>0</v>
      </c>
      <c r="EB277" s="662">
        <v>0</v>
      </c>
      <c r="EC277" s="662">
        <v>0</v>
      </c>
      <c r="ED277" s="662">
        <v>0</v>
      </c>
      <c r="EE277" s="662">
        <v>0</v>
      </c>
      <c r="EF277" s="662">
        <v>0</v>
      </c>
      <c r="EG277" s="662">
        <v>0</v>
      </c>
      <c r="EH277" s="662">
        <v>0</v>
      </c>
      <c r="EI277" s="662">
        <v>0</v>
      </c>
      <c r="EJ277" s="662">
        <v>0</v>
      </c>
      <c r="EK277" s="662">
        <v>0</v>
      </c>
      <c r="EL277" s="662">
        <v>0</v>
      </c>
      <c r="EM277" s="662">
        <v>0</v>
      </c>
      <c r="EN277" s="662">
        <v>0</v>
      </c>
      <c r="EO277" s="662">
        <v>0</v>
      </c>
      <c r="EP277" s="662">
        <v>0</v>
      </c>
      <c r="EQ277" s="662">
        <v>0</v>
      </c>
    </row>
    <row r="278" spans="1:149" ht="13.95" customHeight="1" x14ac:dyDescent="0.3">
      <c r="A278" s="660" t="s">
        <v>1934</v>
      </c>
      <c r="B278" s="661" t="s">
        <v>269</v>
      </c>
      <c r="C278" s="662">
        <v>25759</v>
      </c>
      <c r="D278" s="662">
        <v>0</v>
      </c>
      <c r="E278" s="662">
        <v>25597</v>
      </c>
      <c r="F278" s="662">
        <v>6432096</v>
      </c>
      <c r="G278" s="662">
        <v>0</v>
      </c>
      <c r="H278" s="662">
        <v>0</v>
      </c>
      <c r="I278" s="662">
        <v>6323467</v>
      </c>
      <c r="J278" s="802">
        <v>0</v>
      </c>
      <c r="K278" s="662">
        <v>0</v>
      </c>
      <c r="L278" s="662">
        <v>0</v>
      </c>
      <c r="M278" s="662">
        <v>0</v>
      </c>
      <c r="N278" s="662">
        <v>0</v>
      </c>
      <c r="O278" s="662">
        <v>0</v>
      </c>
      <c r="P278" s="662">
        <v>0</v>
      </c>
      <c r="Q278" s="802">
        <v>0</v>
      </c>
      <c r="R278" s="662">
        <v>0</v>
      </c>
      <c r="S278" s="662">
        <v>0</v>
      </c>
      <c r="T278" s="662">
        <v>0</v>
      </c>
      <c r="U278" s="662">
        <v>0</v>
      </c>
      <c r="V278" s="662">
        <v>0</v>
      </c>
      <c r="W278" s="802">
        <v>3</v>
      </c>
      <c r="X278" s="662">
        <v>0</v>
      </c>
      <c r="Y278" s="662">
        <v>3</v>
      </c>
      <c r="Z278" s="662">
        <v>220</v>
      </c>
      <c r="AA278" s="662">
        <v>0</v>
      </c>
      <c r="AB278" s="662">
        <v>0</v>
      </c>
      <c r="AC278" s="662">
        <v>190</v>
      </c>
      <c r="AD278" s="802">
        <v>0</v>
      </c>
      <c r="AE278" s="662">
        <v>0</v>
      </c>
      <c r="AF278" s="662">
        <v>0</v>
      </c>
      <c r="AG278" s="662">
        <v>0</v>
      </c>
      <c r="AH278" s="662">
        <v>0</v>
      </c>
      <c r="AI278" s="662">
        <v>0</v>
      </c>
      <c r="AJ278" s="662">
        <v>0</v>
      </c>
      <c r="AK278" s="802">
        <v>0</v>
      </c>
      <c r="AL278" s="662">
        <v>0</v>
      </c>
      <c r="AM278" s="662">
        <v>0</v>
      </c>
      <c r="AN278" s="662">
        <v>0</v>
      </c>
      <c r="AO278" s="662">
        <v>0</v>
      </c>
      <c r="AP278" s="662">
        <v>0</v>
      </c>
      <c r="AQ278" s="802">
        <v>0</v>
      </c>
      <c r="AR278" s="662">
        <v>0</v>
      </c>
      <c r="AS278" s="662">
        <v>0</v>
      </c>
      <c r="AT278" s="662">
        <v>0</v>
      </c>
      <c r="AU278" s="662">
        <v>0</v>
      </c>
      <c r="AV278" s="662">
        <v>0</v>
      </c>
      <c r="AW278" s="662">
        <v>0</v>
      </c>
      <c r="AX278" s="662">
        <v>0</v>
      </c>
      <c r="AY278" s="662">
        <v>0</v>
      </c>
      <c r="AZ278" s="662">
        <v>0</v>
      </c>
      <c r="BA278" s="662">
        <v>0</v>
      </c>
      <c r="BB278" s="662">
        <v>0</v>
      </c>
      <c r="BC278" s="662">
        <v>0</v>
      </c>
      <c r="BD278" s="662">
        <v>0</v>
      </c>
      <c r="BE278" s="802">
        <v>0</v>
      </c>
      <c r="BF278" s="662">
        <v>0</v>
      </c>
      <c r="BG278" s="662">
        <v>0</v>
      </c>
      <c r="BH278" s="662">
        <v>0</v>
      </c>
      <c r="BI278" s="662">
        <v>0</v>
      </c>
      <c r="BJ278" s="662">
        <v>0</v>
      </c>
      <c r="BK278" s="662">
        <v>0</v>
      </c>
      <c r="BL278" s="662">
        <v>2</v>
      </c>
      <c r="BM278" s="662">
        <v>0</v>
      </c>
      <c r="BN278" s="662">
        <v>2</v>
      </c>
      <c r="BO278" s="662">
        <v>200</v>
      </c>
      <c r="BP278" s="662">
        <v>0</v>
      </c>
      <c r="BQ278" s="662">
        <v>0</v>
      </c>
      <c r="BR278" s="662">
        <v>200</v>
      </c>
      <c r="BS278" s="662">
        <v>0</v>
      </c>
      <c r="BT278" s="662">
        <v>0</v>
      </c>
      <c r="BU278" s="662">
        <v>0</v>
      </c>
      <c r="BV278" s="662">
        <v>0</v>
      </c>
      <c r="BW278" s="662">
        <v>0</v>
      </c>
      <c r="BX278" s="662">
        <v>0</v>
      </c>
      <c r="BY278" s="662">
        <v>0</v>
      </c>
      <c r="BZ278" s="662">
        <v>0</v>
      </c>
      <c r="CA278" s="662">
        <v>0</v>
      </c>
      <c r="CB278" s="662">
        <v>0</v>
      </c>
      <c r="CC278" s="662">
        <v>0</v>
      </c>
      <c r="CD278" s="662">
        <v>0</v>
      </c>
      <c r="CE278" s="662">
        <v>0</v>
      </c>
      <c r="CF278" s="662">
        <v>0</v>
      </c>
      <c r="CG278" s="662">
        <v>88</v>
      </c>
      <c r="CH278" s="662">
        <v>0</v>
      </c>
      <c r="CI278" s="662">
        <v>86</v>
      </c>
      <c r="CJ278" s="662">
        <v>6600</v>
      </c>
      <c r="CK278" s="662">
        <v>0</v>
      </c>
      <c r="CL278" s="662">
        <v>0</v>
      </c>
      <c r="CM278" s="662">
        <v>5100</v>
      </c>
      <c r="CN278" s="662">
        <v>0</v>
      </c>
      <c r="CO278" s="662">
        <v>0</v>
      </c>
      <c r="CP278" s="662">
        <v>0</v>
      </c>
      <c r="CQ278" s="662">
        <v>0</v>
      </c>
      <c r="CR278" s="662">
        <v>0</v>
      </c>
      <c r="CS278" s="662">
        <v>0</v>
      </c>
      <c r="CT278" s="662">
        <v>0</v>
      </c>
      <c r="CU278" s="662">
        <v>1</v>
      </c>
      <c r="CV278" s="662">
        <v>0</v>
      </c>
      <c r="CW278" s="662">
        <v>1</v>
      </c>
      <c r="CX278" s="662">
        <v>180</v>
      </c>
      <c r="CY278" s="662">
        <v>0</v>
      </c>
      <c r="CZ278" s="662">
        <v>0</v>
      </c>
      <c r="DA278" s="662">
        <v>180</v>
      </c>
      <c r="DB278" s="662">
        <v>283</v>
      </c>
      <c r="DC278" s="662">
        <v>0</v>
      </c>
      <c r="DD278" s="662">
        <v>278</v>
      </c>
      <c r="DE278" s="662">
        <v>46395</v>
      </c>
      <c r="DF278" s="662">
        <v>0</v>
      </c>
      <c r="DG278" s="662">
        <v>0</v>
      </c>
      <c r="DH278" s="662">
        <v>43973</v>
      </c>
      <c r="DI278" s="662">
        <v>4995</v>
      </c>
      <c r="DJ278" s="662">
        <v>0</v>
      </c>
      <c r="DK278" s="662">
        <v>4995</v>
      </c>
      <c r="DL278" s="662">
        <v>1235925</v>
      </c>
      <c r="DM278" s="662">
        <v>0</v>
      </c>
      <c r="DN278" s="662">
        <v>0</v>
      </c>
      <c r="DO278" s="662">
        <v>1234810</v>
      </c>
      <c r="DP278" s="662">
        <v>1275</v>
      </c>
      <c r="DQ278" s="662">
        <v>0</v>
      </c>
      <c r="DR278" s="662">
        <v>1200</v>
      </c>
      <c r="DS278" s="662">
        <v>193881</v>
      </c>
      <c r="DT278" s="662">
        <v>0</v>
      </c>
      <c r="DU278" s="662">
        <v>0</v>
      </c>
      <c r="DV278" s="662">
        <v>192730</v>
      </c>
      <c r="DW278" s="662">
        <v>16097</v>
      </c>
      <c r="DX278" s="662">
        <v>0</v>
      </c>
      <c r="DY278" s="662">
        <v>16068</v>
      </c>
      <c r="DZ278" s="662">
        <v>4442467</v>
      </c>
      <c r="EA278" s="662">
        <v>0</v>
      </c>
      <c r="EB278" s="662">
        <v>0</v>
      </c>
      <c r="EC278" s="662">
        <v>4343051</v>
      </c>
      <c r="ED278" s="662">
        <v>2225</v>
      </c>
      <c r="EE278" s="662">
        <v>0</v>
      </c>
      <c r="EF278" s="662">
        <v>2174</v>
      </c>
      <c r="EG278" s="662">
        <v>387958</v>
      </c>
      <c r="EH278" s="662">
        <v>0</v>
      </c>
      <c r="EI278" s="662">
        <v>0</v>
      </c>
      <c r="EJ278" s="662">
        <v>384933</v>
      </c>
      <c r="EK278" s="662">
        <v>793</v>
      </c>
      <c r="EL278" s="662">
        <v>0</v>
      </c>
      <c r="EM278" s="662">
        <v>793</v>
      </c>
      <c r="EN278" s="662">
        <v>118490</v>
      </c>
      <c r="EO278" s="662">
        <v>0</v>
      </c>
      <c r="EP278" s="662">
        <v>0</v>
      </c>
      <c r="EQ278" s="662">
        <v>118490</v>
      </c>
    </row>
    <row r="279" spans="1:149" ht="13.95" customHeight="1" x14ac:dyDescent="0.3">
      <c r="A279" s="660" t="s">
        <v>1935</v>
      </c>
      <c r="B279" s="661" t="s">
        <v>269</v>
      </c>
      <c r="C279" s="662">
        <f t="shared" ref="C279:BN279" si="118">C280</f>
        <v>25812</v>
      </c>
      <c r="D279" s="662">
        <f t="shared" si="118"/>
        <v>0</v>
      </c>
      <c r="E279" s="662">
        <f t="shared" si="118"/>
        <v>23131</v>
      </c>
      <c r="F279" s="662">
        <f t="shared" si="118"/>
        <v>4584780</v>
      </c>
      <c r="G279" s="662">
        <f t="shared" si="118"/>
        <v>0</v>
      </c>
      <c r="H279" s="662">
        <f t="shared" si="118"/>
        <v>0</v>
      </c>
      <c r="I279" s="662">
        <f t="shared" si="118"/>
        <v>4459498</v>
      </c>
      <c r="J279" s="802">
        <f t="shared" si="118"/>
        <v>0</v>
      </c>
      <c r="K279" s="662">
        <f t="shared" si="118"/>
        <v>0</v>
      </c>
      <c r="L279" s="662">
        <f t="shared" si="118"/>
        <v>0</v>
      </c>
      <c r="M279" s="662">
        <f t="shared" si="118"/>
        <v>0</v>
      </c>
      <c r="N279" s="662">
        <f t="shared" si="118"/>
        <v>0</v>
      </c>
      <c r="O279" s="662">
        <f t="shared" si="118"/>
        <v>0</v>
      </c>
      <c r="P279" s="662">
        <f t="shared" si="118"/>
        <v>0</v>
      </c>
      <c r="Q279" s="802">
        <f t="shared" si="118"/>
        <v>0</v>
      </c>
      <c r="R279" s="662">
        <f t="shared" si="118"/>
        <v>0</v>
      </c>
      <c r="S279" s="662">
        <f t="shared" si="118"/>
        <v>0</v>
      </c>
      <c r="T279" s="662">
        <f t="shared" si="118"/>
        <v>0</v>
      </c>
      <c r="U279" s="662">
        <f t="shared" si="118"/>
        <v>0</v>
      </c>
      <c r="V279" s="662">
        <f t="shared" si="118"/>
        <v>0</v>
      </c>
      <c r="W279" s="802">
        <f t="shared" si="118"/>
        <v>27</v>
      </c>
      <c r="X279" s="662">
        <f t="shared" si="118"/>
        <v>0</v>
      </c>
      <c r="Y279" s="662">
        <f t="shared" si="118"/>
        <v>27</v>
      </c>
      <c r="Z279" s="662">
        <f t="shared" si="118"/>
        <v>2800</v>
      </c>
      <c r="AA279" s="662">
        <f t="shared" si="118"/>
        <v>0</v>
      </c>
      <c r="AB279" s="662">
        <f t="shared" si="118"/>
        <v>0</v>
      </c>
      <c r="AC279" s="662">
        <f t="shared" si="118"/>
        <v>2700</v>
      </c>
      <c r="AD279" s="802">
        <f t="shared" si="118"/>
        <v>1</v>
      </c>
      <c r="AE279" s="662">
        <f t="shared" si="118"/>
        <v>0</v>
      </c>
      <c r="AF279" s="662">
        <f t="shared" si="118"/>
        <v>1</v>
      </c>
      <c r="AG279" s="662">
        <f t="shared" si="118"/>
        <v>80</v>
      </c>
      <c r="AH279" s="662">
        <f t="shared" si="118"/>
        <v>0</v>
      </c>
      <c r="AI279" s="662">
        <f t="shared" si="118"/>
        <v>0</v>
      </c>
      <c r="AJ279" s="662">
        <f t="shared" si="118"/>
        <v>80</v>
      </c>
      <c r="AK279" s="802">
        <f t="shared" si="118"/>
        <v>0</v>
      </c>
      <c r="AL279" s="662">
        <f t="shared" si="118"/>
        <v>0</v>
      </c>
      <c r="AM279" s="662">
        <f t="shared" si="118"/>
        <v>0</v>
      </c>
      <c r="AN279" s="662">
        <f t="shared" si="118"/>
        <v>0</v>
      </c>
      <c r="AO279" s="662">
        <f t="shared" si="118"/>
        <v>0</v>
      </c>
      <c r="AP279" s="662">
        <f t="shared" si="118"/>
        <v>0</v>
      </c>
      <c r="AQ279" s="802">
        <f t="shared" si="118"/>
        <v>0</v>
      </c>
      <c r="AR279" s="662">
        <f t="shared" si="118"/>
        <v>0</v>
      </c>
      <c r="AS279" s="662">
        <f t="shared" si="118"/>
        <v>0</v>
      </c>
      <c r="AT279" s="662">
        <f t="shared" si="118"/>
        <v>0</v>
      </c>
      <c r="AU279" s="662">
        <f t="shared" si="118"/>
        <v>0</v>
      </c>
      <c r="AV279" s="662">
        <f t="shared" si="118"/>
        <v>0</v>
      </c>
      <c r="AW279" s="662">
        <f t="shared" si="118"/>
        <v>0</v>
      </c>
      <c r="AX279" s="662">
        <f t="shared" si="118"/>
        <v>0</v>
      </c>
      <c r="AY279" s="662">
        <f t="shared" si="118"/>
        <v>0</v>
      </c>
      <c r="AZ279" s="662">
        <f t="shared" si="118"/>
        <v>0</v>
      </c>
      <c r="BA279" s="662">
        <f t="shared" si="118"/>
        <v>0</v>
      </c>
      <c r="BB279" s="662">
        <f t="shared" si="118"/>
        <v>0</v>
      </c>
      <c r="BC279" s="662">
        <f t="shared" si="118"/>
        <v>0</v>
      </c>
      <c r="BD279" s="662">
        <f t="shared" si="118"/>
        <v>0</v>
      </c>
      <c r="BE279" s="802">
        <f t="shared" si="118"/>
        <v>0</v>
      </c>
      <c r="BF279" s="662">
        <f t="shared" si="118"/>
        <v>0</v>
      </c>
      <c r="BG279" s="662">
        <f t="shared" si="118"/>
        <v>0</v>
      </c>
      <c r="BH279" s="662">
        <f t="shared" si="118"/>
        <v>0</v>
      </c>
      <c r="BI279" s="662">
        <f t="shared" si="118"/>
        <v>0</v>
      </c>
      <c r="BJ279" s="662">
        <f t="shared" si="118"/>
        <v>0</v>
      </c>
      <c r="BK279" s="662">
        <f t="shared" si="118"/>
        <v>0</v>
      </c>
      <c r="BL279" s="662">
        <f t="shared" si="118"/>
        <v>3</v>
      </c>
      <c r="BM279" s="662">
        <f t="shared" si="118"/>
        <v>0</v>
      </c>
      <c r="BN279" s="662">
        <f t="shared" si="118"/>
        <v>3</v>
      </c>
      <c r="BO279" s="662">
        <f t="shared" ref="BO279:DZ279" si="119">BO280</f>
        <v>260</v>
      </c>
      <c r="BP279" s="662">
        <f t="shared" si="119"/>
        <v>0</v>
      </c>
      <c r="BQ279" s="662">
        <f t="shared" si="119"/>
        <v>0</v>
      </c>
      <c r="BR279" s="662">
        <f t="shared" si="119"/>
        <v>255</v>
      </c>
      <c r="BS279" s="662">
        <f t="shared" si="119"/>
        <v>0</v>
      </c>
      <c r="BT279" s="662">
        <f t="shared" si="119"/>
        <v>0</v>
      </c>
      <c r="BU279" s="662">
        <f t="shared" si="119"/>
        <v>0</v>
      </c>
      <c r="BV279" s="662">
        <f t="shared" si="119"/>
        <v>0</v>
      </c>
      <c r="BW279" s="662">
        <f t="shared" si="119"/>
        <v>0</v>
      </c>
      <c r="BX279" s="662">
        <f t="shared" si="119"/>
        <v>0</v>
      </c>
      <c r="BY279" s="662">
        <f t="shared" si="119"/>
        <v>0</v>
      </c>
      <c r="BZ279" s="662">
        <f t="shared" si="119"/>
        <v>0</v>
      </c>
      <c r="CA279" s="662">
        <f t="shared" si="119"/>
        <v>0</v>
      </c>
      <c r="CB279" s="662">
        <f t="shared" si="119"/>
        <v>0</v>
      </c>
      <c r="CC279" s="662">
        <f t="shared" si="119"/>
        <v>0</v>
      </c>
      <c r="CD279" s="662">
        <f t="shared" si="119"/>
        <v>0</v>
      </c>
      <c r="CE279" s="662">
        <f t="shared" si="119"/>
        <v>0</v>
      </c>
      <c r="CF279" s="662">
        <f t="shared" si="119"/>
        <v>0</v>
      </c>
      <c r="CG279" s="662">
        <f t="shared" si="119"/>
        <v>64</v>
      </c>
      <c r="CH279" s="662">
        <f t="shared" si="119"/>
        <v>0</v>
      </c>
      <c r="CI279" s="662">
        <f t="shared" si="119"/>
        <v>54</v>
      </c>
      <c r="CJ279" s="662">
        <f t="shared" si="119"/>
        <v>5550</v>
      </c>
      <c r="CK279" s="662">
        <f t="shared" si="119"/>
        <v>0</v>
      </c>
      <c r="CL279" s="662">
        <f t="shared" si="119"/>
        <v>0</v>
      </c>
      <c r="CM279" s="662">
        <f t="shared" si="119"/>
        <v>5130</v>
      </c>
      <c r="CN279" s="662">
        <f t="shared" si="119"/>
        <v>0</v>
      </c>
      <c r="CO279" s="662">
        <f t="shared" si="119"/>
        <v>0</v>
      </c>
      <c r="CP279" s="662">
        <f t="shared" si="119"/>
        <v>0</v>
      </c>
      <c r="CQ279" s="662">
        <f t="shared" si="119"/>
        <v>0</v>
      </c>
      <c r="CR279" s="662">
        <f t="shared" si="119"/>
        <v>0</v>
      </c>
      <c r="CS279" s="662">
        <f t="shared" si="119"/>
        <v>0</v>
      </c>
      <c r="CT279" s="662">
        <f t="shared" si="119"/>
        <v>0</v>
      </c>
      <c r="CU279" s="662">
        <f t="shared" si="119"/>
        <v>1</v>
      </c>
      <c r="CV279" s="662">
        <f t="shared" si="119"/>
        <v>0</v>
      </c>
      <c r="CW279" s="662">
        <f t="shared" si="119"/>
        <v>1</v>
      </c>
      <c r="CX279" s="662">
        <f t="shared" si="119"/>
        <v>180</v>
      </c>
      <c r="CY279" s="662">
        <f t="shared" si="119"/>
        <v>0</v>
      </c>
      <c r="CZ279" s="662">
        <f t="shared" si="119"/>
        <v>0</v>
      </c>
      <c r="DA279" s="662">
        <f t="shared" si="119"/>
        <v>180</v>
      </c>
      <c r="DB279" s="662">
        <f t="shared" si="119"/>
        <v>1235</v>
      </c>
      <c r="DC279" s="662">
        <f t="shared" si="119"/>
        <v>0</v>
      </c>
      <c r="DD279" s="662">
        <f t="shared" si="119"/>
        <v>1225</v>
      </c>
      <c r="DE279" s="662">
        <f t="shared" si="119"/>
        <v>228025</v>
      </c>
      <c r="DF279" s="662">
        <f t="shared" si="119"/>
        <v>0</v>
      </c>
      <c r="DG279" s="662">
        <f t="shared" si="119"/>
        <v>0</v>
      </c>
      <c r="DH279" s="662">
        <f t="shared" si="119"/>
        <v>219175</v>
      </c>
      <c r="DI279" s="662">
        <f t="shared" si="119"/>
        <v>283</v>
      </c>
      <c r="DJ279" s="662">
        <f t="shared" si="119"/>
        <v>0</v>
      </c>
      <c r="DK279" s="662">
        <f t="shared" si="119"/>
        <v>278</v>
      </c>
      <c r="DL279" s="662">
        <f t="shared" si="119"/>
        <v>38375</v>
      </c>
      <c r="DM279" s="662">
        <f t="shared" si="119"/>
        <v>0</v>
      </c>
      <c r="DN279" s="662">
        <f t="shared" si="119"/>
        <v>0</v>
      </c>
      <c r="DO279" s="662">
        <f t="shared" si="119"/>
        <v>36845</v>
      </c>
      <c r="DP279" s="662">
        <f t="shared" si="119"/>
        <v>49</v>
      </c>
      <c r="DQ279" s="662">
        <f t="shared" si="119"/>
        <v>0</v>
      </c>
      <c r="DR279" s="662">
        <f t="shared" si="119"/>
        <v>48</v>
      </c>
      <c r="DS279" s="662">
        <f t="shared" si="119"/>
        <v>9924</v>
      </c>
      <c r="DT279" s="662">
        <f t="shared" si="119"/>
        <v>0</v>
      </c>
      <c r="DU279" s="662">
        <f t="shared" si="119"/>
        <v>0</v>
      </c>
      <c r="DV279" s="662">
        <f t="shared" si="119"/>
        <v>9868</v>
      </c>
      <c r="DW279" s="662">
        <f t="shared" si="119"/>
        <v>1019</v>
      </c>
      <c r="DX279" s="662">
        <f t="shared" si="119"/>
        <v>0</v>
      </c>
      <c r="DY279" s="662">
        <f t="shared" si="119"/>
        <v>985</v>
      </c>
      <c r="DZ279" s="662">
        <f t="shared" si="119"/>
        <v>226216</v>
      </c>
      <c r="EA279" s="662">
        <f t="shared" ref="EA279:EQ279" si="120">EA280</f>
        <v>0</v>
      </c>
      <c r="EB279" s="662">
        <f t="shared" si="120"/>
        <v>0</v>
      </c>
      <c r="EC279" s="662">
        <f t="shared" si="120"/>
        <v>212870</v>
      </c>
      <c r="ED279" s="662">
        <f t="shared" si="120"/>
        <v>23009</v>
      </c>
      <c r="EE279" s="662">
        <f t="shared" si="120"/>
        <v>0</v>
      </c>
      <c r="EF279" s="662">
        <f t="shared" si="120"/>
        <v>20388</v>
      </c>
      <c r="EG279" s="662">
        <f t="shared" si="120"/>
        <v>4056470</v>
      </c>
      <c r="EH279" s="662">
        <f t="shared" si="120"/>
        <v>0</v>
      </c>
      <c r="EI279" s="662">
        <f t="shared" si="120"/>
        <v>0</v>
      </c>
      <c r="EJ279" s="662">
        <f t="shared" si="120"/>
        <v>3955495</v>
      </c>
      <c r="EK279" s="662">
        <f t="shared" si="120"/>
        <v>121</v>
      </c>
      <c r="EL279" s="662">
        <f t="shared" si="120"/>
        <v>0</v>
      </c>
      <c r="EM279" s="662">
        <f t="shared" si="120"/>
        <v>121</v>
      </c>
      <c r="EN279" s="662">
        <f t="shared" si="120"/>
        <v>16900</v>
      </c>
      <c r="EO279" s="662">
        <f t="shared" si="120"/>
        <v>0</v>
      </c>
      <c r="EP279" s="662">
        <f t="shared" si="120"/>
        <v>0</v>
      </c>
      <c r="EQ279" s="662">
        <f t="shared" si="120"/>
        <v>16900</v>
      </c>
      <c r="ER279" s="654"/>
    </row>
    <row r="280" spans="1:149" ht="13.95" customHeight="1" x14ac:dyDescent="0.3">
      <c r="A280" s="660" t="s">
        <v>1936</v>
      </c>
      <c r="B280" s="661" t="s">
        <v>269</v>
      </c>
      <c r="C280" s="662">
        <v>25812</v>
      </c>
      <c r="D280" s="662">
        <v>0</v>
      </c>
      <c r="E280" s="662">
        <v>23131</v>
      </c>
      <c r="F280" s="662">
        <v>4584780</v>
      </c>
      <c r="G280" s="662">
        <v>0</v>
      </c>
      <c r="H280" s="662">
        <v>0</v>
      </c>
      <c r="I280" s="662">
        <v>4459498</v>
      </c>
      <c r="J280" s="802">
        <v>0</v>
      </c>
      <c r="K280" s="662">
        <v>0</v>
      </c>
      <c r="L280" s="662">
        <v>0</v>
      </c>
      <c r="M280" s="662">
        <v>0</v>
      </c>
      <c r="N280" s="662">
        <v>0</v>
      </c>
      <c r="O280" s="662">
        <v>0</v>
      </c>
      <c r="P280" s="662">
        <v>0</v>
      </c>
      <c r="Q280" s="802">
        <v>0</v>
      </c>
      <c r="R280" s="662">
        <v>0</v>
      </c>
      <c r="S280" s="662">
        <v>0</v>
      </c>
      <c r="T280" s="662">
        <v>0</v>
      </c>
      <c r="U280" s="662">
        <v>0</v>
      </c>
      <c r="V280" s="662">
        <v>0</v>
      </c>
      <c r="W280" s="802">
        <v>27</v>
      </c>
      <c r="X280" s="662">
        <v>0</v>
      </c>
      <c r="Y280" s="662">
        <v>27</v>
      </c>
      <c r="Z280" s="662">
        <v>2800</v>
      </c>
      <c r="AA280" s="662">
        <v>0</v>
      </c>
      <c r="AB280" s="662">
        <v>0</v>
      </c>
      <c r="AC280" s="662">
        <v>2700</v>
      </c>
      <c r="AD280" s="802">
        <v>1</v>
      </c>
      <c r="AE280" s="662">
        <v>0</v>
      </c>
      <c r="AF280" s="662">
        <v>1</v>
      </c>
      <c r="AG280" s="662">
        <v>80</v>
      </c>
      <c r="AH280" s="662">
        <v>0</v>
      </c>
      <c r="AI280" s="662">
        <v>0</v>
      </c>
      <c r="AJ280" s="662">
        <v>80</v>
      </c>
      <c r="AK280" s="802">
        <v>0</v>
      </c>
      <c r="AL280" s="662">
        <v>0</v>
      </c>
      <c r="AM280" s="662">
        <v>0</v>
      </c>
      <c r="AN280" s="662">
        <v>0</v>
      </c>
      <c r="AO280" s="662">
        <v>0</v>
      </c>
      <c r="AP280" s="662">
        <v>0</v>
      </c>
      <c r="AQ280" s="802">
        <v>0</v>
      </c>
      <c r="AR280" s="662">
        <v>0</v>
      </c>
      <c r="AS280" s="662">
        <v>0</v>
      </c>
      <c r="AT280" s="662">
        <v>0</v>
      </c>
      <c r="AU280" s="662">
        <v>0</v>
      </c>
      <c r="AV280" s="662">
        <v>0</v>
      </c>
      <c r="AW280" s="662">
        <v>0</v>
      </c>
      <c r="AX280" s="662">
        <v>0</v>
      </c>
      <c r="AY280" s="662">
        <v>0</v>
      </c>
      <c r="AZ280" s="662">
        <v>0</v>
      </c>
      <c r="BA280" s="662">
        <v>0</v>
      </c>
      <c r="BB280" s="662">
        <v>0</v>
      </c>
      <c r="BC280" s="662">
        <v>0</v>
      </c>
      <c r="BD280" s="662">
        <v>0</v>
      </c>
      <c r="BE280" s="802">
        <v>0</v>
      </c>
      <c r="BF280" s="662">
        <v>0</v>
      </c>
      <c r="BG280" s="662">
        <v>0</v>
      </c>
      <c r="BH280" s="662">
        <v>0</v>
      </c>
      <c r="BI280" s="662">
        <v>0</v>
      </c>
      <c r="BJ280" s="662">
        <v>0</v>
      </c>
      <c r="BK280" s="662">
        <v>0</v>
      </c>
      <c r="BL280" s="662">
        <v>3</v>
      </c>
      <c r="BM280" s="662">
        <v>0</v>
      </c>
      <c r="BN280" s="662">
        <v>3</v>
      </c>
      <c r="BO280" s="662">
        <v>260</v>
      </c>
      <c r="BP280" s="662">
        <v>0</v>
      </c>
      <c r="BQ280" s="662">
        <v>0</v>
      </c>
      <c r="BR280" s="662">
        <v>255</v>
      </c>
      <c r="BS280" s="662">
        <v>0</v>
      </c>
      <c r="BT280" s="662">
        <v>0</v>
      </c>
      <c r="BU280" s="662">
        <v>0</v>
      </c>
      <c r="BV280" s="662">
        <v>0</v>
      </c>
      <c r="BW280" s="662">
        <v>0</v>
      </c>
      <c r="BX280" s="662">
        <v>0</v>
      </c>
      <c r="BY280" s="662">
        <v>0</v>
      </c>
      <c r="BZ280" s="662">
        <v>0</v>
      </c>
      <c r="CA280" s="662">
        <v>0</v>
      </c>
      <c r="CB280" s="662">
        <v>0</v>
      </c>
      <c r="CC280" s="662">
        <v>0</v>
      </c>
      <c r="CD280" s="662">
        <v>0</v>
      </c>
      <c r="CE280" s="662">
        <v>0</v>
      </c>
      <c r="CF280" s="662">
        <v>0</v>
      </c>
      <c r="CG280" s="662">
        <v>64</v>
      </c>
      <c r="CH280" s="662">
        <v>0</v>
      </c>
      <c r="CI280" s="662">
        <v>54</v>
      </c>
      <c r="CJ280" s="662">
        <v>5550</v>
      </c>
      <c r="CK280" s="662">
        <v>0</v>
      </c>
      <c r="CL280" s="662">
        <v>0</v>
      </c>
      <c r="CM280" s="662">
        <v>5130</v>
      </c>
      <c r="CN280" s="662">
        <v>0</v>
      </c>
      <c r="CO280" s="662">
        <v>0</v>
      </c>
      <c r="CP280" s="662">
        <v>0</v>
      </c>
      <c r="CQ280" s="662">
        <v>0</v>
      </c>
      <c r="CR280" s="662">
        <v>0</v>
      </c>
      <c r="CS280" s="662">
        <v>0</v>
      </c>
      <c r="CT280" s="662">
        <v>0</v>
      </c>
      <c r="CU280" s="662">
        <v>1</v>
      </c>
      <c r="CV280" s="662">
        <v>0</v>
      </c>
      <c r="CW280" s="662">
        <v>1</v>
      </c>
      <c r="CX280" s="662">
        <v>180</v>
      </c>
      <c r="CY280" s="662">
        <v>0</v>
      </c>
      <c r="CZ280" s="662">
        <v>0</v>
      </c>
      <c r="DA280" s="662">
        <v>180</v>
      </c>
      <c r="DB280" s="662">
        <v>1235</v>
      </c>
      <c r="DC280" s="662">
        <v>0</v>
      </c>
      <c r="DD280" s="662">
        <v>1225</v>
      </c>
      <c r="DE280" s="662">
        <v>228025</v>
      </c>
      <c r="DF280" s="662">
        <v>0</v>
      </c>
      <c r="DG280" s="662">
        <v>0</v>
      </c>
      <c r="DH280" s="662">
        <v>219175</v>
      </c>
      <c r="DI280" s="662">
        <v>283</v>
      </c>
      <c r="DJ280" s="662">
        <v>0</v>
      </c>
      <c r="DK280" s="662">
        <v>278</v>
      </c>
      <c r="DL280" s="662">
        <v>38375</v>
      </c>
      <c r="DM280" s="662">
        <v>0</v>
      </c>
      <c r="DN280" s="662">
        <v>0</v>
      </c>
      <c r="DO280" s="662">
        <v>36845</v>
      </c>
      <c r="DP280" s="662">
        <v>49</v>
      </c>
      <c r="DQ280" s="662">
        <v>0</v>
      </c>
      <c r="DR280" s="662">
        <v>48</v>
      </c>
      <c r="DS280" s="662">
        <v>9924</v>
      </c>
      <c r="DT280" s="662">
        <v>0</v>
      </c>
      <c r="DU280" s="662">
        <v>0</v>
      </c>
      <c r="DV280" s="662">
        <v>9868</v>
      </c>
      <c r="DW280" s="662">
        <v>1019</v>
      </c>
      <c r="DX280" s="662">
        <v>0</v>
      </c>
      <c r="DY280" s="662">
        <v>985</v>
      </c>
      <c r="DZ280" s="662">
        <v>226216</v>
      </c>
      <c r="EA280" s="662">
        <v>0</v>
      </c>
      <c r="EB280" s="662">
        <v>0</v>
      </c>
      <c r="EC280" s="662">
        <v>212870</v>
      </c>
      <c r="ED280" s="662">
        <v>23009</v>
      </c>
      <c r="EE280" s="662">
        <v>0</v>
      </c>
      <c r="EF280" s="662">
        <v>20388</v>
      </c>
      <c r="EG280" s="662">
        <v>4056470</v>
      </c>
      <c r="EH280" s="662">
        <v>0</v>
      </c>
      <c r="EI280" s="662">
        <v>0</v>
      </c>
      <c r="EJ280" s="662">
        <v>3955495</v>
      </c>
      <c r="EK280" s="662">
        <v>121</v>
      </c>
      <c r="EL280" s="662">
        <v>0</v>
      </c>
      <c r="EM280" s="662">
        <v>121</v>
      </c>
      <c r="EN280" s="662">
        <v>16900</v>
      </c>
      <c r="EO280" s="662">
        <v>0</v>
      </c>
      <c r="EP280" s="662">
        <v>0</v>
      </c>
      <c r="EQ280" s="662">
        <v>16900</v>
      </c>
    </row>
    <row r="281" spans="1:149" ht="13.95" customHeight="1" x14ac:dyDescent="0.3">
      <c r="A281" s="660" t="s">
        <v>1937</v>
      </c>
      <c r="B281" s="661" t="s">
        <v>269</v>
      </c>
      <c r="C281" s="662">
        <v>0</v>
      </c>
      <c r="D281" s="662">
        <v>0</v>
      </c>
      <c r="E281" s="662">
        <v>0</v>
      </c>
      <c r="F281" s="662">
        <v>0</v>
      </c>
      <c r="G281" s="662">
        <v>0</v>
      </c>
      <c r="H281" s="662">
        <v>0</v>
      </c>
      <c r="I281" s="662">
        <v>0</v>
      </c>
      <c r="J281" s="802">
        <v>0</v>
      </c>
      <c r="K281" s="662">
        <v>0</v>
      </c>
      <c r="L281" s="662">
        <v>0</v>
      </c>
      <c r="M281" s="662">
        <v>0</v>
      </c>
      <c r="N281" s="662">
        <v>0</v>
      </c>
      <c r="O281" s="662">
        <v>0</v>
      </c>
      <c r="P281" s="662">
        <v>0</v>
      </c>
      <c r="Q281" s="802">
        <v>0</v>
      </c>
      <c r="R281" s="662">
        <v>0</v>
      </c>
      <c r="S281" s="662">
        <v>0</v>
      </c>
      <c r="T281" s="662">
        <v>0</v>
      </c>
      <c r="U281" s="662">
        <v>0</v>
      </c>
      <c r="V281" s="662">
        <v>0</v>
      </c>
      <c r="W281" s="802">
        <v>0</v>
      </c>
      <c r="X281" s="662">
        <v>0</v>
      </c>
      <c r="Y281" s="662">
        <v>0</v>
      </c>
      <c r="Z281" s="662">
        <v>0</v>
      </c>
      <c r="AA281" s="662">
        <v>0</v>
      </c>
      <c r="AB281" s="662">
        <v>0</v>
      </c>
      <c r="AC281" s="662">
        <v>0</v>
      </c>
      <c r="AD281" s="802">
        <v>0</v>
      </c>
      <c r="AE281" s="662">
        <v>0</v>
      </c>
      <c r="AF281" s="662">
        <v>0</v>
      </c>
      <c r="AG281" s="662">
        <v>0</v>
      </c>
      <c r="AH281" s="662">
        <v>0</v>
      </c>
      <c r="AI281" s="662">
        <v>0</v>
      </c>
      <c r="AJ281" s="662">
        <v>0</v>
      </c>
      <c r="AK281" s="802">
        <v>0</v>
      </c>
      <c r="AL281" s="662">
        <v>0</v>
      </c>
      <c r="AM281" s="662">
        <v>0</v>
      </c>
      <c r="AN281" s="662">
        <v>0</v>
      </c>
      <c r="AO281" s="662">
        <v>0</v>
      </c>
      <c r="AP281" s="662">
        <v>0</v>
      </c>
      <c r="AQ281" s="802">
        <v>0</v>
      </c>
      <c r="AR281" s="662">
        <v>0</v>
      </c>
      <c r="AS281" s="662">
        <v>0</v>
      </c>
      <c r="AT281" s="662">
        <v>0</v>
      </c>
      <c r="AU281" s="662">
        <v>0</v>
      </c>
      <c r="AV281" s="662">
        <v>0</v>
      </c>
      <c r="AW281" s="662">
        <v>0</v>
      </c>
      <c r="AX281" s="662">
        <v>0</v>
      </c>
      <c r="AY281" s="662">
        <v>0</v>
      </c>
      <c r="AZ281" s="662">
        <v>0</v>
      </c>
      <c r="BA281" s="662">
        <v>0</v>
      </c>
      <c r="BB281" s="662">
        <v>0</v>
      </c>
      <c r="BC281" s="662">
        <v>0</v>
      </c>
      <c r="BD281" s="662">
        <v>0</v>
      </c>
      <c r="BE281" s="802">
        <v>0</v>
      </c>
      <c r="BF281" s="662">
        <v>0</v>
      </c>
      <c r="BG281" s="662">
        <v>0</v>
      </c>
      <c r="BH281" s="662">
        <v>0</v>
      </c>
      <c r="BI281" s="662">
        <v>0</v>
      </c>
      <c r="BJ281" s="662">
        <v>0</v>
      </c>
      <c r="BK281" s="662">
        <v>0</v>
      </c>
      <c r="BL281" s="662">
        <v>0</v>
      </c>
      <c r="BM281" s="662">
        <v>0</v>
      </c>
      <c r="BN281" s="662">
        <v>0</v>
      </c>
      <c r="BO281" s="662">
        <v>0</v>
      </c>
      <c r="BP281" s="662">
        <v>0</v>
      </c>
      <c r="BQ281" s="662">
        <v>0</v>
      </c>
      <c r="BR281" s="662">
        <v>0</v>
      </c>
      <c r="BS281" s="662">
        <v>0</v>
      </c>
      <c r="BT281" s="662">
        <v>0</v>
      </c>
      <c r="BU281" s="662">
        <v>0</v>
      </c>
      <c r="BV281" s="662">
        <v>0</v>
      </c>
      <c r="BW281" s="662">
        <v>0</v>
      </c>
      <c r="BX281" s="662">
        <v>0</v>
      </c>
      <c r="BY281" s="662">
        <v>0</v>
      </c>
      <c r="BZ281" s="662">
        <v>0</v>
      </c>
      <c r="CA281" s="662">
        <v>0</v>
      </c>
      <c r="CB281" s="662">
        <v>0</v>
      </c>
      <c r="CC281" s="662">
        <v>0</v>
      </c>
      <c r="CD281" s="662">
        <v>0</v>
      </c>
      <c r="CE281" s="662">
        <v>0</v>
      </c>
      <c r="CF281" s="662">
        <v>0</v>
      </c>
      <c r="CG281" s="662">
        <v>0</v>
      </c>
      <c r="CH281" s="662">
        <v>0</v>
      </c>
      <c r="CI281" s="662">
        <v>0</v>
      </c>
      <c r="CJ281" s="662">
        <v>0</v>
      </c>
      <c r="CK281" s="662">
        <v>0</v>
      </c>
      <c r="CL281" s="662">
        <v>0</v>
      </c>
      <c r="CM281" s="662">
        <v>0</v>
      </c>
      <c r="CN281" s="662">
        <v>0</v>
      </c>
      <c r="CO281" s="662">
        <v>0</v>
      </c>
      <c r="CP281" s="662">
        <v>0</v>
      </c>
      <c r="CQ281" s="662">
        <v>0</v>
      </c>
      <c r="CR281" s="662">
        <v>0</v>
      </c>
      <c r="CS281" s="662">
        <v>0</v>
      </c>
      <c r="CT281" s="662">
        <v>0</v>
      </c>
      <c r="CU281" s="662">
        <v>0</v>
      </c>
      <c r="CV281" s="662">
        <v>0</v>
      </c>
      <c r="CW281" s="662">
        <v>0</v>
      </c>
      <c r="CX281" s="662">
        <v>0</v>
      </c>
      <c r="CY281" s="662">
        <v>0</v>
      </c>
      <c r="CZ281" s="662">
        <v>0</v>
      </c>
      <c r="DA281" s="662">
        <v>0</v>
      </c>
      <c r="DB281" s="662">
        <v>0</v>
      </c>
      <c r="DC281" s="662">
        <v>0</v>
      </c>
      <c r="DD281" s="662">
        <v>0</v>
      </c>
      <c r="DE281" s="662">
        <v>0</v>
      </c>
      <c r="DF281" s="662">
        <v>0</v>
      </c>
      <c r="DG281" s="662">
        <v>0</v>
      </c>
      <c r="DH281" s="662">
        <v>0</v>
      </c>
      <c r="DI281" s="662">
        <v>0</v>
      </c>
      <c r="DJ281" s="662">
        <v>0</v>
      </c>
      <c r="DK281" s="662">
        <v>0</v>
      </c>
      <c r="DL281" s="662">
        <v>0</v>
      </c>
      <c r="DM281" s="662">
        <v>0</v>
      </c>
      <c r="DN281" s="662">
        <v>0</v>
      </c>
      <c r="DO281" s="662">
        <v>0</v>
      </c>
      <c r="DP281" s="662">
        <v>0</v>
      </c>
      <c r="DQ281" s="662">
        <v>0</v>
      </c>
      <c r="DR281" s="662">
        <v>0</v>
      </c>
      <c r="DS281" s="662">
        <v>0</v>
      </c>
      <c r="DT281" s="662">
        <v>0</v>
      </c>
      <c r="DU281" s="662">
        <v>0</v>
      </c>
      <c r="DV281" s="662">
        <v>0</v>
      </c>
      <c r="DW281" s="662">
        <v>0</v>
      </c>
      <c r="DX281" s="662">
        <v>0</v>
      </c>
      <c r="DY281" s="662">
        <v>0</v>
      </c>
      <c r="DZ281" s="662">
        <v>0</v>
      </c>
      <c r="EA281" s="662">
        <v>0</v>
      </c>
      <c r="EB281" s="662">
        <v>0</v>
      </c>
      <c r="EC281" s="662">
        <v>0</v>
      </c>
      <c r="ED281" s="662">
        <v>0</v>
      </c>
      <c r="EE281" s="662">
        <v>0</v>
      </c>
      <c r="EF281" s="662">
        <v>0</v>
      </c>
      <c r="EG281" s="662">
        <v>0</v>
      </c>
      <c r="EH281" s="662">
        <v>0</v>
      </c>
      <c r="EI281" s="662">
        <v>0</v>
      </c>
      <c r="EJ281" s="662">
        <v>0</v>
      </c>
      <c r="EK281" s="662">
        <v>0</v>
      </c>
      <c r="EL281" s="662">
        <v>0</v>
      </c>
      <c r="EM281" s="662">
        <v>0</v>
      </c>
      <c r="EN281" s="662">
        <v>0</v>
      </c>
      <c r="EO281" s="662">
        <v>0</v>
      </c>
      <c r="EP281" s="662">
        <v>0</v>
      </c>
      <c r="EQ281" s="662">
        <v>0</v>
      </c>
    </row>
    <row r="282" spans="1:149" ht="13.95" customHeight="1" x14ac:dyDescent="0.3">
      <c r="A282" s="660" t="s">
        <v>1938</v>
      </c>
      <c r="B282" s="661" t="s">
        <v>269</v>
      </c>
      <c r="C282" s="662">
        <v>288</v>
      </c>
      <c r="D282" s="662">
        <v>0</v>
      </c>
      <c r="E282" s="662">
        <v>280</v>
      </c>
      <c r="F282" s="662">
        <v>52200</v>
      </c>
      <c r="G282" s="662">
        <v>0</v>
      </c>
      <c r="H282" s="662">
        <v>0</v>
      </c>
      <c r="I282" s="662">
        <v>52100</v>
      </c>
      <c r="J282" s="802">
        <v>0</v>
      </c>
      <c r="K282" s="662">
        <v>0</v>
      </c>
      <c r="L282" s="662">
        <v>0</v>
      </c>
      <c r="M282" s="662">
        <v>0</v>
      </c>
      <c r="N282" s="662">
        <v>0</v>
      </c>
      <c r="O282" s="662">
        <v>0</v>
      </c>
      <c r="P282" s="662">
        <v>0</v>
      </c>
      <c r="Q282" s="802">
        <v>0</v>
      </c>
      <c r="R282" s="662">
        <v>0</v>
      </c>
      <c r="S282" s="662">
        <v>0</v>
      </c>
      <c r="T282" s="662">
        <v>0</v>
      </c>
      <c r="U282" s="662">
        <v>0</v>
      </c>
      <c r="V282" s="662">
        <v>0</v>
      </c>
      <c r="W282" s="802">
        <v>0</v>
      </c>
      <c r="X282" s="662">
        <v>0</v>
      </c>
      <c r="Y282" s="662">
        <v>0</v>
      </c>
      <c r="Z282" s="662">
        <v>0</v>
      </c>
      <c r="AA282" s="662">
        <v>0</v>
      </c>
      <c r="AB282" s="662">
        <v>0</v>
      </c>
      <c r="AC282" s="662">
        <v>0</v>
      </c>
      <c r="AD282" s="802">
        <v>0</v>
      </c>
      <c r="AE282" s="662">
        <v>0</v>
      </c>
      <c r="AF282" s="662">
        <v>0</v>
      </c>
      <c r="AG282" s="662">
        <v>0</v>
      </c>
      <c r="AH282" s="662">
        <v>0</v>
      </c>
      <c r="AI282" s="662">
        <v>0</v>
      </c>
      <c r="AJ282" s="662">
        <v>0</v>
      </c>
      <c r="AK282" s="802">
        <v>0</v>
      </c>
      <c r="AL282" s="662">
        <v>0</v>
      </c>
      <c r="AM282" s="662">
        <v>0</v>
      </c>
      <c r="AN282" s="662">
        <v>0</v>
      </c>
      <c r="AO282" s="662">
        <v>0</v>
      </c>
      <c r="AP282" s="662">
        <v>0</v>
      </c>
      <c r="AQ282" s="802">
        <v>0</v>
      </c>
      <c r="AR282" s="662">
        <v>0</v>
      </c>
      <c r="AS282" s="662">
        <v>0</v>
      </c>
      <c r="AT282" s="662">
        <v>0</v>
      </c>
      <c r="AU282" s="662">
        <v>0</v>
      </c>
      <c r="AV282" s="662">
        <v>0</v>
      </c>
      <c r="AW282" s="662">
        <v>0</v>
      </c>
      <c r="AX282" s="662">
        <v>0</v>
      </c>
      <c r="AY282" s="662">
        <v>0</v>
      </c>
      <c r="AZ282" s="662">
        <v>0</v>
      </c>
      <c r="BA282" s="662">
        <v>0</v>
      </c>
      <c r="BB282" s="662">
        <v>0</v>
      </c>
      <c r="BC282" s="662">
        <v>0</v>
      </c>
      <c r="BD282" s="662">
        <v>0</v>
      </c>
      <c r="BE282" s="802">
        <v>0</v>
      </c>
      <c r="BF282" s="662">
        <v>0</v>
      </c>
      <c r="BG282" s="662">
        <v>0</v>
      </c>
      <c r="BH282" s="662">
        <v>0</v>
      </c>
      <c r="BI282" s="662">
        <v>0</v>
      </c>
      <c r="BJ282" s="662">
        <v>0</v>
      </c>
      <c r="BK282" s="662">
        <v>0</v>
      </c>
      <c r="BL282" s="662">
        <v>0</v>
      </c>
      <c r="BM282" s="662">
        <v>0</v>
      </c>
      <c r="BN282" s="662">
        <v>0</v>
      </c>
      <c r="BO282" s="662">
        <v>0</v>
      </c>
      <c r="BP282" s="662">
        <v>0</v>
      </c>
      <c r="BQ282" s="662">
        <v>0</v>
      </c>
      <c r="BR282" s="662">
        <v>0</v>
      </c>
      <c r="BS282" s="662">
        <v>0</v>
      </c>
      <c r="BT282" s="662">
        <v>0</v>
      </c>
      <c r="BU282" s="662">
        <v>0</v>
      </c>
      <c r="BV282" s="662">
        <v>0</v>
      </c>
      <c r="BW282" s="662">
        <v>0</v>
      </c>
      <c r="BX282" s="662">
        <v>0</v>
      </c>
      <c r="BY282" s="662">
        <v>0</v>
      </c>
      <c r="BZ282" s="662">
        <v>0</v>
      </c>
      <c r="CA282" s="662">
        <v>0</v>
      </c>
      <c r="CB282" s="662">
        <v>0</v>
      </c>
      <c r="CC282" s="662">
        <v>0</v>
      </c>
      <c r="CD282" s="662">
        <v>0</v>
      </c>
      <c r="CE282" s="662">
        <v>0</v>
      </c>
      <c r="CF282" s="662">
        <v>0</v>
      </c>
      <c r="CG282" s="662">
        <v>0</v>
      </c>
      <c r="CH282" s="662">
        <v>0</v>
      </c>
      <c r="CI282" s="662">
        <v>0</v>
      </c>
      <c r="CJ282" s="662">
        <v>0</v>
      </c>
      <c r="CK282" s="662">
        <v>0</v>
      </c>
      <c r="CL282" s="662">
        <v>0</v>
      </c>
      <c r="CM282" s="662">
        <v>0</v>
      </c>
      <c r="CN282" s="662">
        <v>0</v>
      </c>
      <c r="CO282" s="662">
        <v>0</v>
      </c>
      <c r="CP282" s="662">
        <v>0</v>
      </c>
      <c r="CQ282" s="662">
        <v>0</v>
      </c>
      <c r="CR282" s="662">
        <v>0</v>
      </c>
      <c r="CS282" s="662">
        <v>0</v>
      </c>
      <c r="CT282" s="662">
        <v>0</v>
      </c>
      <c r="CU282" s="662">
        <v>0</v>
      </c>
      <c r="CV282" s="662">
        <v>0</v>
      </c>
      <c r="CW282" s="662">
        <v>0</v>
      </c>
      <c r="CX282" s="662">
        <v>0</v>
      </c>
      <c r="CY282" s="662">
        <v>0</v>
      </c>
      <c r="CZ282" s="662">
        <v>0</v>
      </c>
      <c r="DA282" s="662">
        <v>0</v>
      </c>
      <c r="DB282" s="662">
        <v>0</v>
      </c>
      <c r="DC282" s="662">
        <v>0</v>
      </c>
      <c r="DD282" s="662">
        <v>0</v>
      </c>
      <c r="DE282" s="662">
        <v>0</v>
      </c>
      <c r="DF282" s="662">
        <v>0</v>
      </c>
      <c r="DG282" s="662">
        <v>0</v>
      </c>
      <c r="DH282" s="662">
        <v>0</v>
      </c>
      <c r="DI282" s="662">
        <v>0</v>
      </c>
      <c r="DJ282" s="662">
        <v>0</v>
      </c>
      <c r="DK282" s="662">
        <v>0</v>
      </c>
      <c r="DL282" s="662">
        <v>0</v>
      </c>
      <c r="DM282" s="662">
        <v>0</v>
      </c>
      <c r="DN282" s="662">
        <v>0</v>
      </c>
      <c r="DO282" s="662">
        <v>0</v>
      </c>
      <c r="DP282" s="662">
        <v>0</v>
      </c>
      <c r="DQ282" s="662">
        <v>0</v>
      </c>
      <c r="DR282" s="662">
        <v>0</v>
      </c>
      <c r="DS282" s="662">
        <v>0</v>
      </c>
      <c r="DT282" s="662">
        <v>0</v>
      </c>
      <c r="DU282" s="662">
        <v>0</v>
      </c>
      <c r="DV282" s="662">
        <v>0</v>
      </c>
      <c r="DW282" s="662">
        <v>26</v>
      </c>
      <c r="DX282" s="662">
        <v>0</v>
      </c>
      <c r="DY282" s="662">
        <v>18</v>
      </c>
      <c r="DZ282" s="662">
        <v>4800</v>
      </c>
      <c r="EA282" s="662">
        <v>0</v>
      </c>
      <c r="EB282" s="662">
        <v>0</v>
      </c>
      <c r="EC282" s="662">
        <v>4700</v>
      </c>
      <c r="ED282" s="662">
        <v>262</v>
      </c>
      <c r="EE282" s="662">
        <v>0</v>
      </c>
      <c r="EF282" s="662">
        <v>262</v>
      </c>
      <c r="EG282" s="662">
        <v>47400</v>
      </c>
      <c r="EH282" s="662">
        <v>0</v>
      </c>
      <c r="EI282" s="662">
        <v>0</v>
      </c>
      <c r="EJ282" s="662">
        <v>47400</v>
      </c>
      <c r="EK282" s="662">
        <v>0</v>
      </c>
      <c r="EL282" s="662">
        <v>0</v>
      </c>
      <c r="EM282" s="662">
        <v>0</v>
      </c>
      <c r="EN282" s="662">
        <v>0</v>
      </c>
      <c r="EO282" s="662">
        <v>0</v>
      </c>
      <c r="EP282" s="662">
        <v>0</v>
      </c>
      <c r="EQ282" s="662">
        <v>0</v>
      </c>
    </row>
    <row r="283" spans="1:149" ht="13.95" customHeight="1" x14ac:dyDescent="0.3">
      <c r="A283" s="660" t="s">
        <v>1939</v>
      </c>
      <c r="B283" s="661" t="s">
        <v>269</v>
      </c>
      <c r="C283" s="662">
        <f t="shared" ref="C283:BN283" si="121">C284+C285+C286</f>
        <v>1561</v>
      </c>
      <c r="D283" s="662">
        <f t="shared" si="121"/>
        <v>0</v>
      </c>
      <c r="E283" s="662">
        <f t="shared" si="121"/>
        <v>1561</v>
      </c>
      <c r="F283" s="662">
        <f t="shared" si="121"/>
        <v>310550</v>
      </c>
      <c r="G283" s="662">
        <f t="shared" si="121"/>
        <v>0</v>
      </c>
      <c r="H283" s="662">
        <f t="shared" si="121"/>
        <v>0</v>
      </c>
      <c r="I283" s="662">
        <f t="shared" si="121"/>
        <v>309650</v>
      </c>
      <c r="J283" s="802">
        <f t="shared" si="121"/>
        <v>0</v>
      </c>
      <c r="K283" s="662">
        <f t="shared" si="121"/>
        <v>0</v>
      </c>
      <c r="L283" s="662">
        <f t="shared" si="121"/>
        <v>0</v>
      </c>
      <c r="M283" s="662">
        <f t="shared" si="121"/>
        <v>0</v>
      </c>
      <c r="N283" s="662">
        <f t="shared" si="121"/>
        <v>0</v>
      </c>
      <c r="O283" s="662">
        <f t="shared" si="121"/>
        <v>0</v>
      </c>
      <c r="P283" s="662">
        <f t="shared" si="121"/>
        <v>0</v>
      </c>
      <c r="Q283" s="802">
        <f t="shared" si="121"/>
        <v>0</v>
      </c>
      <c r="R283" s="662">
        <f t="shared" si="121"/>
        <v>0</v>
      </c>
      <c r="S283" s="662">
        <f t="shared" si="121"/>
        <v>0</v>
      </c>
      <c r="T283" s="662">
        <f t="shared" si="121"/>
        <v>0</v>
      </c>
      <c r="U283" s="662">
        <f t="shared" si="121"/>
        <v>0</v>
      </c>
      <c r="V283" s="662">
        <f t="shared" si="121"/>
        <v>0</v>
      </c>
      <c r="W283" s="802">
        <f t="shared" si="121"/>
        <v>6</v>
      </c>
      <c r="X283" s="662">
        <f t="shared" si="121"/>
        <v>0</v>
      </c>
      <c r="Y283" s="662">
        <f t="shared" si="121"/>
        <v>6</v>
      </c>
      <c r="Z283" s="662">
        <f t="shared" si="121"/>
        <v>550</v>
      </c>
      <c r="AA283" s="662">
        <f t="shared" si="121"/>
        <v>0</v>
      </c>
      <c r="AB283" s="662">
        <f t="shared" si="121"/>
        <v>0</v>
      </c>
      <c r="AC283" s="662">
        <f t="shared" si="121"/>
        <v>550</v>
      </c>
      <c r="AD283" s="802">
        <f t="shared" si="121"/>
        <v>0</v>
      </c>
      <c r="AE283" s="662">
        <f t="shared" si="121"/>
        <v>0</v>
      </c>
      <c r="AF283" s="662">
        <f t="shared" si="121"/>
        <v>0</v>
      </c>
      <c r="AG283" s="662">
        <f t="shared" si="121"/>
        <v>0</v>
      </c>
      <c r="AH283" s="662">
        <f t="shared" si="121"/>
        <v>0</v>
      </c>
      <c r="AI283" s="662">
        <f t="shared" si="121"/>
        <v>0</v>
      </c>
      <c r="AJ283" s="662">
        <f t="shared" si="121"/>
        <v>0</v>
      </c>
      <c r="AK283" s="802">
        <f t="shared" si="121"/>
        <v>0</v>
      </c>
      <c r="AL283" s="662">
        <f t="shared" si="121"/>
        <v>0</v>
      </c>
      <c r="AM283" s="662">
        <f t="shared" si="121"/>
        <v>0</v>
      </c>
      <c r="AN283" s="662">
        <f t="shared" si="121"/>
        <v>0</v>
      </c>
      <c r="AO283" s="662">
        <f t="shared" si="121"/>
        <v>0</v>
      </c>
      <c r="AP283" s="662">
        <f t="shared" si="121"/>
        <v>0</v>
      </c>
      <c r="AQ283" s="802">
        <f t="shared" si="121"/>
        <v>0</v>
      </c>
      <c r="AR283" s="662">
        <f t="shared" si="121"/>
        <v>0</v>
      </c>
      <c r="AS283" s="662">
        <f t="shared" si="121"/>
        <v>0</v>
      </c>
      <c r="AT283" s="662">
        <f t="shared" si="121"/>
        <v>0</v>
      </c>
      <c r="AU283" s="662">
        <f t="shared" si="121"/>
        <v>0</v>
      </c>
      <c r="AV283" s="662">
        <f t="shared" si="121"/>
        <v>0</v>
      </c>
      <c r="AW283" s="662">
        <f t="shared" si="121"/>
        <v>0</v>
      </c>
      <c r="AX283" s="662">
        <f t="shared" si="121"/>
        <v>0</v>
      </c>
      <c r="AY283" s="662">
        <f t="shared" si="121"/>
        <v>0</v>
      </c>
      <c r="AZ283" s="662">
        <f t="shared" si="121"/>
        <v>0</v>
      </c>
      <c r="BA283" s="662">
        <f t="shared" si="121"/>
        <v>0</v>
      </c>
      <c r="BB283" s="662">
        <f t="shared" si="121"/>
        <v>0</v>
      </c>
      <c r="BC283" s="662">
        <f t="shared" si="121"/>
        <v>0</v>
      </c>
      <c r="BD283" s="662">
        <f t="shared" si="121"/>
        <v>0</v>
      </c>
      <c r="BE283" s="802">
        <f t="shared" si="121"/>
        <v>0</v>
      </c>
      <c r="BF283" s="662">
        <f t="shared" si="121"/>
        <v>0</v>
      </c>
      <c r="BG283" s="662">
        <f t="shared" si="121"/>
        <v>0</v>
      </c>
      <c r="BH283" s="662">
        <f t="shared" si="121"/>
        <v>0</v>
      </c>
      <c r="BI283" s="662">
        <f t="shared" si="121"/>
        <v>0</v>
      </c>
      <c r="BJ283" s="662">
        <f t="shared" si="121"/>
        <v>0</v>
      </c>
      <c r="BK283" s="662">
        <f t="shared" si="121"/>
        <v>0</v>
      </c>
      <c r="BL283" s="662">
        <f t="shared" si="121"/>
        <v>0</v>
      </c>
      <c r="BM283" s="662">
        <f t="shared" si="121"/>
        <v>0</v>
      </c>
      <c r="BN283" s="662">
        <f t="shared" si="121"/>
        <v>0</v>
      </c>
      <c r="BO283" s="662">
        <f t="shared" ref="BO283:DZ283" si="122">BO284+BO285+BO286</f>
        <v>0</v>
      </c>
      <c r="BP283" s="662">
        <f t="shared" si="122"/>
        <v>0</v>
      </c>
      <c r="BQ283" s="662">
        <f t="shared" si="122"/>
        <v>0</v>
      </c>
      <c r="BR283" s="662">
        <f t="shared" si="122"/>
        <v>0</v>
      </c>
      <c r="BS283" s="662">
        <f t="shared" si="122"/>
        <v>0</v>
      </c>
      <c r="BT283" s="662">
        <f t="shared" si="122"/>
        <v>0</v>
      </c>
      <c r="BU283" s="662">
        <f t="shared" si="122"/>
        <v>0</v>
      </c>
      <c r="BV283" s="662">
        <f t="shared" si="122"/>
        <v>0</v>
      </c>
      <c r="BW283" s="662">
        <f t="shared" si="122"/>
        <v>0</v>
      </c>
      <c r="BX283" s="662">
        <f t="shared" si="122"/>
        <v>0</v>
      </c>
      <c r="BY283" s="662">
        <f t="shared" si="122"/>
        <v>0</v>
      </c>
      <c r="BZ283" s="662">
        <f t="shared" si="122"/>
        <v>0</v>
      </c>
      <c r="CA283" s="662">
        <f t="shared" si="122"/>
        <v>0</v>
      </c>
      <c r="CB283" s="662">
        <f t="shared" si="122"/>
        <v>0</v>
      </c>
      <c r="CC283" s="662">
        <f t="shared" si="122"/>
        <v>0</v>
      </c>
      <c r="CD283" s="662">
        <f t="shared" si="122"/>
        <v>0</v>
      </c>
      <c r="CE283" s="662">
        <f t="shared" si="122"/>
        <v>0</v>
      </c>
      <c r="CF283" s="662">
        <f t="shared" si="122"/>
        <v>0</v>
      </c>
      <c r="CG283" s="662">
        <f t="shared" si="122"/>
        <v>0</v>
      </c>
      <c r="CH283" s="662">
        <f t="shared" si="122"/>
        <v>0</v>
      </c>
      <c r="CI283" s="662">
        <f t="shared" si="122"/>
        <v>0</v>
      </c>
      <c r="CJ283" s="662">
        <f t="shared" si="122"/>
        <v>0</v>
      </c>
      <c r="CK283" s="662">
        <f t="shared" si="122"/>
        <v>0</v>
      </c>
      <c r="CL283" s="662">
        <f t="shared" si="122"/>
        <v>0</v>
      </c>
      <c r="CM283" s="662">
        <f t="shared" si="122"/>
        <v>0</v>
      </c>
      <c r="CN283" s="662">
        <f t="shared" si="122"/>
        <v>0</v>
      </c>
      <c r="CO283" s="662">
        <f t="shared" si="122"/>
        <v>0</v>
      </c>
      <c r="CP283" s="662">
        <f t="shared" si="122"/>
        <v>0</v>
      </c>
      <c r="CQ283" s="662">
        <f t="shared" si="122"/>
        <v>0</v>
      </c>
      <c r="CR283" s="662">
        <f t="shared" si="122"/>
        <v>0</v>
      </c>
      <c r="CS283" s="662">
        <f t="shared" si="122"/>
        <v>0</v>
      </c>
      <c r="CT283" s="662">
        <f t="shared" si="122"/>
        <v>0</v>
      </c>
      <c r="CU283" s="662">
        <f t="shared" si="122"/>
        <v>0</v>
      </c>
      <c r="CV283" s="662">
        <f t="shared" si="122"/>
        <v>0</v>
      </c>
      <c r="CW283" s="662">
        <f t="shared" si="122"/>
        <v>0</v>
      </c>
      <c r="CX283" s="662">
        <f t="shared" si="122"/>
        <v>0</v>
      </c>
      <c r="CY283" s="662">
        <f t="shared" si="122"/>
        <v>0</v>
      </c>
      <c r="CZ283" s="662">
        <f t="shared" si="122"/>
        <v>0</v>
      </c>
      <c r="DA283" s="662">
        <f t="shared" si="122"/>
        <v>0</v>
      </c>
      <c r="DB283" s="662">
        <f t="shared" si="122"/>
        <v>0</v>
      </c>
      <c r="DC283" s="662">
        <f t="shared" si="122"/>
        <v>0</v>
      </c>
      <c r="DD283" s="662">
        <f t="shared" si="122"/>
        <v>0</v>
      </c>
      <c r="DE283" s="662">
        <f t="shared" si="122"/>
        <v>0</v>
      </c>
      <c r="DF283" s="662">
        <f t="shared" si="122"/>
        <v>0</v>
      </c>
      <c r="DG283" s="662">
        <f t="shared" si="122"/>
        <v>0</v>
      </c>
      <c r="DH283" s="662">
        <f t="shared" si="122"/>
        <v>0</v>
      </c>
      <c r="DI283" s="662">
        <f t="shared" si="122"/>
        <v>0</v>
      </c>
      <c r="DJ283" s="662">
        <f t="shared" si="122"/>
        <v>0</v>
      </c>
      <c r="DK283" s="662">
        <f t="shared" si="122"/>
        <v>0</v>
      </c>
      <c r="DL283" s="662">
        <f t="shared" si="122"/>
        <v>0</v>
      </c>
      <c r="DM283" s="662">
        <f t="shared" si="122"/>
        <v>0</v>
      </c>
      <c r="DN283" s="662">
        <f t="shared" si="122"/>
        <v>0</v>
      </c>
      <c r="DO283" s="662">
        <f t="shared" si="122"/>
        <v>0</v>
      </c>
      <c r="DP283" s="662">
        <f t="shared" si="122"/>
        <v>0</v>
      </c>
      <c r="DQ283" s="662">
        <f t="shared" si="122"/>
        <v>0</v>
      </c>
      <c r="DR283" s="662">
        <f t="shared" si="122"/>
        <v>0</v>
      </c>
      <c r="DS283" s="662">
        <f t="shared" si="122"/>
        <v>0</v>
      </c>
      <c r="DT283" s="662">
        <f t="shared" si="122"/>
        <v>0</v>
      </c>
      <c r="DU283" s="662">
        <f t="shared" si="122"/>
        <v>0</v>
      </c>
      <c r="DV283" s="662">
        <f t="shared" si="122"/>
        <v>0</v>
      </c>
      <c r="DW283" s="662">
        <f t="shared" si="122"/>
        <v>1545</v>
      </c>
      <c r="DX283" s="662">
        <f t="shared" si="122"/>
        <v>0</v>
      </c>
      <c r="DY283" s="662">
        <f t="shared" si="122"/>
        <v>1545</v>
      </c>
      <c r="DZ283" s="662">
        <f t="shared" si="122"/>
        <v>309000</v>
      </c>
      <c r="EA283" s="662">
        <f t="shared" ref="EA283:EQ283" si="123">EA284+EA285+EA286</f>
        <v>0</v>
      </c>
      <c r="EB283" s="662">
        <f t="shared" si="123"/>
        <v>0</v>
      </c>
      <c r="EC283" s="662">
        <f t="shared" si="123"/>
        <v>308100</v>
      </c>
      <c r="ED283" s="662">
        <f t="shared" si="123"/>
        <v>10</v>
      </c>
      <c r="EE283" s="662">
        <f t="shared" si="123"/>
        <v>0</v>
      </c>
      <c r="EF283" s="662">
        <f t="shared" si="123"/>
        <v>10</v>
      </c>
      <c r="EG283" s="662">
        <f t="shared" si="123"/>
        <v>1000</v>
      </c>
      <c r="EH283" s="662">
        <f t="shared" si="123"/>
        <v>0</v>
      </c>
      <c r="EI283" s="662">
        <f t="shared" si="123"/>
        <v>0</v>
      </c>
      <c r="EJ283" s="662">
        <f t="shared" si="123"/>
        <v>1000</v>
      </c>
      <c r="EK283" s="662">
        <f t="shared" si="123"/>
        <v>0</v>
      </c>
      <c r="EL283" s="662">
        <f t="shared" si="123"/>
        <v>0</v>
      </c>
      <c r="EM283" s="662">
        <f t="shared" si="123"/>
        <v>0</v>
      </c>
      <c r="EN283" s="662">
        <f t="shared" si="123"/>
        <v>0</v>
      </c>
      <c r="EO283" s="662">
        <f t="shared" si="123"/>
        <v>0</v>
      </c>
      <c r="EP283" s="662">
        <f t="shared" si="123"/>
        <v>0</v>
      </c>
      <c r="EQ283" s="662">
        <f t="shared" si="123"/>
        <v>0</v>
      </c>
    </row>
    <row r="284" spans="1:149" ht="13.95" customHeight="1" x14ac:dyDescent="0.3">
      <c r="A284" s="660" t="s">
        <v>1940</v>
      </c>
      <c r="B284" s="661" t="s">
        <v>269</v>
      </c>
      <c r="C284" s="662">
        <v>1500</v>
      </c>
      <c r="D284" s="662">
        <v>0</v>
      </c>
      <c r="E284" s="662">
        <v>1500</v>
      </c>
      <c r="F284" s="662">
        <v>300000</v>
      </c>
      <c r="G284" s="662">
        <v>0</v>
      </c>
      <c r="H284" s="662">
        <v>0</v>
      </c>
      <c r="I284" s="662">
        <v>300000</v>
      </c>
      <c r="J284" s="802">
        <v>0</v>
      </c>
      <c r="K284" s="662">
        <v>0</v>
      </c>
      <c r="L284" s="662">
        <v>0</v>
      </c>
      <c r="M284" s="662">
        <v>0</v>
      </c>
      <c r="N284" s="662">
        <v>0</v>
      </c>
      <c r="O284" s="662">
        <v>0</v>
      </c>
      <c r="P284" s="662">
        <v>0</v>
      </c>
      <c r="Q284" s="802">
        <v>0</v>
      </c>
      <c r="R284" s="662">
        <v>0</v>
      </c>
      <c r="S284" s="662">
        <v>0</v>
      </c>
      <c r="T284" s="662">
        <v>0</v>
      </c>
      <c r="U284" s="662">
        <v>0</v>
      </c>
      <c r="V284" s="662">
        <v>0</v>
      </c>
      <c r="W284" s="802">
        <v>0</v>
      </c>
      <c r="X284" s="662">
        <v>0</v>
      </c>
      <c r="Y284" s="662">
        <v>0</v>
      </c>
      <c r="Z284" s="662">
        <v>0</v>
      </c>
      <c r="AA284" s="662">
        <v>0</v>
      </c>
      <c r="AB284" s="662">
        <v>0</v>
      </c>
      <c r="AC284" s="662">
        <v>0</v>
      </c>
      <c r="AD284" s="802">
        <v>0</v>
      </c>
      <c r="AE284" s="662">
        <v>0</v>
      </c>
      <c r="AF284" s="662">
        <v>0</v>
      </c>
      <c r="AG284" s="662">
        <v>0</v>
      </c>
      <c r="AH284" s="662">
        <v>0</v>
      </c>
      <c r="AI284" s="662">
        <v>0</v>
      </c>
      <c r="AJ284" s="662">
        <v>0</v>
      </c>
      <c r="AK284" s="802">
        <v>0</v>
      </c>
      <c r="AL284" s="662">
        <v>0</v>
      </c>
      <c r="AM284" s="662">
        <v>0</v>
      </c>
      <c r="AN284" s="662">
        <v>0</v>
      </c>
      <c r="AO284" s="662">
        <v>0</v>
      </c>
      <c r="AP284" s="662">
        <v>0</v>
      </c>
      <c r="AQ284" s="802">
        <v>0</v>
      </c>
      <c r="AR284" s="662">
        <v>0</v>
      </c>
      <c r="AS284" s="662">
        <v>0</v>
      </c>
      <c r="AT284" s="662">
        <v>0</v>
      </c>
      <c r="AU284" s="662">
        <v>0</v>
      </c>
      <c r="AV284" s="662">
        <v>0</v>
      </c>
      <c r="AW284" s="662">
        <v>0</v>
      </c>
      <c r="AX284" s="662">
        <v>0</v>
      </c>
      <c r="AY284" s="662">
        <v>0</v>
      </c>
      <c r="AZ284" s="662">
        <v>0</v>
      </c>
      <c r="BA284" s="662">
        <v>0</v>
      </c>
      <c r="BB284" s="662">
        <v>0</v>
      </c>
      <c r="BC284" s="662">
        <v>0</v>
      </c>
      <c r="BD284" s="662">
        <v>0</v>
      </c>
      <c r="BE284" s="802">
        <v>0</v>
      </c>
      <c r="BF284" s="662">
        <v>0</v>
      </c>
      <c r="BG284" s="662">
        <v>0</v>
      </c>
      <c r="BH284" s="662">
        <v>0</v>
      </c>
      <c r="BI284" s="662">
        <v>0</v>
      </c>
      <c r="BJ284" s="662">
        <v>0</v>
      </c>
      <c r="BK284" s="662">
        <v>0</v>
      </c>
      <c r="BL284" s="662">
        <v>0</v>
      </c>
      <c r="BM284" s="662">
        <v>0</v>
      </c>
      <c r="BN284" s="662">
        <v>0</v>
      </c>
      <c r="BO284" s="662">
        <v>0</v>
      </c>
      <c r="BP284" s="662">
        <v>0</v>
      </c>
      <c r="BQ284" s="662">
        <v>0</v>
      </c>
      <c r="BR284" s="662">
        <v>0</v>
      </c>
      <c r="BS284" s="662">
        <v>0</v>
      </c>
      <c r="BT284" s="662">
        <v>0</v>
      </c>
      <c r="BU284" s="662">
        <v>0</v>
      </c>
      <c r="BV284" s="662">
        <v>0</v>
      </c>
      <c r="BW284" s="662">
        <v>0</v>
      </c>
      <c r="BX284" s="662">
        <v>0</v>
      </c>
      <c r="BY284" s="662">
        <v>0</v>
      </c>
      <c r="BZ284" s="662">
        <v>0</v>
      </c>
      <c r="CA284" s="662">
        <v>0</v>
      </c>
      <c r="CB284" s="662">
        <v>0</v>
      </c>
      <c r="CC284" s="662">
        <v>0</v>
      </c>
      <c r="CD284" s="662">
        <v>0</v>
      </c>
      <c r="CE284" s="662">
        <v>0</v>
      </c>
      <c r="CF284" s="662">
        <v>0</v>
      </c>
      <c r="CG284" s="662">
        <v>0</v>
      </c>
      <c r="CH284" s="662">
        <v>0</v>
      </c>
      <c r="CI284" s="662">
        <v>0</v>
      </c>
      <c r="CJ284" s="662">
        <v>0</v>
      </c>
      <c r="CK284" s="662">
        <v>0</v>
      </c>
      <c r="CL284" s="662">
        <v>0</v>
      </c>
      <c r="CM284" s="662">
        <v>0</v>
      </c>
      <c r="CN284" s="662">
        <v>0</v>
      </c>
      <c r="CO284" s="662">
        <v>0</v>
      </c>
      <c r="CP284" s="662">
        <v>0</v>
      </c>
      <c r="CQ284" s="662">
        <v>0</v>
      </c>
      <c r="CR284" s="662">
        <v>0</v>
      </c>
      <c r="CS284" s="662">
        <v>0</v>
      </c>
      <c r="CT284" s="662">
        <v>0</v>
      </c>
      <c r="CU284" s="662">
        <v>0</v>
      </c>
      <c r="CV284" s="662">
        <v>0</v>
      </c>
      <c r="CW284" s="662">
        <v>0</v>
      </c>
      <c r="CX284" s="662">
        <v>0</v>
      </c>
      <c r="CY284" s="662">
        <v>0</v>
      </c>
      <c r="CZ284" s="662">
        <v>0</v>
      </c>
      <c r="DA284" s="662">
        <v>0</v>
      </c>
      <c r="DB284" s="662">
        <v>0</v>
      </c>
      <c r="DC284" s="662">
        <v>0</v>
      </c>
      <c r="DD284" s="662">
        <v>0</v>
      </c>
      <c r="DE284" s="662">
        <v>0</v>
      </c>
      <c r="DF284" s="662">
        <v>0</v>
      </c>
      <c r="DG284" s="662">
        <v>0</v>
      </c>
      <c r="DH284" s="662">
        <v>0</v>
      </c>
      <c r="DI284" s="662">
        <v>0</v>
      </c>
      <c r="DJ284" s="662">
        <v>0</v>
      </c>
      <c r="DK284" s="662">
        <v>0</v>
      </c>
      <c r="DL284" s="662">
        <v>0</v>
      </c>
      <c r="DM284" s="662">
        <v>0</v>
      </c>
      <c r="DN284" s="662">
        <v>0</v>
      </c>
      <c r="DO284" s="662">
        <v>0</v>
      </c>
      <c r="DP284" s="662">
        <v>0</v>
      </c>
      <c r="DQ284" s="662">
        <v>0</v>
      </c>
      <c r="DR284" s="662">
        <v>0</v>
      </c>
      <c r="DS284" s="662">
        <v>0</v>
      </c>
      <c r="DT284" s="662">
        <v>0</v>
      </c>
      <c r="DU284" s="662">
        <v>0</v>
      </c>
      <c r="DV284" s="662">
        <v>0</v>
      </c>
      <c r="DW284" s="662">
        <v>1500</v>
      </c>
      <c r="DX284" s="662">
        <v>0</v>
      </c>
      <c r="DY284" s="662">
        <v>1500</v>
      </c>
      <c r="DZ284" s="662">
        <v>300000</v>
      </c>
      <c r="EA284" s="662">
        <v>0</v>
      </c>
      <c r="EB284" s="662">
        <v>0</v>
      </c>
      <c r="EC284" s="662">
        <v>300000</v>
      </c>
      <c r="ED284" s="662">
        <v>0</v>
      </c>
      <c r="EE284" s="662">
        <v>0</v>
      </c>
      <c r="EF284" s="662">
        <v>0</v>
      </c>
      <c r="EG284" s="662">
        <v>0</v>
      </c>
      <c r="EH284" s="662">
        <v>0</v>
      </c>
      <c r="EI284" s="662">
        <v>0</v>
      </c>
      <c r="EJ284" s="662">
        <v>0</v>
      </c>
      <c r="EK284" s="662">
        <v>0</v>
      </c>
      <c r="EL284" s="662">
        <v>0</v>
      </c>
      <c r="EM284" s="662">
        <v>0</v>
      </c>
      <c r="EN284" s="662">
        <v>0</v>
      </c>
      <c r="EO284" s="662">
        <v>0</v>
      </c>
      <c r="EP284" s="662">
        <v>0</v>
      </c>
      <c r="EQ284" s="662">
        <v>0</v>
      </c>
    </row>
    <row r="285" spans="1:149" ht="13.95" customHeight="1" x14ac:dyDescent="0.3">
      <c r="A285" s="660" t="s">
        <v>1941</v>
      </c>
      <c r="B285" s="661" t="s">
        <v>269</v>
      </c>
      <c r="C285" s="662">
        <v>55</v>
      </c>
      <c r="D285" s="662">
        <v>0</v>
      </c>
      <c r="E285" s="662">
        <v>55</v>
      </c>
      <c r="F285" s="662">
        <v>10000</v>
      </c>
      <c r="G285" s="662">
        <v>0</v>
      </c>
      <c r="H285" s="662">
        <v>0</v>
      </c>
      <c r="I285" s="662">
        <v>9100</v>
      </c>
      <c r="J285" s="802">
        <v>0</v>
      </c>
      <c r="K285" s="662">
        <v>0</v>
      </c>
      <c r="L285" s="662">
        <v>0</v>
      </c>
      <c r="M285" s="662">
        <v>0</v>
      </c>
      <c r="N285" s="662">
        <v>0</v>
      </c>
      <c r="O285" s="662">
        <v>0</v>
      </c>
      <c r="P285" s="662">
        <v>0</v>
      </c>
      <c r="Q285" s="802">
        <v>0</v>
      </c>
      <c r="R285" s="662">
        <v>0</v>
      </c>
      <c r="S285" s="662">
        <v>0</v>
      </c>
      <c r="T285" s="662">
        <v>0</v>
      </c>
      <c r="U285" s="662">
        <v>0</v>
      </c>
      <c r="V285" s="662">
        <v>0</v>
      </c>
      <c r="W285" s="802">
        <v>0</v>
      </c>
      <c r="X285" s="662">
        <v>0</v>
      </c>
      <c r="Y285" s="662">
        <v>0</v>
      </c>
      <c r="Z285" s="662">
        <v>0</v>
      </c>
      <c r="AA285" s="662">
        <v>0</v>
      </c>
      <c r="AB285" s="662">
        <v>0</v>
      </c>
      <c r="AC285" s="662">
        <v>0</v>
      </c>
      <c r="AD285" s="802">
        <v>0</v>
      </c>
      <c r="AE285" s="662">
        <v>0</v>
      </c>
      <c r="AF285" s="662">
        <v>0</v>
      </c>
      <c r="AG285" s="662">
        <v>0</v>
      </c>
      <c r="AH285" s="662">
        <v>0</v>
      </c>
      <c r="AI285" s="662">
        <v>0</v>
      </c>
      <c r="AJ285" s="662">
        <v>0</v>
      </c>
      <c r="AK285" s="802">
        <v>0</v>
      </c>
      <c r="AL285" s="662">
        <v>0</v>
      </c>
      <c r="AM285" s="662">
        <v>0</v>
      </c>
      <c r="AN285" s="662">
        <v>0</v>
      </c>
      <c r="AO285" s="662">
        <v>0</v>
      </c>
      <c r="AP285" s="662">
        <v>0</v>
      </c>
      <c r="AQ285" s="802">
        <v>0</v>
      </c>
      <c r="AR285" s="662">
        <v>0</v>
      </c>
      <c r="AS285" s="662">
        <v>0</v>
      </c>
      <c r="AT285" s="662">
        <v>0</v>
      </c>
      <c r="AU285" s="662">
        <v>0</v>
      </c>
      <c r="AV285" s="662">
        <v>0</v>
      </c>
      <c r="AW285" s="662">
        <v>0</v>
      </c>
      <c r="AX285" s="662">
        <v>0</v>
      </c>
      <c r="AY285" s="662">
        <v>0</v>
      </c>
      <c r="AZ285" s="662">
        <v>0</v>
      </c>
      <c r="BA285" s="662">
        <v>0</v>
      </c>
      <c r="BB285" s="662">
        <v>0</v>
      </c>
      <c r="BC285" s="662">
        <v>0</v>
      </c>
      <c r="BD285" s="662">
        <v>0</v>
      </c>
      <c r="BE285" s="802">
        <v>0</v>
      </c>
      <c r="BF285" s="662">
        <v>0</v>
      </c>
      <c r="BG285" s="662">
        <v>0</v>
      </c>
      <c r="BH285" s="662">
        <v>0</v>
      </c>
      <c r="BI285" s="662">
        <v>0</v>
      </c>
      <c r="BJ285" s="662">
        <v>0</v>
      </c>
      <c r="BK285" s="662">
        <v>0</v>
      </c>
      <c r="BL285" s="662">
        <v>0</v>
      </c>
      <c r="BM285" s="662">
        <v>0</v>
      </c>
      <c r="BN285" s="662">
        <v>0</v>
      </c>
      <c r="BO285" s="662">
        <v>0</v>
      </c>
      <c r="BP285" s="662">
        <v>0</v>
      </c>
      <c r="BQ285" s="662">
        <v>0</v>
      </c>
      <c r="BR285" s="662">
        <v>0</v>
      </c>
      <c r="BS285" s="662">
        <v>0</v>
      </c>
      <c r="BT285" s="662">
        <v>0</v>
      </c>
      <c r="BU285" s="662">
        <v>0</v>
      </c>
      <c r="BV285" s="662">
        <v>0</v>
      </c>
      <c r="BW285" s="662">
        <v>0</v>
      </c>
      <c r="BX285" s="662">
        <v>0</v>
      </c>
      <c r="BY285" s="662">
        <v>0</v>
      </c>
      <c r="BZ285" s="662">
        <v>0</v>
      </c>
      <c r="CA285" s="662">
        <v>0</v>
      </c>
      <c r="CB285" s="662">
        <v>0</v>
      </c>
      <c r="CC285" s="662">
        <v>0</v>
      </c>
      <c r="CD285" s="662">
        <v>0</v>
      </c>
      <c r="CE285" s="662">
        <v>0</v>
      </c>
      <c r="CF285" s="662">
        <v>0</v>
      </c>
      <c r="CG285" s="662">
        <v>0</v>
      </c>
      <c r="CH285" s="662">
        <v>0</v>
      </c>
      <c r="CI285" s="662">
        <v>0</v>
      </c>
      <c r="CJ285" s="662">
        <v>0</v>
      </c>
      <c r="CK285" s="662">
        <v>0</v>
      </c>
      <c r="CL285" s="662">
        <v>0</v>
      </c>
      <c r="CM285" s="662">
        <v>0</v>
      </c>
      <c r="CN285" s="662">
        <v>0</v>
      </c>
      <c r="CO285" s="662">
        <v>0</v>
      </c>
      <c r="CP285" s="662">
        <v>0</v>
      </c>
      <c r="CQ285" s="662">
        <v>0</v>
      </c>
      <c r="CR285" s="662">
        <v>0</v>
      </c>
      <c r="CS285" s="662">
        <v>0</v>
      </c>
      <c r="CT285" s="662">
        <v>0</v>
      </c>
      <c r="CU285" s="662">
        <v>0</v>
      </c>
      <c r="CV285" s="662">
        <v>0</v>
      </c>
      <c r="CW285" s="662">
        <v>0</v>
      </c>
      <c r="CX285" s="662">
        <v>0</v>
      </c>
      <c r="CY285" s="662">
        <v>0</v>
      </c>
      <c r="CZ285" s="662">
        <v>0</v>
      </c>
      <c r="DA285" s="662">
        <v>0</v>
      </c>
      <c r="DB285" s="662">
        <v>0</v>
      </c>
      <c r="DC285" s="662">
        <v>0</v>
      </c>
      <c r="DD285" s="662">
        <v>0</v>
      </c>
      <c r="DE285" s="662">
        <v>0</v>
      </c>
      <c r="DF285" s="662">
        <v>0</v>
      </c>
      <c r="DG285" s="662">
        <v>0</v>
      </c>
      <c r="DH285" s="662">
        <v>0</v>
      </c>
      <c r="DI285" s="662">
        <v>0</v>
      </c>
      <c r="DJ285" s="662">
        <v>0</v>
      </c>
      <c r="DK285" s="662">
        <v>0</v>
      </c>
      <c r="DL285" s="662">
        <v>0</v>
      </c>
      <c r="DM285" s="662">
        <v>0</v>
      </c>
      <c r="DN285" s="662">
        <v>0</v>
      </c>
      <c r="DO285" s="662">
        <v>0</v>
      </c>
      <c r="DP285" s="662">
        <v>0</v>
      </c>
      <c r="DQ285" s="662">
        <v>0</v>
      </c>
      <c r="DR285" s="662">
        <v>0</v>
      </c>
      <c r="DS285" s="662">
        <v>0</v>
      </c>
      <c r="DT285" s="662">
        <v>0</v>
      </c>
      <c r="DU285" s="662">
        <v>0</v>
      </c>
      <c r="DV285" s="662">
        <v>0</v>
      </c>
      <c r="DW285" s="662">
        <v>45</v>
      </c>
      <c r="DX285" s="662">
        <v>0</v>
      </c>
      <c r="DY285" s="662">
        <v>45</v>
      </c>
      <c r="DZ285" s="662">
        <v>9000</v>
      </c>
      <c r="EA285" s="662">
        <v>0</v>
      </c>
      <c r="EB285" s="662">
        <v>0</v>
      </c>
      <c r="EC285" s="662">
        <v>8100</v>
      </c>
      <c r="ED285" s="662">
        <v>10</v>
      </c>
      <c r="EE285" s="662">
        <v>0</v>
      </c>
      <c r="EF285" s="662">
        <v>10</v>
      </c>
      <c r="EG285" s="662">
        <v>1000</v>
      </c>
      <c r="EH285" s="662">
        <v>0</v>
      </c>
      <c r="EI285" s="662">
        <v>0</v>
      </c>
      <c r="EJ285" s="662">
        <v>1000</v>
      </c>
      <c r="EK285" s="662">
        <v>0</v>
      </c>
      <c r="EL285" s="662">
        <v>0</v>
      </c>
      <c r="EM285" s="662">
        <v>0</v>
      </c>
      <c r="EN285" s="662">
        <v>0</v>
      </c>
      <c r="EO285" s="662">
        <v>0</v>
      </c>
      <c r="EP285" s="662">
        <v>0</v>
      </c>
      <c r="EQ285" s="662">
        <v>0</v>
      </c>
    </row>
    <row r="286" spans="1:149" ht="13.95" customHeight="1" x14ac:dyDescent="0.3">
      <c r="A286" s="660" t="s">
        <v>1942</v>
      </c>
      <c r="B286" s="661" t="s">
        <v>269</v>
      </c>
      <c r="C286" s="662">
        <v>6</v>
      </c>
      <c r="D286" s="662">
        <v>0</v>
      </c>
      <c r="E286" s="662">
        <v>6</v>
      </c>
      <c r="F286" s="662">
        <v>550</v>
      </c>
      <c r="G286" s="662">
        <v>0</v>
      </c>
      <c r="H286" s="662">
        <v>0</v>
      </c>
      <c r="I286" s="662">
        <v>550</v>
      </c>
      <c r="J286" s="802">
        <v>0</v>
      </c>
      <c r="K286" s="662">
        <v>0</v>
      </c>
      <c r="L286" s="662">
        <v>0</v>
      </c>
      <c r="M286" s="662">
        <v>0</v>
      </c>
      <c r="N286" s="662">
        <v>0</v>
      </c>
      <c r="O286" s="662">
        <v>0</v>
      </c>
      <c r="P286" s="662">
        <v>0</v>
      </c>
      <c r="Q286" s="802">
        <v>0</v>
      </c>
      <c r="R286" s="662">
        <v>0</v>
      </c>
      <c r="S286" s="662">
        <v>0</v>
      </c>
      <c r="T286" s="662">
        <v>0</v>
      </c>
      <c r="U286" s="662">
        <v>0</v>
      </c>
      <c r="V286" s="662">
        <v>0</v>
      </c>
      <c r="W286" s="802">
        <v>6</v>
      </c>
      <c r="X286" s="662">
        <v>0</v>
      </c>
      <c r="Y286" s="662">
        <v>6</v>
      </c>
      <c r="Z286" s="662">
        <v>550</v>
      </c>
      <c r="AA286" s="662">
        <v>0</v>
      </c>
      <c r="AB286" s="662">
        <v>0</v>
      </c>
      <c r="AC286" s="662">
        <v>550</v>
      </c>
      <c r="AD286" s="802">
        <v>0</v>
      </c>
      <c r="AE286" s="662">
        <v>0</v>
      </c>
      <c r="AF286" s="662">
        <v>0</v>
      </c>
      <c r="AG286" s="662">
        <v>0</v>
      </c>
      <c r="AH286" s="662">
        <v>0</v>
      </c>
      <c r="AI286" s="662">
        <v>0</v>
      </c>
      <c r="AJ286" s="662">
        <v>0</v>
      </c>
      <c r="AK286" s="802">
        <v>0</v>
      </c>
      <c r="AL286" s="662">
        <v>0</v>
      </c>
      <c r="AM286" s="662">
        <v>0</v>
      </c>
      <c r="AN286" s="662">
        <v>0</v>
      </c>
      <c r="AO286" s="662">
        <v>0</v>
      </c>
      <c r="AP286" s="662">
        <v>0</v>
      </c>
      <c r="AQ286" s="802">
        <v>0</v>
      </c>
      <c r="AR286" s="662">
        <v>0</v>
      </c>
      <c r="AS286" s="662">
        <v>0</v>
      </c>
      <c r="AT286" s="662">
        <v>0</v>
      </c>
      <c r="AU286" s="662">
        <v>0</v>
      </c>
      <c r="AV286" s="662">
        <v>0</v>
      </c>
      <c r="AW286" s="662">
        <v>0</v>
      </c>
      <c r="AX286" s="662">
        <v>0</v>
      </c>
      <c r="AY286" s="662">
        <v>0</v>
      </c>
      <c r="AZ286" s="662">
        <v>0</v>
      </c>
      <c r="BA286" s="662">
        <v>0</v>
      </c>
      <c r="BB286" s="662">
        <v>0</v>
      </c>
      <c r="BC286" s="662">
        <v>0</v>
      </c>
      <c r="BD286" s="662">
        <v>0</v>
      </c>
      <c r="BE286" s="802">
        <v>0</v>
      </c>
      <c r="BF286" s="662">
        <v>0</v>
      </c>
      <c r="BG286" s="662">
        <v>0</v>
      </c>
      <c r="BH286" s="662">
        <v>0</v>
      </c>
      <c r="BI286" s="662">
        <v>0</v>
      </c>
      <c r="BJ286" s="662">
        <v>0</v>
      </c>
      <c r="BK286" s="662">
        <v>0</v>
      </c>
      <c r="BL286" s="662">
        <v>0</v>
      </c>
      <c r="BM286" s="662">
        <v>0</v>
      </c>
      <c r="BN286" s="662">
        <v>0</v>
      </c>
      <c r="BO286" s="662">
        <v>0</v>
      </c>
      <c r="BP286" s="662">
        <v>0</v>
      </c>
      <c r="BQ286" s="662">
        <v>0</v>
      </c>
      <c r="BR286" s="662">
        <v>0</v>
      </c>
      <c r="BS286" s="662">
        <v>0</v>
      </c>
      <c r="BT286" s="662">
        <v>0</v>
      </c>
      <c r="BU286" s="662">
        <v>0</v>
      </c>
      <c r="BV286" s="662">
        <v>0</v>
      </c>
      <c r="BW286" s="662">
        <v>0</v>
      </c>
      <c r="BX286" s="662">
        <v>0</v>
      </c>
      <c r="BY286" s="662">
        <v>0</v>
      </c>
      <c r="BZ286" s="662">
        <v>0</v>
      </c>
      <c r="CA286" s="662">
        <v>0</v>
      </c>
      <c r="CB286" s="662">
        <v>0</v>
      </c>
      <c r="CC286" s="662">
        <v>0</v>
      </c>
      <c r="CD286" s="662">
        <v>0</v>
      </c>
      <c r="CE286" s="662">
        <v>0</v>
      </c>
      <c r="CF286" s="662">
        <v>0</v>
      </c>
      <c r="CG286" s="662">
        <v>0</v>
      </c>
      <c r="CH286" s="662">
        <v>0</v>
      </c>
      <c r="CI286" s="662">
        <v>0</v>
      </c>
      <c r="CJ286" s="662">
        <v>0</v>
      </c>
      <c r="CK286" s="662">
        <v>0</v>
      </c>
      <c r="CL286" s="662">
        <v>0</v>
      </c>
      <c r="CM286" s="662">
        <v>0</v>
      </c>
      <c r="CN286" s="662">
        <v>0</v>
      </c>
      <c r="CO286" s="662">
        <v>0</v>
      </c>
      <c r="CP286" s="662">
        <v>0</v>
      </c>
      <c r="CQ286" s="662">
        <v>0</v>
      </c>
      <c r="CR286" s="662">
        <v>0</v>
      </c>
      <c r="CS286" s="662">
        <v>0</v>
      </c>
      <c r="CT286" s="662">
        <v>0</v>
      </c>
      <c r="CU286" s="662">
        <v>0</v>
      </c>
      <c r="CV286" s="662">
        <v>0</v>
      </c>
      <c r="CW286" s="662">
        <v>0</v>
      </c>
      <c r="CX286" s="662">
        <v>0</v>
      </c>
      <c r="CY286" s="662">
        <v>0</v>
      </c>
      <c r="CZ286" s="662">
        <v>0</v>
      </c>
      <c r="DA286" s="662">
        <v>0</v>
      </c>
      <c r="DB286" s="662">
        <v>0</v>
      </c>
      <c r="DC286" s="662">
        <v>0</v>
      </c>
      <c r="DD286" s="662">
        <v>0</v>
      </c>
      <c r="DE286" s="662">
        <v>0</v>
      </c>
      <c r="DF286" s="662">
        <v>0</v>
      </c>
      <c r="DG286" s="662">
        <v>0</v>
      </c>
      <c r="DH286" s="662">
        <v>0</v>
      </c>
      <c r="DI286" s="662">
        <v>0</v>
      </c>
      <c r="DJ286" s="662">
        <v>0</v>
      </c>
      <c r="DK286" s="662">
        <v>0</v>
      </c>
      <c r="DL286" s="662">
        <v>0</v>
      </c>
      <c r="DM286" s="662">
        <v>0</v>
      </c>
      <c r="DN286" s="662">
        <v>0</v>
      </c>
      <c r="DO286" s="662">
        <v>0</v>
      </c>
      <c r="DP286" s="662">
        <v>0</v>
      </c>
      <c r="DQ286" s="662">
        <v>0</v>
      </c>
      <c r="DR286" s="662">
        <v>0</v>
      </c>
      <c r="DS286" s="662">
        <v>0</v>
      </c>
      <c r="DT286" s="662">
        <v>0</v>
      </c>
      <c r="DU286" s="662">
        <v>0</v>
      </c>
      <c r="DV286" s="662">
        <v>0</v>
      </c>
      <c r="DW286" s="662">
        <v>0</v>
      </c>
      <c r="DX286" s="662">
        <v>0</v>
      </c>
      <c r="DY286" s="662">
        <v>0</v>
      </c>
      <c r="DZ286" s="662">
        <v>0</v>
      </c>
      <c r="EA286" s="662">
        <v>0</v>
      </c>
      <c r="EB286" s="662">
        <v>0</v>
      </c>
      <c r="EC286" s="662">
        <v>0</v>
      </c>
      <c r="ED286" s="662">
        <v>0</v>
      </c>
      <c r="EE286" s="662">
        <v>0</v>
      </c>
      <c r="EF286" s="662">
        <v>0</v>
      </c>
      <c r="EG286" s="662">
        <v>0</v>
      </c>
      <c r="EH286" s="662">
        <v>0</v>
      </c>
      <c r="EI286" s="662">
        <v>0</v>
      </c>
      <c r="EJ286" s="662">
        <v>0</v>
      </c>
      <c r="EK286" s="662">
        <v>0</v>
      </c>
      <c r="EL286" s="662">
        <v>0</v>
      </c>
      <c r="EM286" s="662">
        <v>0</v>
      </c>
      <c r="EN286" s="662">
        <v>0</v>
      </c>
      <c r="EO286" s="662">
        <v>0</v>
      </c>
      <c r="EP286" s="662">
        <v>0</v>
      </c>
      <c r="EQ286" s="662">
        <v>0</v>
      </c>
    </row>
    <row r="287" spans="1:149" ht="20.7" customHeight="1" x14ac:dyDescent="0.3">
      <c r="A287" s="660" t="s">
        <v>1943</v>
      </c>
      <c r="B287" s="661" t="s">
        <v>269</v>
      </c>
      <c r="C287" s="662">
        <v>0</v>
      </c>
      <c r="D287" s="662">
        <v>0</v>
      </c>
      <c r="E287" s="662">
        <v>0</v>
      </c>
      <c r="F287" s="662">
        <v>0</v>
      </c>
      <c r="G287" s="662">
        <v>0</v>
      </c>
      <c r="H287" s="662">
        <v>0</v>
      </c>
      <c r="I287" s="662">
        <v>0</v>
      </c>
      <c r="J287" s="802">
        <v>0</v>
      </c>
      <c r="K287" s="662">
        <v>0</v>
      </c>
      <c r="L287" s="662">
        <v>0</v>
      </c>
      <c r="M287" s="662">
        <v>0</v>
      </c>
      <c r="N287" s="662">
        <v>0</v>
      </c>
      <c r="O287" s="662">
        <v>0</v>
      </c>
      <c r="P287" s="662">
        <v>0</v>
      </c>
      <c r="Q287" s="802">
        <v>0</v>
      </c>
      <c r="R287" s="662">
        <v>0</v>
      </c>
      <c r="S287" s="662">
        <v>0</v>
      </c>
      <c r="T287" s="662">
        <v>0</v>
      </c>
      <c r="U287" s="662">
        <v>0</v>
      </c>
      <c r="V287" s="662">
        <v>0</v>
      </c>
      <c r="W287" s="802">
        <v>0</v>
      </c>
      <c r="X287" s="662">
        <v>0</v>
      </c>
      <c r="Y287" s="662">
        <v>0</v>
      </c>
      <c r="Z287" s="662">
        <v>0</v>
      </c>
      <c r="AA287" s="662">
        <v>0</v>
      </c>
      <c r="AB287" s="662">
        <v>0</v>
      </c>
      <c r="AC287" s="662">
        <v>0</v>
      </c>
      <c r="AD287" s="802">
        <v>0</v>
      </c>
      <c r="AE287" s="662">
        <v>0</v>
      </c>
      <c r="AF287" s="662">
        <v>0</v>
      </c>
      <c r="AG287" s="662">
        <v>0</v>
      </c>
      <c r="AH287" s="662">
        <v>0</v>
      </c>
      <c r="AI287" s="662">
        <v>0</v>
      </c>
      <c r="AJ287" s="662">
        <v>0</v>
      </c>
      <c r="AK287" s="802">
        <v>0</v>
      </c>
      <c r="AL287" s="662">
        <v>0</v>
      </c>
      <c r="AM287" s="662">
        <v>0</v>
      </c>
      <c r="AN287" s="662">
        <v>0</v>
      </c>
      <c r="AO287" s="662">
        <v>0</v>
      </c>
      <c r="AP287" s="662">
        <v>0</v>
      </c>
      <c r="AQ287" s="802">
        <v>0</v>
      </c>
      <c r="AR287" s="662">
        <v>0</v>
      </c>
      <c r="AS287" s="662">
        <v>0</v>
      </c>
      <c r="AT287" s="662">
        <v>0</v>
      </c>
      <c r="AU287" s="662">
        <v>0</v>
      </c>
      <c r="AV287" s="662">
        <v>0</v>
      </c>
      <c r="AW287" s="662">
        <v>0</v>
      </c>
      <c r="AX287" s="662">
        <v>0</v>
      </c>
      <c r="AY287" s="662">
        <v>0</v>
      </c>
      <c r="AZ287" s="662">
        <v>0</v>
      </c>
      <c r="BA287" s="662">
        <v>0</v>
      </c>
      <c r="BB287" s="662">
        <v>0</v>
      </c>
      <c r="BC287" s="662">
        <v>0</v>
      </c>
      <c r="BD287" s="662">
        <v>0</v>
      </c>
      <c r="BE287" s="802">
        <v>0</v>
      </c>
      <c r="BF287" s="662">
        <v>0</v>
      </c>
      <c r="BG287" s="662">
        <v>0</v>
      </c>
      <c r="BH287" s="662">
        <v>0</v>
      </c>
      <c r="BI287" s="662">
        <v>0</v>
      </c>
      <c r="BJ287" s="662">
        <v>0</v>
      </c>
      <c r="BK287" s="662">
        <v>0</v>
      </c>
      <c r="BL287" s="662">
        <v>0</v>
      </c>
      <c r="BM287" s="662">
        <v>0</v>
      </c>
      <c r="BN287" s="662">
        <v>0</v>
      </c>
      <c r="BO287" s="662">
        <v>0</v>
      </c>
      <c r="BP287" s="662">
        <v>0</v>
      </c>
      <c r="BQ287" s="662">
        <v>0</v>
      </c>
      <c r="BR287" s="662">
        <v>0</v>
      </c>
      <c r="BS287" s="662">
        <v>0</v>
      </c>
      <c r="BT287" s="662">
        <v>0</v>
      </c>
      <c r="BU287" s="662">
        <v>0</v>
      </c>
      <c r="BV287" s="662">
        <v>0</v>
      </c>
      <c r="BW287" s="662">
        <v>0</v>
      </c>
      <c r="BX287" s="662">
        <v>0</v>
      </c>
      <c r="BY287" s="662">
        <v>0</v>
      </c>
      <c r="BZ287" s="662">
        <v>0</v>
      </c>
      <c r="CA287" s="662">
        <v>0</v>
      </c>
      <c r="CB287" s="662">
        <v>0</v>
      </c>
      <c r="CC287" s="662">
        <v>0</v>
      </c>
      <c r="CD287" s="662">
        <v>0</v>
      </c>
      <c r="CE287" s="662">
        <v>0</v>
      </c>
      <c r="CF287" s="662">
        <v>0</v>
      </c>
      <c r="CG287" s="662">
        <v>0</v>
      </c>
      <c r="CH287" s="662">
        <v>0</v>
      </c>
      <c r="CI287" s="662">
        <v>0</v>
      </c>
      <c r="CJ287" s="662">
        <v>0</v>
      </c>
      <c r="CK287" s="662">
        <v>0</v>
      </c>
      <c r="CL287" s="662">
        <v>0</v>
      </c>
      <c r="CM287" s="662">
        <v>0</v>
      </c>
      <c r="CN287" s="662">
        <v>0</v>
      </c>
      <c r="CO287" s="662">
        <v>0</v>
      </c>
      <c r="CP287" s="662">
        <v>0</v>
      </c>
      <c r="CQ287" s="662">
        <v>0</v>
      </c>
      <c r="CR287" s="662">
        <v>0</v>
      </c>
      <c r="CS287" s="662">
        <v>0</v>
      </c>
      <c r="CT287" s="662">
        <v>0</v>
      </c>
      <c r="CU287" s="662">
        <v>0</v>
      </c>
      <c r="CV287" s="662">
        <v>0</v>
      </c>
      <c r="CW287" s="662">
        <v>0</v>
      </c>
      <c r="CX287" s="662">
        <v>0</v>
      </c>
      <c r="CY287" s="662">
        <v>0</v>
      </c>
      <c r="CZ287" s="662">
        <v>0</v>
      </c>
      <c r="DA287" s="662">
        <v>0</v>
      </c>
      <c r="DB287" s="662">
        <v>0</v>
      </c>
      <c r="DC287" s="662">
        <v>0</v>
      </c>
      <c r="DD287" s="662">
        <v>0</v>
      </c>
      <c r="DE287" s="662">
        <v>0</v>
      </c>
      <c r="DF287" s="662">
        <v>0</v>
      </c>
      <c r="DG287" s="662">
        <v>0</v>
      </c>
      <c r="DH287" s="662">
        <v>0</v>
      </c>
      <c r="DI287" s="662">
        <v>0</v>
      </c>
      <c r="DJ287" s="662">
        <v>0</v>
      </c>
      <c r="DK287" s="662">
        <v>0</v>
      </c>
      <c r="DL287" s="662">
        <v>0</v>
      </c>
      <c r="DM287" s="662">
        <v>0</v>
      </c>
      <c r="DN287" s="662">
        <v>0</v>
      </c>
      <c r="DO287" s="662">
        <v>0</v>
      </c>
      <c r="DP287" s="662">
        <v>0</v>
      </c>
      <c r="DQ287" s="662">
        <v>0</v>
      </c>
      <c r="DR287" s="662">
        <v>0</v>
      </c>
      <c r="DS287" s="662">
        <v>0</v>
      </c>
      <c r="DT287" s="662">
        <v>0</v>
      </c>
      <c r="DU287" s="662">
        <v>0</v>
      </c>
      <c r="DV287" s="662">
        <v>0</v>
      </c>
      <c r="DW287" s="662">
        <v>0</v>
      </c>
      <c r="DX287" s="662">
        <v>0</v>
      </c>
      <c r="DY287" s="662">
        <v>0</v>
      </c>
      <c r="DZ287" s="662">
        <v>0</v>
      </c>
      <c r="EA287" s="662">
        <v>0</v>
      </c>
      <c r="EB287" s="662">
        <v>0</v>
      </c>
      <c r="EC287" s="662">
        <v>0</v>
      </c>
      <c r="ED287" s="662">
        <v>0</v>
      </c>
      <c r="EE287" s="662">
        <v>0</v>
      </c>
      <c r="EF287" s="662">
        <v>0</v>
      </c>
      <c r="EG287" s="662">
        <v>0</v>
      </c>
      <c r="EH287" s="662">
        <v>0</v>
      </c>
      <c r="EI287" s="662">
        <v>0</v>
      </c>
      <c r="EJ287" s="662">
        <v>0</v>
      </c>
      <c r="EK287" s="662">
        <v>0</v>
      </c>
      <c r="EL287" s="662">
        <v>0</v>
      </c>
      <c r="EM287" s="662">
        <v>0</v>
      </c>
      <c r="EN287" s="662">
        <v>0</v>
      </c>
      <c r="EO287" s="662">
        <v>0</v>
      </c>
      <c r="EP287" s="662">
        <v>0</v>
      </c>
      <c r="EQ287" s="662">
        <v>0</v>
      </c>
    </row>
    <row r="288" spans="1:149" ht="20.7" customHeight="1" x14ac:dyDescent="0.3">
      <c r="A288" s="347" t="s">
        <v>1944</v>
      </c>
      <c r="B288" s="346" t="s">
        <v>269</v>
      </c>
      <c r="C288" s="655">
        <v>0</v>
      </c>
      <c r="D288" s="655">
        <v>0</v>
      </c>
      <c r="E288" s="655">
        <v>0</v>
      </c>
      <c r="F288" s="655">
        <v>0</v>
      </c>
      <c r="G288" s="655">
        <v>0</v>
      </c>
      <c r="H288" s="655">
        <v>0</v>
      </c>
      <c r="I288" s="655">
        <v>0</v>
      </c>
      <c r="J288" s="799">
        <v>0</v>
      </c>
      <c r="K288" s="655">
        <v>0</v>
      </c>
      <c r="L288" s="655">
        <v>0</v>
      </c>
      <c r="M288" s="655">
        <v>0</v>
      </c>
      <c r="N288" s="655">
        <v>0</v>
      </c>
      <c r="O288" s="655">
        <v>0</v>
      </c>
      <c r="P288" s="655">
        <v>0</v>
      </c>
      <c r="Q288" s="799">
        <v>0</v>
      </c>
      <c r="R288" s="655">
        <v>0</v>
      </c>
      <c r="S288" s="655">
        <v>0</v>
      </c>
      <c r="T288" s="655">
        <v>0</v>
      </c>
      <c r="U288" s="655">
        <v>0</v>
      </c>
      <c r="V288" s="655">
        <v>0</v>
      </c>
      <c r="W288" s="799">
        <v>0</v>
      </c>
      <c r="X288" s="655">
        <v>0</v>
      </c>
      <c r="Y288" s="655">
        <v>0</v>
      </c>
      <c r="Z288" s="655">
        <v>0</v>
      </c>
      <c r="AA288" s="655">
        <v>0</v>
      </c>
      <c r="AB288" s="655">
        <v>0</v>
      </c>
      <c r="AC288" s="655">
        <v>0</v>
      </c>
      <c r="AD288" s="799">
        <v>0</v>
      </c>
      <c r="AE288" s="655">
        <v>0</v>
      </c>
      <c r="AF288" s="655">
        <v>0</v>
      </c>
      <c r="AG288" s="655">
        <v>0</v>
      </c>
      <c r="AH288" s="655">
        <v>0</v>
      </c>
      <c r="AI288" s="655">
        <v>0</v>
      </c>
      <c r="AJ288" s="655">
        <v>0</v>
      </c>
      <c r="AK288" s="799">
        <v>0</v>
      </c>
      <c r="AL288" s="655">
        <v>0</v>
      </c>
      <c r="AM288" s="655">
        <v>0</v>
      </c>
      <c r="AN288" s="655">
        <v>0</v>
      </c>
      <c r="AO288" s="655">
        <v>0</v>
      </c>
      <c r="AP288" s="655">
        <v>0</v>
      </c>
      <c r="AQ288" s="799">
        <v>0</v>
      </c>
      <c r="AR288" s="655">
        <v>0</v>
      </c>
      <c r="AS288" s="655">
        <v>0</v>
      </c>
      <c r="AT288" s="655">
        <v>0</v>
      </c>
      <c r="AU288" s="655">
        <v>0</v>
      </c>
      <c r="AV288" s="655">
        <v>0</v>
      </c>
      <c r="AW288" s="655">
        <v>0</v>
      </c>
      <c r="AX288" s="655">
        <v>0</v>
      </c>
      <c r="AY288" s="655">
        <v>0</v>
      </c>
      <c r="AZ288" s="655">
        <v>0</v>
      </c>
      <c r="BA288" s="655">
        <v>0</v>
      </c>
      <c r="BB288" s="655">
        <v>0</v>
      </c>
      <c r="BC288" s="655">
        <v>0</v>
      </c>
      <c r="BD288" s="655">
        <v>0</v>
      </c>
      <c r="BE288" s="799">
        <v>0</v>
      </c>
      <c r="BF288" s="655">
        <v>0</v>
      </c>
      <c r="BG288" s="655">
        <v>0</v>
      </c>
      <c r="BH288" s="655">
        <v>0</v>
      </c>
      <c r="BI288" s="655">
        <v>0</v>
      </c>
      <c r="BJ288" s="655">
        <v>0</v>
      </c>
      <c r="BK288" s="655">
        <v>0</v>
      </c>
      <c r="BL288" s="655">
        <v>0</v>
      </c>
      <c r="BM288" s="655">
        <v>0</v>
      </c>
      <c r="BN288" s="655">
        <v>0</v>
      </c>
      <c r="BO288" s="655">
        <v>0</v>
      </c>
      <c r="BP288" s="655">
        <v>0</v>
      </c>
      <c r="BQ288" s="655">
        <v>0</v>
      </c>
      <c r="BR288" s="655">
        <v>0</v>
      </c>
      <c r="BS288" s="655">
        <v>0</v>
      </c>
      <c r="BT288" s="655">
        <v>0</v>
      </c>
      <c r="BU288" s="655">
        <v>0</v>
      </c>
      <c r="BV288" s="655">
        <v>0</v>
      </c>
      <c r="BW288" s="655">
        <v>0</v>
      </c>
      <c r="BX288" s="655">
        <v>0</v>
      </c>
      <c r="BY288" s="655">
        <v>0</v>
      </c>
      <c r="BZ288" s="655">
        <v>0</v>
      </c>
      <c r="CA288" s="655">
        <v>0</v>
      </c>
      <c r="CB288" s="655">
        <v>0</v>
      </c>
      <c r="CC288" s="655">
        <v>0</v>
      </c>
      <c r="CD288" s="655">
        <v>0</v>
      </c>
      <c r="CE288" s="655">
        <v>0</v>
      </c>
      <c r="CF288" s="655">
        <v>0</v>
      </c>
      <c r="CG288" s="655">
        <v>0</v>
      </c>
      <c r="CH288" s="655">
        <v>0</v>
      </c>
      <c r="CI288" s="655">
        <v>0</v>
      </c>
      <c r="CJ288" s="655">
        <v>0</v>
      </c>
      <c r="CK288" s="655">
        <v>0</v>
      </c>
      <c r="CL288" s="655">
        <v>0</v>
      </c>
      <c r="CM288" s="655">
        <v>0</v>
      </c>
      <c r="CN288" s="655">
        <v>0</v>
      </c>
      <c r="CO288" s="655">
        <v>0</v>
      </c>
      <c r="CP288" s="655">
        <v>0</v>
      </c>
      <c r="CQ288" s="655">
        <v>0</v>
      </c>
      <c r="CR288" s="655">
        <v>0</v>
      </c>
      <c r="CS288" s="655">
        <v>0</v>
      </c>
      <c r="CT288" s="655">
        <v>0</v>
      </c>
      <c r="CU288" s="655">
        <v>0</v>
      </c>
      <c r="CV288" s="655">
        <v>0</v>
      </c>
      <c r="CW288" s="655">
        <v>0</v>
      </c>
      <c r="CX288" s="655">
        <v>0</v>
      </c>
      <c r="CY288" s="655">
        <v>0</v>
      </c>
      <c r="CZ288" s="655">
        <v>0</v>
      </c>
      <c r="DA288" s="655">
        <v>0</v>
      </c>
      <c r="DB288" s="655">
        <v>0</v>
      </c>
      <c r="DC288" s="655">
        <v>0</v>
      </c>
      <c r="DD288" s="655">
        <v>0</v>
      </c>
      <c r="DE288" s="655">
        <v>0</v>
      </c>
      <c r="DF288" s="655">
        <v>0</v>
      </c>
      <c r="DG288" s="655">
        <v>0</v>
      </c>
      <c r="DH288" s="655">
        <v>0</v>
      </c>
      <c r="DI288" s="655">
        <v>0</v>
      </c>
      <c r="DJ288" s="655">
        <v>0</v>
      </c>
      <c r="DK288" s="655">
        <v>0</v>
      </c>
      <c r="DL288" s="655">
        <v>0</v>
      </c>
      <c r="DM288" s="655">
        <v>0</v>
      </c>
      <c r="DN288" s="655">
        <v>0</v>
      </c>
      <c r="DO288" s="655">
        <v>0</v>
      </c>
      <c r="DP288" s="655">
        <v>0</v>
      </c>
      <c r="DQ288" s="655">
        <v>0</v>
      </c>
      <c r="DR288" s="655">
        <v>0</v>
      </c>
      <c r="DS288" s="655">
        <v>0</v>
      </c>
      <c r="DT288" s="655">
        <v>0</v>
      </c>
      <c r="DU288" s="655">
        <v>0</v>
      </c>
      <c r="DV288" s="655">
        <v>0</v>
      </c>
      <c r="DW288" s="655">
        <v>0</v>
      </c>
      <c r="DX288" s="655">
        <v>0</v>
      </c>
      <c r="DY288" s="655">
        <v>0</v>
      </c>
      <c r="DZ288" s="655">
        <v>0</v>
      </c>
      <c r="EA288" s="655">
        <v>0</v>
      </c>
      <c r="EB288" s="655">
        <v>0</v>
      </c>
      <c r="EC288" s="655">
        <v>0</v>
      </c>
      <c r="ED288" s="655">
        <v>0</v>
      </c>
      <c r="EE288" s="655">
        <v>0</v>
      </c>
      <c r="EF288" s="655">
        <v>0</v>
      </c>
      <c r="EG288" s="655">
        <v>0</v>
      </c>
      <c r="EH288" s="655">
        <v>0</v>
      </c>
      <c r="EI288" s="655">
        <v>0</v>
      </c>
      <c r="EJ288" s="655">
        <v>0</v>
      </c>
      <c r="EK288" s="655">
        <v>0</v>
      </c>
      <c r="EL288" s="655">
        <v>0</v>
      </c>
      <c r="EM288" s="655">
        <v>0</v>
      </c>
      <c r="EN288" s="655">
        <v>0</v>
      </c>
      <c r="EO288" s="655">
        <v>0</v>
      </c>
      <c r="EP288" s="655">
        <v>0</v>
      </c>
      <c r="EQ288" s="655">
        <v>0</v>
      </c>
    </row>
    <row r="289" spans="1:147" ht="13.95" customHeight="1" x14ac:dyDescent="0.3">
      <c r="A289" s="347" t="s">
        <v>1945</v>
      </c>
      <c r="B289" s="346" t="s">
        <v>269</v>
      </c>
      <c r="C289" s="654">
        <v>0</v>
      </c>
      <c r="D289" s="654">
        <v>0</v>
      </c>
      <c r="E289" s="654">
        <v>0</v>
      </c>
      <c r="F289" s="654">
        <v>0</v>
      </c>
      <c r="G289" s="654">
        <v>0</v>
      </c>
      <c r="H289" s="654">
        <v>0</v>
      </c>
      <c r="I289" s="654">
        <v>0</v>
      </c>
      <c r="J289" s="798">
        <v>0</v>
      </c>
      <c r="K289" s="654">
        <v>0</v>
      </c>
      <c r="L289" s="654">
        <v>0</v>
      </c>
      <c r="M289" s="654">
        <v>0</v>
      </c>
      <c r="N289" s="654">
        <v>0</v>
      </c>
      <c r="O289" s="654">
        <v>0</v>
      </c>
      <c r="P289" s="654">
        <v>0</v>
      </c>
      <c r="Q289" s="798">
        <v>0</v>
      </c>
      <c r="R289" s="654">
        <v>0</v>
      </c>
      <c r="S289" s="654">
        <v>0</v>
      </c>
      <c r="T289" s="654">
        <v>0</v>
      </c>
      <c r="U289" s="654">
        <v>0</v>
      </c>
      <c r="V289" s="654">
        <v>0</v>
      </c>
      <c r="W289" s="798">
        <v>0</v>
      </c>
      <c r="X289" s="654">
        <v>0</v>
      </c>
      <c r="Y289" s="654">
        <v>0</v>
      </c>
      <c r="Z289" s="654">
        <v>0</v>
      </c>
      <c r="AA289" s="654">
        <v>0</v>
      </c>
      <c r="AB289" s="654">
        <v>0</v>
      </c>
      <c r="AC289" s="654">
        <v>0</v>
      </c>
      <c r="AD289" s="798">
        <v>0</v>
      </c>
      <c r="AE289" s="654">
        <v>0</v>
      </c>
      <c r="AF289" s="654">
        <v>0</v>
      </c>
      <c r="AG289" s="654">
        <v>0</v>
      </c>
      <c r="AH289" s="654">
        <v>0</v>
      </c>
      <c r="AI289" s="654">
        <v>0</v>
      </c>
      <c r="AJ289" s="654">
        <v>0</v>
      </c>
      <c r="AK289" s="798">
        <v>0</v>
      </c>
      <c r="AL289" s="654">
        <v>0</v>
      </c>
      <c r="AM289" s="654">
        <v>0</v>
      </c>
      <c r="AN289" s="654">
        <v>0</v>
      </c>
      <c r="AO289" s="654">
        <v>0</v>
      </c>
      <c r="AP289" s="654">
        <v>0</v>
      </c>
      <c r="AQ289" s="798">
        <v>0</v>
      </c>
      <c r="AR289" s="654">
        <v>0</v>
      </c>
      <c r="AS289" s="654">
        <v>0</v>
      </c>
      <c r="AT289" s="654">
        <v>0</v>
      </c>
      <c r="AU289" s="654">
        <v>0</v>
      </c>
      <c r="AV289" s="654">
        <v>0</v>
      </c>
      <c r="AW289" s="654">
        <v>0</v>
      </c>
      <c r="AX289" s="654">
        <v>0</v>
      </c>
      <c r="AY289" s="654">
        <v>0</v>
      </c>
      <c r="AZ289" s="654">
        <v>0</v>
      </c>
      <c r="BA289" s="654">
        <v>0</v>
      </c>
      <c r="BB289" s="654">
        <v>0</v>
      </c>
      <c r="BC289" s="654">
        <v>0</v>
      </c>
      <c r="BD289" s="654">
        <v>0</v>
      </c>
      <c r="BE289" s="798">
        <v>0</v>
      </c>
      <c r="BF289" s="654">
        <v>0</v>
      </c>
      <c r="BG289" s="654">
        <v>0</v>
      </c>
      <c r="BH289" s="654">
        <v>0</v>
      </c>
      <c r="BI289" s="654">
        <v>0</v>
      </c>
      <c r="BJ289" s="654">
        <v>0</v>
      </c>
      <c r="BK289" s="654">
        <v>0</v>
      </c>
      <c r="BL289" s="654">
        <v>0</v>
      </c>
      <c r="BM289" s="654">
        <v>0</v>
      </c>
      <c r="BN289" s="654">
        <v>0</v>
      </c>
      <c r="BO289" s="654">
        <v>0</v>
      </c>
      <c r="BP289" s="654">
        <v>0</v>
      </c>
      <c r="BQ289" s="654">
        <v>0</v>
      </c>
      <c r="BR289" s="654">
        <v>0</v>
      </c>
      <c r="BS289" s="654">
        <v>0</v>
      </c>
      <c r="BT289" s="654">
        <v>0</v>
      </c>
      <c r="BU289" s="654">
        <v>0</v>
      </c>
      <c r="BV289" s="654">
        <v>0</v>
      </c>
      <c r="BW289" s="654">
        <v>0</v>
      </c>
      <c r="BX289" s="654">
        <v>0</v>
      </c>
      <c r="BY289" s="654">
        <v>0</v>
      </c>
      <c r="BZ289" s="654">
        <v>0</v>
      </c>
      <c r="CA289" s="654">
        <v>0</v>
      </c>
      <c r="CB289" s="654">
        <v>0</v>
      </c>
      <c r="CC289" s="654">
        <v>0</v>
      </c>
      <c r="CD289" s="654">
        <v>0</v>
      </c>
      <c r="CE289" s="654">
        <v>0</v>
      </c>
      <c r="CF289" s="654">
        <v>0</v>
      </c>
      <c r="CG289" s="654">
        <v>0</v>
      </c>
      <c r="CH289" s="654">
        <v>0</v>
      </c>
      <c r="CI289" s="654">
        <v>0</v>
      </c>
      <c r="CJ289" s="654">
        <v>0</v>
      </c>
      <c r="CK289" s="654">
        <v>0</v>
      </c>
      <c r="CL289" s="654">
        <v>0</v>
      </c>
      <c r="CM289" s="654">
        <v>0</v>
      </c>
      <c r="CN289" s="654">
        <v>0</v>
      </c>
      <c r="CO289" s="654">
        <v>0</v>
      </c>
      <c r="CP289" s="654">
        <v>0</v>
      </c>
      <c r="CQ289" s="654">
        <v>0</v>
      </c>
      <c r="CR289" s="654">
        <v>0</v>
      </c>
      <c r="CS289" s="654">
        <v>0</v>
      </c>
      <c r="CT289" s="654">
        <v>0</v>
      </c>
      <c r="CU289" s="654">
        <v>0</v>
      </c>
      <c r="CV289" s="654">
        <v>0</v>
      </c>
      <c r="CW289" s="654">
        <v>0</v>
      </c>
      <c r="CX289" s="654">
        <v>0</v>
      </c>
      <c r="CY289" s="654">
        <v>0</v>
      </c>
      <c r="CZ289" s="654">
        <v>0</v>
      </c>
      <c r="DA289" s="654">
        <v>0</v>
      </c>
      <c r="DB289" s="654">
        <v>0</v>
      </c>
      <c r="DC289" s="654">
        <v>0</v>
      </c>
      <c r="DD289" s="654">
        <v>0</v>
      </c>
      <c r="DE289" s="654">
        <v>0</v>
      </c>
      <c r="DF289" s="654">
        <v>0</v>
      </c>
      <c r="DG289" s="654">
        <v>0</v>
      </c>
      <c r="DH289" s="654">
        <v>0</v>
      </c>
      <c r="DI289" s="654">
        <v>0</v>
      </c>
      <c r="DJ289" s="654">
        <v>0</v>
      </c>
      <c r="DK289" s="654">
        <v>0</v>
      </c>
      <c r="DL289" s="654">
        <v>0</v>
      </c>
      <c r="DM289" s="654">
        <v>0</v>
      </c>
      <c r="DN289" s="654">
        <v>0</v>
      </c>
      <c r="DO289" s="654">
        <v>0</v>
      </c>
      <c r="DP289" s="654">
        <v>0</v>
      </c>
      <c r="DQ289" s="654">
        <v>0</v>
      </c>
      <c r="DR289" s="654">
        <v>0</v>
      </c>
      <c r="DS289" s="654">
        <v>0</v>
      </c>
      <c r="DT289" s="654">
        <v>0</v>
      </c>
      <c r="DU289" s="654">
        <v>0</v>
      </c>
      <c r="DV289" s="654">
        <v>0</v>
      </c>
      <c r="DW289" s="654">
        <v>0</v>
      </c>
      <c r="DX289" s="654">
        <v>0</v>
      </c>
      <c r="DY289" s="654">
        <v>0</v>
      </c>
      <c r="DZ289" s="654">
        <v>0</v>
      </c>
      <c r="EA289" s="654">
        <v>0</v>
      </c>
      <c r="EB289" s="654">
        <v>0</v>
      </c>
      <c r="EC289" s="654">
        <v>0</v>
      </c>
      <c r="ED289" s="654">
        <v>0</v>
      </c>
      <c r="EE289" s="654">
        <v>0</v>
      </c>
      <c r="EF289" s="654">
        <v>0</v>
      </c>
      <c r="EG289" s="654">
        <v>0</v>
      </c>
      <c r="EH289" s="654">
        <v>0</v>
      </c>
      <c r="EI289" s="654">
        <v>0</v>
      </c>
      <c r="EJ289" s="654">
        <v>0</v>
      </c>
      <c r="EK289" s="654">
        <v>0</v>
      </c>
      <c r="EL289" s="654">
        <v>0</v>
      </c>
      <c r="EM289" s="654">
        <v>0</v>
      </c>
      <c r="EN289" s="654">
        <v>0</v>
      </c>
      <c r="EO289" s="654">
        <v>0</v>
      </c>
      <c r="EP289" s="654">
        <v>0</v>
      </c>
      <c r="EQ289" s="654">
        <v>0</v>
      </c>
    </row>
    <row r="290" spans="1:147" ht="13.95" customHeight="1" x14ac:dyDescent="0.3">
      <c r="A290" s="347" t="s">
        <v>1946</v>
      </c>
      <c r="B290" s="346" t="s">
        <v>269</v>
      </c>
      <c r="C290" s="655">
        <v>0</v>
      </c>
      <c r="D290" s="655">
        <v>0</v>
      </c>
      <c r="E290" s="655">
        <v>0</v>
      </c>
      <c r="F290" s="655">
        <v>0</v>
      </c>
      <c r="G290" s="655">
        <v>0</v>
      </c>
      <c r="H290" s="655">
        <v>0</v>
      </c>
      <c r="I290" s="655">
        <v>0</v>
      </c>
      <c r="J290" s="799">
        <v>0</v>
      </c>
      <c r="K290" s="655">
        <v>0</v>
      </c>
      <c r="L290" s="655">
        <v>0</v>
      </c>
      <c r="M290" s="655">
        <v>0</v>
      </c>
      <c r="N290" s="655">
        <v>0</v>
      </c>
      <c r="O290" s="655">
        <v>0</v>
      </c>
      <c r="P290" s="655">
        <v>0</v>
      </c>
      <c r="Q290" s="799">
        <v>0</v>
      </c>
      <c r="R290" s="655">
        <v>0</v>
      </c>
      <c r="S290" s="655">
        <v>0</v>
      </c>
      <c r="T290" s="655">
        <v>0</v>
      </c>
      <c r="U290" s="655">
        <v>0</v>
      </c>
      <c r="V290" s="655">
        <v>0</v>
      </c>
      <c r="W290" s="799">
        <v>0</v>
      </c>
      <c r="X290" s="655">
        <v>0</v>
      </c>
      <c r="Y290" s="655">
        <v>0</v>
      </c>
      <c r="Z290" s="655">
        <v>0</v>
      </c>
      <c r="AA290" s="655">
        <v>0</v>
      </c>
      <c r="AB290" s="655">
        <v>0</v>
      </c>
      <c r="AC290" s="655">
        <v>0</v>
      </c>
      <c r="AD290" s="799">
        <v>0</v>
      </c>
      <c r="AE290" s="655">
        <v>0</v>
      </c>
      <c r="AF290" s="655">
        <v>0</v>
      </c>
      <c r="AG290" s="655">
        <v>0</v>
      </c>
      <c r="AH290" s="655">
        <v>0</v>
      </c>
      <c r="AI290" s="655">
        <v>0</v>
      </c>
      <c r="AJ290" s="655">
        <v>0</v>
      </c>
      <c r="AK290" s="799">
        <v>0</v>
      </c>
      <c r="AL290" s="655">
        <v>0</v>
      </c>
      <c r="AM290" s="655">
        <v>0</v>
      </c>
      <c r="AN290" s="655">
        <v>0</v>
      </c>
      <c r="AO290" s="655">
        <v>0</v>
      </c>
      <c r="AP290" s="655">
        <v>0</v>
      </c>
      <c r="AQ290" s="799">
        <v>0</v>
      </c>
      <c r="AR290" s="655">
        <v>0</v>
      </c>
      <c r="AS290" s="655">
        <v>0</v>
      </c>
      <c r="AT290" s="655">
        <v>0</v>
      </c>
      <c r="AU290" s="655">
        <v>0</v>
      </c>
      <c r="AV290" s="655">
        <v>0</v>
      </c>
      <c r="AW290" s="655">
        <v>0</v>
      </c>
      <c r="AX290" s="655">
        <v>0</v>
      </c>
      <c r="AY290" s="655">
        <v>0</v>
      </c>
      <c r="AZ290" s="655">
        <v>0</v>
      </c>
      <c r="BA290" s="655">
        <v>0</v>
      </c>
      <c r="BB290" s="655">
        <v>0</v>
      </c>
      <c r="BC290" s="655">
        <v>0</v>
      </c>
      <c r="BD290" s="655">
        <v>0</v>
      </c>
      <c r="BE290" s="799">
        <v>0</v>
      </c>
      <c r="BF290" s="655">
        <v>0</v>
      </c>
      <c r="BG290" s="655">
        <v>0</v>
      </c>
      <c r="BH290" s="655">
        <v>0</v>
      </c>
      <c r="BI290" s="655">
        <v>0</v>
      </c>
      <c r="BJ290" s="655">
        <v>0</v>
      </c>
      <c r="BK290" s="655">
        <v>0</v>
      </c>
      <c r="BL290" s="655">
        <v>0</v>
      </c>
      <c r="BM290" s="655">
        <v>0</v>
      </c>
      <c r="BN290" s="655">
        <v>0</v>
      </c>
      <c r="BO290" s="655">
        <v>0</v>
      </c>
      <c r="BP290" s="655">
        <v>0</v>
      </c>
      <c r="BQ290" s="655">
        <v>0</v>
      </c>
      <c r="BR290" s="655">
        <v>0</v>
      </c>
      <c r="BS290" s="655">
        <v>0</v>
      </c>
      <c r="BT290" s="655">
        <v>0</v>
      </c>
      <c r="BU290" s="655">
        <v>0</v>
      </c>
      <c r="BV290" s="655">
        <v>0</v>
      </c>
      <c r="BW290" s="655">
        <v>0</v>
      </c>
      <c r="BX290" s="655">
        <v>0</v>
      </c>
      <c r="BY290" s="655">
        <v>0</v>
      </c>
      <c r="BZ290" s="655">
        <v>0</v>
      </c>
      <c r="CA290" s="655">
        <v>0</v>
      </c>
      <c r="CB290" s="655">
        <v>0</v>
      </c>
      <c r="CC290" s="655">
        <v>0</v>
      </c>
      <c r="CD290" s="655">
        <v>0</v>
      </c>
      <c r="CE290" s="655">
        <v>0</v>
      </c>
      <c r="CF290" s="655">
        <v>0</v>
      </c>
      <c r="CG290" s="655">
        <v>0</v>
      </c>
      <c r="CH290" s="655">
        <v>0</v>
      </c>
      <c r="CI290" s="655">
        <v>0</v>
      </c>
      <c r="CJ290" s="655">
        <v>0</v>
      </c>
      <c r="CK290" s="655">
        <v>0</v>
      </c>
      <c r="CL290" s="655">
        <v>0</v>
      </c>
      <c r="CM290" s="655">
        <v>0</v>
      </c>
      <c r="CN290" s="655">
        <v>0</v>
      </c>
      <c r="CO290" s="655">
        <v>0</v>
      </c>
      <c r="CP290" s="655">
        <v>0</v>
      </c>
      <c r="CQ290" s="655">
        <v>0</v>
      </c>
      <c r="CR290" s="655">
        <v>0</v>
      </c>
      <c r="CS290" s="655">
        <v>0</v>
      </c>
      <c r="CT290" s="655">
        <v>0</v>
      </c>
      <c r="CU290" s="655">
        <v>0</v>
      </c>
      <c r="CV290" s="655">
        <v>0</v>
      </c>
      <c r="CW290" s="655">
        <v>0</v>
      </c>
      <c r="CX290" s="655">
        <v>0</v>
      </c>
      <c r="CY290" s="655">
        <v>0</v>
      </c>
      <c r="CZ290" s="655">
        <v>0</v>
      </c>
      <c r="DA290" s="655">
        <v>0</v>
      </c>
      <c r="DB290" s="655">
        <v>0</v>
      </c>
      <c r="DC290" s="655">
        <v>0</v>
      </c>
      <c r="DD290" s="655">
        <v>0</v>
      </c>
      <c r="DE290" s="655">
        <v>0</v>
      </c>
      <c r="DF290" s="655">
        <v>0</v>
      </c>
      <c r="DG290" s="655">
        <v>0</v>
      </c>
      <c r="DH290" s="655">
        <v>0</v>
      </c>
      <c r="DI290" s="655">
        <v>0</v>
      </c>
      <c r="DJ290" s="655">
        <v>0</v>
      </c>
      <c r="DK290" s="655">
        <v>0</v>
      </c>
      <c r="DL290" s="655">
        <v>0</v>
      </c>
      <c r="DM290" s="655">
        <v>0</v>
      </c>
      <c r="DN290" s="655">
        <v>0</v>
      </c>
      <c r="DO290" s="655">
        <v>0</v>
      </c>
      <c r="DP290" s="655">
        <v>0</v>
      </c>
      <c r="DQ290" s="655">
        <v>0</v>
      </c>
      <c r="DR290" s="655">
        <v>0</v>
      </c>
      <c r="DS290" s="655">
        <v>0</v>
      </c>
      <c r="DT290" s="655">
        <v>0</v>
      </c>
      <c r="DU290" s="655">
        <v>0</v>
      </c>
      <c r="DV290" s="655">
        <v>0</v>
      </c>
      <c r="DW290" s="655">
        <v>0</v>
      </c>
      <c r="DX290" s="655">
        <v>0</v>
      </c>
      <c r="DY290" s="655">
        <v>0</v>
      </c>
      <c r="DZ290" s="655">
        <v>0</v>
      </c>
      <c r="EA290" s="655">
        <v>0</v>
      </c>
      <c r="EB290" s="655">
        <v>0</v>
      </c>
      <c r="EC290" s="655">
        <v>0</v>
      </c>
      <c r="ED290" s="655">
        <v>0</v>
      </c>
      <c r="EE290" s="655">
        <v>0</v>
      </c>
      <c r="EF290" s="655">
        <v>0</v>
      </c>
      <c r="EG290" s="655">
        <v>0</v>
      </c>
      <c r="EH290" s="655">
        <v>0</v>
      </c>
      <c r="EI290" s="655">
        <v>0</v>
      </c>
      <c r="EJ290" s="655">
        <v>0</v>
      </c>
      <c r="EK290" s="655">
        <v>0</v>
      </c>
      <c r="EL290" s="655">
        <v>0</v>
      </c>
      <c r="EM290" s="655">
        <v>0</v>
      </c>
      <c r="EN290" s="655">
        <v>0</v>
      </c>
      <c r="EO290" s="655">
        <v>0</v>
      </c>
      <c r="EP290" s="655">
        <v>0</v>
      </c>
      <c r="EQ290" s="655">
        <v>0</v>
      </c>
    </row>
    <row r="291" spans="1:147" ht="13.95" customHeight="1" x14ac:dyDescent="0.3">
      <c r="A291" s="347" t="s">
        <v>1947</v>
      </c>
      <c r="B291" s="346" t="s">
        <v>269</v>
      </c>
      <c r="C291" s="654">
        <v>0</v>
      </c>
      <c r="D291" s="654">
        <v>0</v>
      </c>
      <c r="E291" s="654">
        <v>0</v>
      </c>
      <c r="F291" s="654">
        <v>0</v>
      </c>
      <c r="G291" s="654">
        <v>0</v>
      </c>
      <c r="H291" s="654">
        <v>0</v>
      </c>
      <c r="I291" s="654">
        <v>708629</v>
      </c>
      <c r="J291" s="798">
        <v>0</v>
      </c>
      <c r="K291" s="654">
        <v>0</v>
      </c>
      <c r="L291" s="654">
        <v>0</v>
      </c>
      <c r="M291" s="654">
        <v>0</v>
      </c>
      <c r="N291" s="654">
        <v>0</v>
      </c>
      <c r="O291" s="654">
        <v>0</v>
      </c>
      <c r="P291" s="654">
        <v>0</v>
      </c>
      <c r="Q291" s="798">
        <v>0</v>
      </c>
      <c r="R291" s="654">
        <v>0</v>
      </c>
      <c r="S291" s="654">
        <v>0</v>
      </c>
      <c r="T291" s="654">
        <v>0</v>
      </c>
      <c r="U291" s="654">
        <v>0</v>
      </c>
      <c r="V291" s="654">
        <v>0</v>
      </c>
      <c r="W291" s="798">
        <v>0</v>
      </c>
      <c r="X291" s="654">
        <v>0</v>
      </c>
      <c r="Y291" s="654">
        <v>0</v>
      </c>
      <c r="Z291" s="654">
        <v>0</v>
      </c>
      <c r="AA291" s="654">
        <v>0</v>
      </c>
      <c r="AB291" s="654">
        <v>0</v>
      </c>
      <c r="AC291" s="654">
        <v>0</v>
      </c>
      <c r="AD291" s="798">
        <v>0</v>
      </c>
      <c r="AE291" s="654">
        <v>0</v>
      </c>
      <c r="AF291" s="654">
        <v>0</v>
      </c>
      <c r="AG291" s="654">
        <v>0</v>
      </c>
      <c r="AH291" s="654">
        <v>0</v>
      </c>
      <c r="AI291" s="654">
        <v>0</v>
      </c>
      <c r="AJ291" s="654">
        <v>8282</v>
      </c>
      <c r="AK291" s="798">
        <v>0</v>
      </c>
      <c r="AL291" s="654">
        <v>0</v>
      </c>
      <c r="AM291" s="654">
        <v>0</v>
      </c>
      <c r="AN291" s="654">
        <v>0</v>
      </c>
      <c r="AO291" s="654">
        <v>0</v>
      </c>
      <c r="AP291" s="654">
        <v>0</v>
      </c>
      <c r="AQ291" s="798">
        <v>0</v>
      </c>
      <c r="AR291" s="654">
        <v>0</v>
      </c>
      <c r="AS291" s="654">
        <v>0</v>
      </c>
      <c r="AT291" s="654">
        <v>0</v>
      </c>
      <c r="AU291" s="654">
        <v>0</v>
      </c>
      <c r="AV291" s="654">
        <v>0</v>
      </c>
      <c r="AW291" s="654">
        <v>351850</v>
      </c>
      <c r="AX291" s="654">
        <v>0</v>
      </c>
      <c r="AY291" s="654">
        <v>0</v>
      </c>
      <c r="AZ291" s="654">
        <v>0</v>
      </c>
      <c r="BA291" s="654">
        <v>0</v>
      </c>
      <c r="BB291" s="654">
        <v>0</v>
      </c>
      <c r="BC291" s="654">
        <v>0</v>
      </c>
      <c r="BD291" s="654">
        <v>0</v>
      </c>
      <c r="BE291" s="798">
        <v>0</v>
      </c>
      <c r="BF291" s="654">
        <v>0</v>
      </c>
      <c r="BG291" s="654">
        <v>0</v>
      </c>
      <c r="BH291" s="654">
        <v>0</v>
      </c>
      <c r="BI291" s="654">
        <v>0</v>
      </c>
      <c r="BJ291" s="654">
        <v>0</v>
      </c>
      <c r="BK291" s="654">
        <v>143844</v>
      </c>
      <c r="BL291" s="654">
        <v>0</v>
      </c>
      <c r="BM291" s="654">
        <v>0</v>
      </c>
      <c r="BN291" s="654">
        <v>0</v>
      </c>
      <c r="BO291" s="654">
        <v>0</v>
      </c>
      <c r="BP291" s="654">
        <v>0</v>
      </c>
      <c r="BQ291" s="654">
        <v>0</v>
      </c>
      <c r="BR291" s="654">
        <v>90</v>
      </c>
      <c r="BS291" s="654">
        <v>0</v>
      </c>
      <c r="BT291" s="654">
        <v>0</v>
      </c>
      <c r="BU291" s="654">
        <v>0</v>
      </c>
      <c r="BV291" s="654">
        <v>0</v>
      </c>
      <c r="BW291" s="654">
        <v>0</v>
      </c>
      <c r="BX291" s="654">
        <v>0</v>
      </c>
      <c r="BY291" s="654">
        <v>0</v>
      </c>
      <c r="BZ291" s="654">
        <v>0</v>
      </c>
      <c r="CA291" s="654">
        <v>0</v>
      </c>
      <c r="CB291" s="654">
        <v>0</v>
      </c>
      <c r="CC291" s="654">
        <v>0</v>
      </c>
      <c r="CD291" s="654">
        <v>0</v>
      </c>
      <c r="CE291" s="654">
        <v>0</v>
      </c>
      <c r="CF291" s="654">
        <v>158</v>
      </c>
      <c r="CG291" s="654">
        <v>0</v>
      </c>
      <c r="CH291" s="654">
        <v>0</v>
      </c>
      <c r="CI291" s="654">
        <v>0</v>
      </c>
      <c r="CJ291" s="654">
        <v>0</v>
      </c>
      <c r="CK291" s="654">
        <v>0</v>
      </c>
      <c r="CL291" s="654">
        <v>0</v>
      </c>
      <c r="CM291" s="654">
        <v>76000</v>
      </c>
      <c r="CN291" s="654">
        <v>0</v>
      </c>
      <c r="CO291" s="654">
        <v>0</v>
      </c>
      <c r="CP291" s="654">
        <v>0</v>
      </c>
      <c r="CQ291" s="654">
        <v>0</v>
      </c>
      <c r="CR291" s="654">
        <v>0</v>
      </c>
      <c r="CS291" s="654">
        <v>0</v>
      </c>
      <c r="CT291" s="654">
        <v>3880</v>
      </c>
      <c r="CU291" s="654">
        <v>0</v>
      </c>
      <c r="CV291" s="654">
        <v>0</v>
      </c>
      <c r="CW291" s="654">
        <v>0</v>
      </c>
      <c r="CX291" s="654">
        <v>0</v>
      </c>
      <c r="CY291" s="654">
        <v>0</v>
      </c>
      <c r="CZ291" s="654">
        <v>0</v>
      </c>
      <c r="DA291" s="654">
        <v>0</v>
      </c>
      <c r="DB291" s="654">
        <v>0</v>
      </c>
      <c r="DC291" s="654">
        <v>0</v>
      </c>
      <c r="DD291" s="654">
        <v>0</v>
      </c>
      <c r="DE291" s="654">
        <v>0</v>
      </c>
      <c r="DF291" s="654">
        <v>0</v>
      </c>
      <c r="DG291" s="654">
        <v>0</v>
      </c>
      <c r="DH291" s="654">
        <v>35387</v>
      </c>
      <c r="DI291" s="654">
        <v>0</v>
      </c>
      <c r="DJ291" s="654">
        <v>0</v>
      </c>
      <c r="DK291" s="654">
        <v>0</v>
      </c>
      <c r="DL291" s="654">
        <v>0</v>
      </c>
      <c r="DM291" s="654">
        <v>0</v>
      </c>
      <c r="DN291" s="654">
        <v>0</v>
      </c>
      <c r="DO291" s="654">
        <v>66665</v>
      </c>
      <c r="DP291" s="654">
        <v>0</v>
      </c>
      <c r="DQ291" s="654">
        <v>0</v>
      </c>
      <c r="DR291" s="654">
        <v>0</v>
      </c>
      <c r="DS291" s="654">
        <v>0</v>
      </c>
      <c r="DT291" s="654">
        <v>0</v>
      </c>
      <c r="DU291" s="654">
        <v>0</v>
      </c>
      <c r="DV291" s="654">
        <v>1662</v>
      </c>
      <c r="DW291" s="654">
        <v>0</v>
      </c>
      <c r="DX291" s="654">
        <v>0</v>
      </c>
      <c r="DY291" s="654">
        <v>0</v>
      </c>
      <c r="DZ291" s="654">
        <v>0</v>
      </c>
      <c r="EA291" s="654">
        <v>0</v>
      </c>
      <c r="EB291" s="654">
        <v>0</v>
      </c>
      <c r="EC291" s="654">
        <v>2915</v>
      </c>
      <c r="ED291" s="654">
        <v>0</v>
      </c>
      <c r="EE291" s="654">
        <v>0</v>
      </c>
      <c r="EF291" s="654">
        <v>0</v>
      </c>
      <c r="EG291" s="654">
        <v>0</v>
      </c>
      <c r="EH291" s="654">
        <v>0</v>
      </c>
      <c r="EI291" s="654">
        <v>0</v>
      </c>
      <c r="EJ291" s="654">
        <v>5660</v>
      </c>
      <c r="EK291" s="654">
        <v>0</v>
      </c>
      <c r="EL291" s="654">
        <v>0</v>
      </c>
      <c r="EM291" s="654">
        <v>0</v>
      </c>
      <c r="EN291" s="654">
        <v>0</v>
      </c>
      <c r="EO291" s="654">
        <v>0</v>
      </c>
      <c r="EP291" s="654">
        <v>0</v>
      </c>
      <c r="EQ291" s="654">
        <v>12236</v>
      </c>
    </row>
    <row r="292" spans="1:147" ht="13.95" customHeight="1" x14ac:dyDescent="0.3">
      <c r="A292" s="347" t="s">
        <v>1948</v>
      </c>
      <c r="B292" s="346" t="s">
        <v>269</v>
      </c>
      <c r="C292" s="655">
        <v>0</v>
      </c>
      <c r="D292" s="655">
        <v>0</v>
      </c>
      <c r="E292" s="655">
        <v>0</v>
      </c>
      <c r="F292" s="655">
        <v>0</v>
      </c>
      <c r="G292" s="655">
        <v>0</v>
      </c>
      <c r="H292" s="655">
        <v>0</v>
      </c>
      <c r="I292" s="655">
        <v>0</v>
      </c>
      <c r="J292" s="799">
        <v>0</v>
      </c>
      <c r="K292" s="655">
        <v>0</v>
      </c>
      <c r="L292" s="655">
        <v>0</v>
      </c>
      <c r="M292" s="655">
        <v>0</v>
      </c>
      <c r="N292" s="655">
        <v>0</v>
      </c>
      <c r="O292" s="655">
        <v>0</v>
      </c>
      <c r="P292" s="655">
        <v>0</v>
      </c>
      <c r="Q292" s="799">
        <v>0</v>
      </c>
      <c r="R292" s="655">
        <v>0</v>
      </c>
      <c r="S292" s="655">
        <v>0</v>
      </c>
      <c r="T292" s="655">
        <v>0</v>
      </c>
      <c r="U292" s="655">
        <v>0</v>
      </c>
      <c r="V292" s="655">
        <v>0</v>
      </c>
      <c r="W292" s="799">
        <v>0</v>
      </c>
      <c r="X292" s="655">
        <v>0</v>
      </c>
      <c r="Y292" s="655">
        <v>0</v>
      </c>
      <c r="Z292" s="655">
        <v>0</v>
      </c>
      <c r="AA292" s="655">
        <v>0</v>
      </c>
      <c r="AB292" s="655">
        <v>0</v>
      </c>
      <c r="AC292" s="655">
        <v>0</v>
      </c>
      <c r="AD292" s="799">
        <v>0</v>
      </c>
      <c r="AE292" s="655">
        <v>0</v>
      </c>
      <c r="AF292" s="655">
        <v>0</v>
      </c>
      <c r="AG292" s="655">
        <v>0</v>
      </c>
      <c r="AH292" s="655">
        <v>0</v>
      </c>
      <c r="AI292" s="655">
        <v>0</v>
      </c>
      <c r="AJ292" s="655">
        <v>0</v>
      </c>
      <c r="AK292" s="799">
        <v>0</v>
      </c>
      <c r="AL292" s="655">
        <v>0</v>
      </c>
      <c r="AM292" s="655">
        <v>0</v>
      </c>
      <c r="AN292" s="655">
        <v>0</v>
      </c>
      <c r="AO292" s="655">
        <v>0</v>
      </c>
      <c r="AP292" s="655">
        <v>0</v>
      </c>
      <c r="AQ292" s="799">
        <v>0</v>
      </c>
      <c r="AR292" s="655">
        <v>0</v>
      </c>
      <c r="AS292" s="655">
        <v>0</v>
      </c>
      <c r="AT292" s="655">
        <v>0</v>
      </c>
      <c r="AU292" s="655">
        <v>0</v>
      </c>
      <c r="AV292" s="655">
        <v>0</v>
      </c>
      <c r="AW292" s="655">
        <v>0</v>
      </c>
      <c r="AX292" s="655">
        <v>0</v>
      </c>
      <c r="AY292" s="655">
        <v>0</v>
      </c>
      <c r="AZ292" s="655">
        <v>0</v>
      </c>
      <c r="BA292" s="655">
        <v>0</v>
      </c>
      <c r="BB292" s="655">
        <v>0</v>
      </c>
      <c r="BC292" s="655">
        <v>0</v>
      </c>
      <c r="BD292" s="655">
        <v>0</v>
      </c>
      <c r="BE292" s="799">
        <v>0</v>
      </c>
      <c r="BF292" s="655">
        <v>0</v>
      </c>
      <c r="BG292" s="655">
        <v>0</v>
      </c>
      <c r="BH292" s="655">
        <v>0</v>
      </c>
      <c r="BI292" s="655">
        <v>0</v>
      </c>
      <c r="BJ292" s="655">
        <v>0</v>
      </c>
      <c r="BK292" s="655">
        <v>0</v>
      </c>
      <c r="BL292" s="655">
        <v>0</v>
      </c>
      <c r="BM292" s="655">
        <v>0</v>
      </c>
      <c r="BN292" s="655">
        <v>0</v>
      </c>
      <c r="BO292" s="655">
        <v>0</v>
      </c>
      <c r="BP292" s="655">
        <v>0</v>
      </c>
      <c r="BQ292" s="655">
        <v>0</v>
      </c>
      <c r="BR292" s="655">
        <v>0</v>
      </c>
      <c r="BS292" s="655">
        <v>0</v>
      </c>
      <c r="BT292" s="655">
        <v>0</v>
      </c>
      <c r="BU292" s="655">
        <v>0</v>
      </c>
      <c r="BV292" s="655">
        <v>0</v>
      </c>
      <c r="BW292" s="655">
        <v>0</v>
      </c>
      <c r="BX292" s="655">
        <v>0</v>
      </c>
      <c r="BY292" s="655">
        <v>0</v>
      </c>
      <c r="BZ292" s="655">
        <v>0</v>
      </c>
      <c r="CA292" s="655">
        <v>0</v>
      </c>
      <c r="CB292" s="655">
        <v>0</v>
      </c>
      <c r="CC292" s="655">
        <v>0</v>
      </c>
      <c r="CD292" s="655">
        <v>0</v>
      </c>
      <c r="CE292" s="655">
        <v>0</v>
      </c>
      <c r="CF292" s="655">
        <v>0</v>
      </c>
      <c r="CG292" s="655">
        <v>0</v>
      </c>
      <c r="CH292" s="655">
        <v>0</v>
      </c>
      <c r="CI292" s="655">
        <v>0</v>
      </c>
      <c r="CJ292" s="655">
        <v>0</v>
      </c>
      <c r="CK292" s="655">
        <v>0</v>
      </c>
      <c r="CL292" s="655">
        <v>0</v>
      </c>
      <c r="CM292" s="655">
        <v>0</v>
      </c>
      <c r="CN292" s="655">
        <v>0</v>
      </c>
      <c r="CO292" s="655">
        <v>0</v>
      </c>
      <c r="CP292" s="655">
        <v>0</v>
      </c>
      <c r="CQ292" s="655">
        <v>0</v>
      </c>
      <c r="CR292" s="655">
        <v>0</v>
      </c>
      <c r="CS292" s="655">
        <v>0</v>
      </c>
      <c r="CT292" s="655">
        <v>0</v>
      </c>
      <c r="CU292" s="655">
        <v>0</v>
      </c>
      <c r="CV292" s="655">
        <v>0</v>
      </c>
      <c r="CW292" s="655">
        <v>0</v>
      </c>
      <c r="CX292" s="655">
        <v>0</v>
      </c>
      <c r="CY292" s="655">
        <v>0</v>
      </c>
      <c r="CZ292" s="655">
        <v>0</v>
      </c>
      <c r="DA292" s="655">
        <v>0</v>
      </c>
      <c r="DB292" s="655">
        <v>0</v>
      </c>
      <c r="DC292" s="655">
        <v>0</v>
      </c>
      <c r="DD292" s="655">
        <v>0</v>
      </c>
      <c r="DE292" s="655">
        <v>0</v>
      </c>
      <c r="DF292" s="655">
        <v>0</v>
      </c>
      <c r="DG292" s="655">
        <v>0</v>
      </c>
      <c r="DH292" s="655">
        <v>0</v>
      </c>
      <c r="DI292" s="655">
        <v>0</v>
      </c>
      <c r="DJ292" s="655">
        <v>0</v>
      </c>
      <c r="DK292" s="655">
        <v>0</v>
      </c>
      <c r="DL292" s="655">
        <v>0</v>
      </c>
      <c r="DM292" s="655">
        <v>0</v>
      </c>
      <c r="DN292" s="655">
        <v>0</v>
      </c>
      <c r="DO292" s="655">
        <v>0</v>
      </c>
      <c r="DP292" s="655">
        <v>0</v>
      </c>
      <c r="DQ292" s="655">
        <v>0</v>
      </c>
      <c r="DR292" s="655">
        <v>0</v>
      </c>
      <c r="DS292" s="655">
        <v>0</v>
      </c>
      <c r="DT292" s="655">
        <v>0</v>
      </c>
      <c r="DU292" s="655">
        <v>0</v>
      </c>
      <c r="DV292" s="655">
        <v>0</v>
      </c>
      <c r="DW292" s="655">
        <v>0</v>
      </c>
      <c r="DX292" s="655">
        <v>0</v>
      </c>
      <c r="DY292" s="655">
        <v>0</v>
      </c>
      <c r="DZ292" s="655">
        <v>0</v>
      </c>
      <c r="EA292" s="655">
        <v>0</v>
      </c>
      <c r="EB292" s="655">
        <v>0</v>
      </c>
      <c r="EC292" s="655">
        <v>0</v>
      </c>
      <c r="ED292" s="655">
        <v>0</v>
      </c>
      <c r="EE292" s="655">
        <v>0</v>
      </c>
      <c r="EF292" s="655">
        <v>0</v>
      </c>
      <c r="EG292" s="655">
        <v>0</v>
      </c>
      <c r="EH292" s="655">
        <v>0</v>
      </c>
      <c r="EI292" s="655">
        <v>0</v>
      </c>
      <c r="EJ292" s="655">
        <v>0</v>
      </c>
      <c r="EK292" s="655">
        <v>0</v>
      </c>
      <c r="EL292" s="655">
        <v>0</v>
      </c>
      <c r="EM292" s="655">
        <v>0</v>
      </c>
      <c r="EN292" s="655">
        <v>0</v>
      </c>
      <c r="EO292" s="655">
        <v>0</v>
      </c>
      <c r="EP292" s="655">
        <v>0</v>
      </c>
      <c r="EQ292" s="655">
        <v>0</v>
      </c>
    </row>
    <row r="293" spans="1:147" ht="20.7" customHeight="1" x14ac:dyDescent="0.3">
      <c r="A293" s="347" t="s">
        <v>1949</v>
      </c>
      <c r="B293" s="346" t="s">
        <v>269</v>
      </c>
      <c r="C293" s="654">
        <v>0</v>
      </c>
      <c r="D293" s="654">
        <v>0</v>
      </c>
      <c r="E293" s="654">
        <v>0</v>
      </c>
      <c r="F293" s="654">
        <v>0</v>
      </c>
      <c r="G293" s="654">
        <v>0</v>
      </c>
      <c r="H293" s="654">
        <v>0</v>
      </c>
      <c r="I293" s="654">
        <v>0</v>
      </c>
      <c r="J293" s="798">
        <v>0</v>
      </c>
      <c r="K293" s="654">
        <v>0</v>
      </c>
      <c r="L293" s="654">
        <v>0</v>
      </c>
      <c r="M293" s="654">
        <v>0</v>
      </c>
      <c r="N293" s="654">
        <v>0</v>
      </c>
      <c r="O293" s="654">
        <v>0</v>
      </c>
      <c r="P293" s="654">
        <v>0</v>
      </c>
      <c r="Q293" s="798">
        <v>0</v>
      </c>
      <c r="R293" s="654">
        <v>0</v>
      </c>
      <c r="S293" s="654">
        <v>0</v>
      </c>
      <c r="T293" s="654">
        <v>0</v>
      </c>
      <c r="U293" s="654">
        <v>0</v>
      </c>
      <c r="V293" s="654">
        <v>0</v>
      </c>
      <c r="W293" s="798">
        <v>0</v>
      </c>
      <c r="X293" s="654">
        <v>0</v>
      </c>
      <c r="Y293" s="654">
        <v>0</v>
      </c>
      <c r="Z293" s="654">
        <v>0</v>
      </c>
      <c r="AA293" s="654">
        <v>0</v>
      </c>
      <c r="AB293" s="654">
        <v>0</v>
      </c>
      <c r="AC293" s="654">
        <v>0</v>
      </c>
      <c r="AD293" s="798">
        <v>0</v>
      </c>
      <c r="AE293" s="654">
        <v>0</v>
      </c>
      <c r="AF293" s="654">
        <v>0</v>
      </c>
      <c r="AG293" s="654">
        <v>0</v>
      </c>
      <c r="AH293" s="654">
        <v>0</v>
      </c>
      <c r="AI293" s="654">
        <v>0</v>
      </c>
      <c r="AJ293" s="654">
        <v>0</v>
      </c>
      <c r="AK293" s="798">
        <v>0</v>
      </c>
      <c r="AL293" s="654">
        <v>0</v>
      </c>
      <c r="AM293" s="654">
        <v>0</v>
      </c>
      <c r="AN293" s="654">
        <v>0</v>
      </c>
      <c r="AO293" s="654">
        <v>0</v>
      </c>
      <c r="AP293" s="654">
        <v>0</v>
      </c>
      <c r="AQ293" s="798">
        <v>0</v>
      </c>
      <c r="AR293" s="654">
        <v>0</v>
      </c>
      <c r="AS293" s="654">
        <v>0</v>
      </c>
      <c r="AT293" s="654">
        <v>0</v>
      </c>
      <c r="AU293" s="654">
        <v>0</v>
      </c>
      <c r="AV293" s="654">
        <v>0</v>
      </c>
      <c r="AW293" s="654">
        <v>0</v>
      </c>
      <c r="AX293" s="654">
        <v>0</v>
      </c>
      <c r="AY293" s="654">
        <v>0</v>
      </c>
      <c r="AZ293" s="654">
        <v>0</v>
      </c>
      <c r="BA293" s="654">
        <v>0</v>
      </c>
      <c r="BB293" s="654">
        <v>0</v>
      </c>
      <c r="BC293" s="654">
        <v>0</v>
      </c>
      <c r="BD293" s="654">
        <v>0</v>
      </c>
      <c r="BE293" s="798">
        <v>0</v>
      </c>
      <c r="BF293" s="654">
        <v>0</v>
      </c>
      <c r="BG293" s="654">
        <v>0</v>
      </c>
      <c r="BH293" s="654">
        <v>0</v>
      </c>
      <c r="BI293" s="654">
        <v>0</v>
      </c>
      <c r="BJ293" s="654">
        <v>0</v>
      </c>
      <c r="BK293" s="654">
        <v>0</v>
      </c>
      <c r="BL293" s="654">
        <v>0</v>
      </c>
      <c r="BM293" s="654">
        <v>0</v>
      </c>
      <c r="BN293" s="654">
        <v>0</v>
      </c>
      <c r="BO293" s="654">
        <v>0</v>
      </c>
      <c r="BP293" s="654">
        <v>0</v>
      </c>
      <c r="BQ293" s="654">
        <v>0</v>
      </c>
      <c r="BR293" s="654">
        <v>0</v>
      </c>
      <c r="BS293" s="654">
        <v>0</v>
      </c>
      <c r="BT293" s="654">
        <v>0</v>
      </c>
      <c r="BU293" s="654">
        <v>0</v>
      </c>
      <c r="BV293" s="654">
        <v>0</v>
      </c>
      <c r="BW293" s="654">
        <v>0</v>
      </c>
      <c r="BX293" s="654">
        <v>0</v>
      </c>
      <c r="BY293" s="654">
        <v>0</v>
      </c>
      <c r="BZ293" s="654">
        <v>0</v>
      </c>
      <c r="CA293" s="654">
        <v>0</v>
      </c>
      <c r="CB293" s="654">
        <v>0</v>
      </c>
      <c r="CC293" s="654">
        <v>0</v>
      </c>
      <c r="CD293" s="654">
        <v>0</v>
      </c>
      <c r="CE293" s="654">
        <v>0</v>
      </c>
      <c r="CF293" s="654">
        <v>0</v>
      </c>
      <c r="CG293" s="654">
        <v>0</v>
      </c>
      <c r="CH293" s="654">
        <v>0</v>
      </c>
      <c r="CI293" s="654">
        <v>0</v>
      </c>
      <c r="CJ293" s="654">
        <v>0</v>
      </c>
      <c r="CK293" s="654">
        <v>0</v>
      </c>
      <c r="CL293" s="654">
        <v>0</v>
      </c>
      <c r="CM293" s="654">
        <v>0</v>
      </c>
      <c r="CN293" s="654">
        <v>0</v>
      </c>
      <c r="CO293" s="654">
        <v>0</v>
      </c>
      <c r="CP293" s="654">
        <v>0</v>
      </c>
      <c r="CQ293" s="654">
        <v>0</v>
      </c>
      <c r="CR293" s="654">
        <v>0</v>
      </c>
      <c r="CS293" s="654">
        <v>0</v>
      </c>
      <c r="CT293" s="654">
        <v>0</v>
      </c>
      <c r="CU293" s="654">
        <v>0</v>
      </c>
      <c r="CV293" s="654">
        <v>0</v>
      </c>
      <c r="CW293" s="654">
        <v>0</v>
      </c>
      <c r="CX293" s="654">
        <v>0</v>
      </c>
      <c r="CY293" s="654">
        <v>0</v>
      </c>
      <c r="CZ293" s="654">
        <v>0</v>
      </c>
      <c r="DA293" s="654">
        <v>0</v>
      </c>
      <c r="DB293" s="654">
        <v>0</v>
      </c>
      <c r="DC293" s="654">
        <v>0</v>
      </c>
      <c r="DD293" s="654">
        <v>0</v>
      </c>
      <c r="DE293" s="654">
        <v>0</v>
      </c>
      <c r="DF293" s="654">
        <v>0</v>
      </c>
      <c r="DG293" s="654">
        <v>0</v>
      </c>
      <c r="DH293" s="654">
        <v>0</v>
      </c>
      <c r="DI293" s="654">
        <v>0</v>
      </c>
      <c r="DJ293" s="654">
        <v>0</v>
      </c>
      <c r="DK293" s="654">
        <v>0</v>
      </c>
      <c r="DL293" s="654">
        <v>0</v>
      </c>
      <c r="DM293" s="654">
        <v>0</v>
      </c>
      <c r="DN293" s="654">
        <v>0</v>
      </c>
      <c r="DO293" s="654">
        <v>0</v>
      </c>
      <c r="DP293" s="654">
        <v>0</v>
      </c>
      <c r="DQ293" s="654">
        <v>0</v>
      </c>
      <c r="DR293" s="654">
        <v>0</v>
      </c>
      <c r="DS293" s="654">
        <v>0</v>
      </c>
      <c r="DT293" s="654">
        <v>0</v>
      </c>
      <c r="DU293" s="654">
        <v>0</v>
      </c>
      <c r="DV293" s="654">
        <v>0</v>
      </c>
      <c r="DW293" s="654">
        <v>0</v>
      </c>
      <c r="DX293" s="654">
        <v>0</v>
      </c>
      <c r="DY293" s="654">
        <v>0</v>
      </c>
      <c r="DZ293" s="654">
        <v>0</v>
      </c>
      <c r="EA293" s="654">
        <v>0</v>
      </c>
      <c r="EB293" s="654">
        <v>0</v>
      </c>
      <c r="EC293" s="654">
        <v>0</v>
      </c>
      <c r="ED293" s="654">
        <v>0</v>
      </c>
      <c r="EE293" s="654">
        <v>0</v>
      </c>
      <c r="EF293" s="654">
        <v>0</v>
      </c>
      <c r="EG293" s="654">
        <v>0</v>
      </c>
      <c r="EH293" s="654">
        <v>0</v>
      </c>
      <c r="EI293" s="654">
        <v>0</v>
      </c>
      <c r="EJ293" s="654">
        <v>0</v>
      </c>
      <c r="EK293" s="654">
        <v>0</v>
      </c>
      <c r="EL293" s="654">
        <v>0</v>
      </c>
      <c r="EM293" s="654">
        <v>0</v>
      </c>
      <c r="EN293" s="654">
        <v>0</v>
      </c>
      <c r="EO293" s="654">
        <v>0</v>
      </c>
      <c r="EP293" s="654">
        <v>0</v>
      </c>
      <c r="EQ293" s="654">
        <v>0</v>
      </c>
    </row>
    <row r="294" spans="1:147" ht="13.2" customHeight="1" x14ac:dyDescent="0.25">
      <c r="A294" s="349" t="s">
        <v>1950</v>
      </c>
    </row>
  </sheetData>
  <mergeCells count="25">
    <mergeCell ref="BE3:BK3"/>
    <mergeCell ref="BL3:BR3"/>
    <mergeCell ref="BS3:BY3"/>
    <mergeCell ref="A3:B3"/>
    <mergeCell ref="C3:I3"/>
    <mergeCell ref="J3:P3"/>
    <mergeCell ref="Q3:V3"/>
    <mergeCell ref="W3:AC3"/>
    <mergeCell ref="AD3:AJ3"/>
    <mergeCell ref="A5:B5"/>
    <mergeCell ref="DP3:DV3"/>
    <mergeCell ref="DW3:EC3"/>
    <mergeCell ref="ED3:EJ3"/>
    <mergeCell ref="EK3:EQ3"/>
    <mergeCell ref="A4:B4"/>
    <mergeCell ref="C4:EQ4"/>
    <mergeCell ref="BZ3:CF3"/>
    <mergeCell ref="CG3:CM3"/>
    <mergeCell ref="CN3:CT3"/>
    <mergeCell ref="CU3:DA3"/>
    <mergeCell ref="DB3:DH3"/>
    <mergeCell ref="DI3:DO3"/>
    <mergeCell ref="AK3:AP3"/>
    <mergeCell ref="AQ3:AW3"/>
    <mergeCell ref="AX3:BD3"/>
  </mergeCells>
  <hyperlinks>
    <hyperlink ref="A2" r:id="rId1" tooltip="Click once to display linked information. Click and hold to select this cell." display="http://dati.istat.it/OECDStat_Metadata/ShowMetadata.ashx?Dataset=DCSP_COLTIVAZIONI&amp;ShowOnWeb=true&amp;Lang=it" xr:uid="{4698BD6E-EC02-48A0-B8C6-D71BD1D1F642}"/>
    <hyperlink ref="I5" r:id="rId2" tooltip="Click once to display linked information. Click and hold to select this cell." display="http://dati.istat.it/OECDStat_Metadata/ShowMetadata.ashx?Dataset=DCSP_COLTIVAZIONI&amp;Coords=[TIPO_DATO5].[HP_Q_EXT]&amp;ShowOnWeb=true&amp;Lang=it" xr:uid="{5E44D670-69F6-49F0-BE6B-5B8E5CD3500E}"/>
    <hyperlink ref="P5" r:id="rId3" tooltip="Click once to display linked information. Click and hold to select this cell." display="http://dati.istat.it/OECDStat_Metadata/ShowMetadata.ashx?Dataset=DCSP_COLTIVAZIONI&amp;Coords=[TIPO_DATO5].[HP_Q_EXT]&amp;ShowOnWeb=true&amp;Lang=it" xr:uid="{9213585B-8296-4ED2-85B6-CCBF2D6807C1}"/>
    <hyperlink ref="V5" r:id="rId4" tooltip="Click once to display linked information. Click and hold to select this cell." display="http://dati.istat.it/OECDStat_Metadata/ShowMetadata.ashx?Dataset=DCSP_COLTIVAZIONI&amp;Coords=[TIPO_DATO5].[HP_Q_EXT]&amp;ShowOnWeb=true&amp;Lang=it" xr:uid="{DC8E2D40-D218-4AB8-9CED-B15990C72B9E}"/>
    <hyperlink ref="AC5" r:id="rId5" tooltip="Click once to display linked information. Click and hold to select this cell." display="http://dati.istat.it/OECDStat_Metadata/ShowMetadata.ashx?Dataset=DCSP_COLTIVAZIONI&amp;Coords=[TIPO_DATO5].[HP_Q_EXT]&amp;ShowOnWeb=true&amp;Lang=it" xr:uid="{F755EC11-AAAA-4D2C-8A2E-CBCF2EFC32CA}"/>
    <hyperlink ref="AJ5" r:id="rId6" tooltip="Click once to display linked information. Click and hold to select this cell." display="http://dati.istat.it/OECDStat_Metadata/ShowMetadata.ashx?Dataset=DCSP_COLTIVAZIONI&amp;Coords=[TIPO_DATO5].[HP_Q_EXT]&amp;ShowOnWeb=true&amp;Lang=it" xr:uid="{A4A5538F-692B-4CC3-88D6-E250CC7B0EDF}"/>
    <hyperlink ref="AP5" r:id="rId7" tooltip="Click once to display linked information. Click and hold to select this cell." display="http://dati.istat.it/OECDStat_Metadata/ShowMetadata.ashx?Dataset=DCSP_COLTIVAZIONI&amp;Coords=[TIPO_DATO5].[HP_Q_EXT]&amp;ShowOnWeb=true&amp;Lang=it" xr:uid="{D37174FD-B739-4178-90BD-D27C2EE91AFD}"/>
    <hyperlink ref="AW5" r:id="rId8" tooltip="Click once to display linked information. Click and hold to select this cell." display="http://dati.istat.it/OECDStat_Metadata/ShowMetadata.ashx?Dataset=DCSP_COLTIVAZIONI&amp;Coords=[TIPO_DATO5].[HP_Q_EXT]&amp;ShowOnWeb=true&amp;Lang=it" xr:uid="{32BE81B8-167D-45BE-8504-32DFC46B6605}"/>
    <hyperlink ref="BD5" r:id="rId9" tooltip="Click once to display linked information. Click and hold to select this cell." display="http://dati.istat.it/OECDStat_Metadata/ShowMetadata.ashx?Dataset=DCSP_COLTIVAZIONI&amp;Coords=[TIPO_DATO5].[HP_Q_EXT]&amp;ShowOnWeb=true&amp;Lang=it" xr:uid="{6F73D458-A83A-4F6C-8232-D0AB96056CF0}"/>
    <hyperlink ref="BK5" r:id="rId10" tooltip="Click once to display linked information. Click and hold to select this cell." display="http://dati.istat.it/OECDStat_Metadata/ShowMetadata.ashx?Dataset=DCSP_COLTIVAZIONI&amp;Coords=[TIPO_DATO5].[HP_Q_EXT]&amp;ShowOnWeb=true&amp;Lang=it" xr:uid="{162B0C3B-833A-4332-A9C6-0A55FF264402}"/>
    <hyperlink ref="BR5" r:id="rId11" tooltip="Click once to display linked information. Click and hold to select this cell." display="http://dati.istat.it/OECDStat_Metadata/ShowMetadata.ashx?Dataset=DCSP_COLTIVAZIONI&amp;Coords=[TIPO_DATO5].[HP_Q_EXT]&amp;ShowOnWeb=true&amp;Lang=it" xr:uid="{2CC3DF9B-7223-482D-8505-4B018D8B9D4E}"/>
    <hyperlink ref="BY5" r:id="rId12" tooltip="Click once to display linked information. Click and hold to select this cell." display="http://dati.istat.it/OECDStat_Metadata/ShowMetadata.ashx?Dataset=DCSP_COLTIVAZIONI&amp;Coords=[TIPO_DATO5].[HP_Q_EXT]&amp;ShowOnWeb=true&amp;Lang=it" xr:uid="{D6A9DD16-BC2D-4D69-9AC5-EFB81D50D412}"/>
    <hyperlink ref="CF5" r:id="rId13" tooltip="Click once to display linked information. Click and hold to select this cell." display="http://dati.istat.it/OECDStat_Metadata/ShowMetadata.ashx?Dataset=DCSP_COLTIVAZIONI&amp;Coords=[TIPO_DATO5].[HP_Q_EXT]&amp;ShowOnWeb=true&amp;Lang=it" xr:uid="{988B77CE-E9C9-414D-A7AB-1DBE02F66D4C}"/>
    <hyperlink ref="CM5" r:id="rId14" tooltip="Click once to display linked information. Click and hold to select this cell." display="http://dati.istat.it/OECDStat_Metadata/ShowMetadata.ashx?Dataset=DCSP_COLTIVAZIONI&amp;Coords=[TIPO_DATO5].[HP_Q_EXT]&amp;ShowOnWeb=true&amp;Lang=it" xr:uid="{FB33C32B-59E8-466B-84E5-8CFFF010AC42}"/>
    <hyperlink ref="CT5" r:id="rId15" tooltip="Click once to display linked information. Click and hold to select this cell." display="http://dati.istat.it/OECDStat_Metadata/ShowMetadata.ashx?Dataset=DCSP_COLTIVAZIONI&amp;Coords=[TIPO_DATO5].[HP_Q_EXT]&amp;ShowOnWeb=true&amp;Lang=it" xr:uid="{D2EE5FF8-4389-4A28-8FF7-9F5762493C7A}"/>
    <hyperlink ref="DA5" r:id="rId16" tooltip="Click once to display linked information. Click and hold to select this cell." display="http://dati.istat.it/OECDStat_Metadata/ShowMetadata.ashx?Dataset=DCSP_COLTIVAZIONI&amp;Coords=[TIPO_DATO5].[HP_Q_EXT]&amp;ShowOnWeb=true&amp;Lang=it" xr:uid="{A3DB3590-6D42-47AB-95F1-C0B25ED9FE33}"/>
    <hyperlink ref="DH5" r:id="rId17" tooltip="Click once to display linked information. Click and hold to select this cell." display="http://dati.istat.it/OECDStat_Metadata/ShowMetadata.ashx?Dataset=DCSP_COLTIVAZIONI&amp;Coords=[TIPO_DATO5].[HP_Q_EXT]&amp;ShowOnWeb=true&amp;Lang=it" xr:uid="{689718A1-9DE5-48A2-8666-56E2ABF494F0}"/>
    <hyperlink ref="DO5" r:id="rId18" tooltip="Click once to display linked information. Click and hold to select this cell." display="http://dati.istat.it/OECDStat_Metadata/ShowMetadata.ashx?Dataset=DCSP_COLTIVAZIONI&amp;Coords=[TIPO_DATO5].[HP_Q_EXT]&amp;ShowOnWeb=true&amp;Lang=it" xr:uid="{8DA9DFBD-E4C5-4019-91F9-8FE11D98D483}"/>
    <hyperlink ref="DV5" r:id="rId19" tooltip="Click once to display linked information. Click and hold to select this cell." display="http://dati.istat.it/OECDStat_Metadata/ShowMetadata.ashx?Dataset=DCSP_COLTIVAZIONI&amp;Coords=[TIPO_DATO5].[HP_Q_EXT]&amp;ShowOnWeb=true&amp;Lang=it" xr:uid="{DAFD5837-934F-4CAA-97EA-D52398A901C6}"/>
    <hyperlink ref="EC5" r:id="rId20" tooltip="Click once to display linked information. Click and hold to select this cell." display="http://dati.istat.it/OECDStat_Metadata/ShowMetadata.ashx?Dataset=DCSP_COLTIVAZIONI&amp;Coords=[TIPO_DATO5].[HP_Q_EXT]&amp;ShowOnWeb=true&amp;Lang=it" xr:uid="{3FABBBC0-2206-4506-ABEF-35D4420E6D85}"/>
    <hyperlink ref="EJ5" r:id="rId21" tooltip="Click once to display linked information. Click and hold to select this cell." display="http://dati.istat.it/OECDStat_Metadata/ShowMetadata.ashx?Dataset=DCSP_COLTIVAZIONI&amp;Coords=[TIPO_DATO5].[HP_Q_EXT]&amp;ShowOnWeb=true&amp;Lang=it" xr:uid="{81B01871-D37C-41DE-8ED7-3C01B2D78D8A}"/>
    <hyperlink ref="EQ5" r:id="rId22" tooltip="Click once to display linked information. Click and hold to select this cell." display="http://dati.istat.it/OECDStat_Metadata/ShowMetadata.ashx?Dataset=DCSP_COLTIVAZIONI&amp;Coords=[TIPO_DATO5].[HP_Q_EXT]&amp;ShowOnWeb=true&amp;Lang=it" xr:uid="{8A2FD649-E62F-4412-B39D-2E2A55C47B71}"/>
    <hyperlink ref="A294" r:id="rId23" tooltip="Click once to display linked information. Click and hold to select this cell." display="http://dativ7b.istat.it/" xr:uid="{7FD7A343-FA9D-4130-A52A-0B510A05ECE6}"/>
  </hyperlinks>
  <pageMargins left="0.75" right="0.75" top="1" bottom="1" header="0.5" footer="0.5"/>
  <pageSetup orientation="portrait" horizontalDpi="300" verticalDpi="300" r:id="rId2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E9165-212B-4C55-ABB7-AA2B36175BF5}">
  <sheetPr>
    <tabColor rgb="FF00B050"/>
  </sheetPr>
  <dimension ref="A1:I67"/>
  <sheetViews>
    <sheetView workbookViewId="0">
      <selection activeCell="B16" sqref="B16"/>
    </sheetView>
  </sheetViews>
  <sheetFormatPr defaultRowHeight="14.4" x14ac:dyDescent="0.3"/>
  <cols>
    <col min="1" max="1" width="16.5546875" customWidth="1"/>
    <col min="2" max="2" width="21.88671875" customWidth="1"/>
    <col min="3" max="3" width="15.5546875" customWidth="1"/>
    <col min="4" max="5" width="13.109375" customWidth="1"/>
    <col min="6" max="6" width="13" customWidth="1"/>
    <col min="7" max="7" width="12.44140625" customWidth="1"/>
    <col min="9" max="9" width="13.6640625" customWidth="1"/>
  </cols>
  <sheetData>
    <row r="1" spans="1:9" ht="18" x14ac:dyDescent="0.35">
      <c r="A1" s="51" t="s">
        <v>2314</v>
      </c>
      <c r="B1" s="51" t="s">
        <v>2315</v>
      </c>
    </row>
    <row r="2" spans="1:9" ht="15.6" x14ac:dyDescent="0.3">
      <c r="A2" s="19"/>
      <c r="B2" s="50" t="s">
        <v>2326</v>
      </c>
    </row>
    <row r="3" spans="1:9" ht="78" customHeight="1" x14ac:dyDescent="0.3">
      <c r="B3" s="962" t="s">
        <v>2316</v>
      </c>
      <c r="C3" s="963" t="s">
        <v>2317</v>
      </c>
      <c r="D3" s="963" t="s">
        <v>2318</v>
      </c>
      <c r="E3" s="950" t="s">
        <v>2320</v>
      </c>
      <c r="F3" s="950" t="s">
        <v>2325</v>
      </c>
      <c r="G3" s="950" t="s">
        <v>2324</v>
      </c>
      <c r="H3" s="21"/>
    </row>
    <row r="4" spans="1:9" ht="33" customHeight="1" x14ac:dyDescent="0.3">
      <c r="B4" s="962"/>
      <c r="C4" s="963" t="s">
        <v>2319</v>
      </c>
      <c r="D4" s="963" t="s">
        <v>2319</v>
      </c>
      <c r="E4" s="649" t="s">
        <v>2319</v>
      </c>
      <c r="F4" s="278" t="s">
        <v>138</v>
      </c>
      <c r="G4" s="649" t="s">
        <v>2323</v>
      </c>
      <c r="H4" s="21"/>
    </row>
    <row r="5" spans="1:9" x14ac:dyDescent="0.3">
      <c r="A5">
        <f>'tavola corr CORINE3-MAES'!E4</f>
        <v>1</v>
      </c>
      <c r="B5" s="21" t="str">
        <f>'tavola corr CORINE3-MAES'!F4</f>
        <v>urban</v>
      </c>
      <c r="C5" s="964">
        <v>0.12</v>
      </c>
      <c r="D5" s="964">
        <v>2.1000000000000001E-2</v>
      </c>
      <c r="E5" s="966">
        <f>SUM(C5:D5)</f>
        <v>0.14099999999999999</v>
      </c>
      <c r="F5" s="81">
        <f>'tavola corr CORINE3-MAES'!H4</f>
        <v>16798.321475520657</v>
      </c>
      <c r="G5" s="967">
        <f>(C5*1000000/F5)/100</f>
        <v>7.1435708725344924E-2</v>
      </c>
      <c r="H5" s="21"/>
      <c r="I5">
        <f>G5*100*F5/1000000</f>
        <v>0.12</v>
      </c>
    </row>
    <row r="6" spans="1:9" x14ac:dyDescent="0.3">
      <c r="A6">
        <f>'tavola corr CORINE3-MAES'!E5</f>
        <v>2</v>
      </c>
      <c r="B6" s="21" t="str">
        <f>'tavola corr CORINE3-MAES'!F5</f>
        <v>cropland</v>
      </c>
      <c r="C6" s="964">
        <v>32.92</v>
      </c>
      <c r="D6" s="964">
        <v>5.88</v>
      </c>
      <c r="E6" s="966">
        <f t="shared" ref="E6:E11" si="0">SUM(C6:D6)</f>
        <v>38.800000000000004</v>
      </c>
      <c r="F6" s="81">
        <f>'tavola corr CORINE3-MAES'!H5</f>
        <v>153409.11538337826</v>
      </c>
      <c r="G6" s="967">
        <f t="shared" ref="G6:G11" si="1">(C6*1000000/F6)/100</f>
        <v>2.1458959539484348</v>
      </c>
      <c r="H6" s="21"/>
      <c r="I6">
        <f t="shared" ref="I6:I11" si="2">G6*100*F6/1000000</f>
        <v>32.92</v>
      </c>
    </row>
    <row r="7" spans="1:9" x14ac:dyDescent="0.3">
      <c r="A7">
        <f>'tavola corr CORINE3-MAES'!E6</f>
        <v>3</v>
      </c>
      <c r="B7" s="21" t="str">
        <f>'tavola corr CORINE3-MAES'!F6</f>
        <v>grassland</v>
      </c>
      <c r="C7" s="964">
        <v>28.08</v>
      </c>
      <c r="D7" s="964">
        <v>5.01</v>
      </c>
      <c r="E7" s="966">
        <f t="shared" si="0"/>
        <v>33.089999999999996</v>
      </c>
      <c r="F7" s="81">
        <f>'tavola corr CORINE3-MAES'!H6</f>
        <v>12241.893885476366</v>
      </c>
      <c r="G7" s="967">
        <f t="shared" si="1"/>
        <v>22.937627349730395</v>
      </c>
      <c r="H7" s="21"/>
      <c r="I7">
        <f t="shared" si="2"/>
        <v>28.08</v>
      </c>
    </row>
    <row r="8" spans="1:9" x14ac:dyDescent="0.3">
      <c r="A8">
        <f>'tavola corr CORINE3-MAES'!E7</f>
        <v>4</v>
      </c>
      <c r="B8" s="21" t="str">
        <f>'tavola corr CORINE3-MAES'!F7</f>
        <v>woodland and forest</v>
      </c>
      <c r="C8" s="964">
        <v>353.66</v>
      </c>
      <c r="D8" s="964">
        <v>63.13</v>
      </c>
      <c r="E8" s="966">
        <f t="shared" si="0"/>
        <v>416.79</v>
      </c>
      <c r="F8" s="81">
        <f>'tavola corr CORINE3-MAES'!H7</f>
        <v>91225.147205924673</v>
      </c>
      <c r="G8" s="967">
        <f t="shared" si="1"/>
        <v>38.767819053410236</v>
      </c>
      <c r="H8" s="21"/>
      <c r="I8">
        <f t="shared" si="2"/>
        <v>353.66</v>
      </c>
    </row>
    <row r="9" spans="1:9" x14ac:dyDescent="0.3">
      <c r="A9">
        <f>'tavola corr CORINE3-MAES'!E8</f>
        <v>5</v>
      </c>
      <c r="B9" s="21" t="s">
        <v>2321</v>
      </c>
      <c r="C9" s="964">
        <v>11.82</v>
      </c>
      <c r="D9" s="964">
        <v>2.11</v>
      </c>
      <c r="E9" s="966">
        <f t="shared" si="0"/>
        <v>13.93</v>
      </c>
      <c r="F9" s="81">
        <f>'tavola corr CORINE3-MAES'!H8</f>
        <v>11863.47866064837</v>
      </c>
      <c r="G9" s="967">
        <f t="shared" si="1"/>
        <v>9.9633508333499261</v>
      </c>
      <c r="H9" s="21"/>
      <c r="I9">
        <f t="shared" si="2"/>
        <v>11.820000000000002</v>
      </c>
    </row>
    <row r="10" spans="1:9" x14ac:dyDescent="0.3">
      <c r="A10">
        <f>'tavola corr CORINE3-MAES'!E9</f>
        <v>6</v>
      </c>
      <c r="B10" s="21" t="str">
        <f>'tavola corr CORINE3-MAES'!F9</f>
        <v>sparsely vegetated areas</v>
      </c>
      <c r="C10" s="964">
        <v>0.32400000000000001</v>
      </c>
      <c r="D10" s="964">
        <v>5.7799999999999997E-2</v>
      </c>
      <c r="E10" s="966">
        <f t="shared" si="0"/>
        <v>0.38180000000000003</v>
      </c>
      <c r="F10" s="81">
        <f>'tavola corr CORINE3-MAES'!H9</f>
        <v>17014.623430516236</v>
      </c>
      <c r="G10" s="967">
        <f t="shared" si="1"/>
        <v>0.19042443185600941</v>
      </c>
      <c r="H10" s="21"/>
      <c r="I10">
        <f t="shared" si="2"/>
        <v>0.32400000000000001</v>
      </c>
    </row>
    <row r="11" spans="1:9" x14ac:dyDescent="0.3">
      <c r="A11">
        <f>'tavola corr CORINE3-MAES'!E10</f>
        <v>7</v>
      </c>
      <c r="B11" s="21" t="str">
        <f>'tavola corr CORINE3-MAES'!F10</f>
        <v>wetlands</v>
      </c>
      <c r="C11" s="964">
        <v>0.89</v>
      </c>
      <c r="D11" s="964">
        <v>0.16</v>
      </c>
      <c r="E11" s="966">
        <f t="shared" si="0"/>
        <v>1.05</v>
      </c>
      <c r="F11" s="81">
        <f>'tavola corr CORINE3-MAES'!H10</f>
        <v>194.60683751206602</v>
      </c>
      <c r="G11" s="967">
        <f t="shared" si="1"/>
        <v>45.73323380504646</v>
      </c>
      <c r="H11" s="21"/>
      <c r="I11">
        <f t="shared" si="2"/>
        <v>0.89000000000000012</v>
      </c>
    </row>
    <row r="12" spans="1:9" x14ac:dyDescent="0.3">
      <c r="A12">
        <f>'tavola corr CORINE3-MAES'!E11</f>
        <v>8</v>
      </c>
      <c r="B12" s="21" t="str">
        <f>'tavola corr CORINE3-MAES'!F11</f>
        <v>marine inlets and transitional waters</v>
      </c>
      <c r="C12" s="965" t="s">
        <v>2322</v>
      </c>
      <c r="D12" s="965" t="s">
        <v>2322</v>
      </c>
      <c r="E12" s="21" t="s">
        <v>2322</v>
      </c>
      <c r="F12" s="81">
        <f>'tavola corr CORINE3-MAES'!H11</f>
        <v>1498.5924496979401</v>
      </c>
      <c r="G12" s="176" t="s">
        <v>2322</v>
      </c>
      <c r="H12" s="21"/>
    </row>
    <row r="13" spans="1:9" x14ac:dyDescent="0.3">
      <c r="A13">
        <f>'tavola corr CORINE3-MAES'!E12</f>
        <v>9</v>
      </c>
      <c r="B13" s="21" t="str">
        <f>'tavola corr CORINE3-MAES'!F12</f>
        <v>rivers and lakes</v>
      </c>
      <c r="C13" s="965" t="s">
        <v>2322</v>
      </c>
      <c r="D13" s="965" t="s">
        <v>2322</v>
      </c>
      <c r="E13" s="21" t="s">
        <v>2322</v>
      </c>
      <c r="F13" s="81">
        <f>'tavola corr CORINE3-MAES'!H12</f>
        <v>2244.9603686892424</v>
      </c>
      <c r="G13" s="176" t="s">
        <v>2322</v>
      </c>
      <c r="H13" s="21"/>
    </row>
    <row r="14" spans="1:9" x14ac:dyDescent="0.3">
      <c r="B14" s="32" t="s">
        <v>137</v>
      </c>
      <c r="C14" s="969">
        <f>SUM(C5:C11)</f>
        <v>427.81400000000002</v>
      </c>
      <c r="D14" s="969">
        <f>SUM(D5:D11)</f>
        <v>76.368799999999993</v>
      </c>
      <c r="E14" s="970">
        <f>SUM(C14:D14)</f>
        <v>504.18280000000004</v>
      </c>
      <c r="F14" s="190">
        <f>'tavola corr CORINE3-MAES'!H15</f>
        <v>306490.73969736381</v>
      </c>
      <c r="G14" s="968">
        <f>(C14*1000000/F14)/100</f>
        <v>13.958464142258705</v>
      </c>
      <c r="H14" s="21"/>
      <c r="I14">
        <f>SUM(I5:I13)</f>
        <v>427.81400000000002</v>
      </c>
    </row>
    <row r="15" spans="1:9" x14ac:dyDescent="0.3">
      <c r="B15" s="21"/>
      <c r="C15" s="21"/>
      <c r="D15" s="21"/>
      <c r="E15" s="21"/>
      <c r="F15" s="21"/>
      <c r="G15" s="21"/>
      <c r="H15" s="21"/>
      <c r="I15" t="s">
        <v>12</v>
      </c>
    </row>
    <row r="16" spans="1:9" ht="99" customHeight="1" x14ac:dyDescent="0.3"/>
    <row r="17" spans="1:5" x14ac:dyDescent="0.3">
      <c r="A17" s="19" t="s">
        <v>2310</v>
      </c>
    </row>
    <row r="18" spans="1:5" x14ac:dyDescent="0.3">
      <c r="A18" t="s">
        <v>2311</v>
      </c>
    </row>
    <row r="19" spans="1:5" ht="43.5" customHeight="1" x14ac:dyDescent="0.3">
      <c r="C19" s="911" t="s">
        <v>2304</v>
      </c>
      <c r="D19" t="s">
        <v>2312</v>
      </c>
    </row>
    <row r="20" spans="1:5" x14ac:dyDescent="0.3">
      <c r="C20" t="s">
        <v>138</v>
      </c>
      <c r="D20" t="s">
        <v>2302</v>
      </c>
      <c r="E20" t="s">
        <v>2303</v>
      </c>
    </row>
    <row r="21" spans="1:5" x14ac:dyDescent="0.3">
      <c r="A21" t="s">
        <v>2272</v>
      </c>
      <c r="C21">
        <v>21.24</v>
      </c>
      <c r="D21">
        <v>74.209999999999994</v>
      </c>
      <c r="E21" s="694">
        <f>C21*100*D21/1000000</f>
        <v>0.15762203999999999</v>
      </c>
    </row>
    <row r="22" spans="1:5" x14ac:dyDescent="0.3">
      <c r="A22" t="s">
        <v>2263</v>
      </c>
      <c r="C22">
        <v>18.489999999999998</v>
      </c>
      <c r="D22">
        <v>0.09</v>
      </c>
      <c r="E22" s="694">
        <f t="shared" ref="E22:E62" si="3">C22*1000000*D22/1000000</f>
        <v>1.6640999999999999</v>
      </c>
    </row>
    <row r="23" spans="1:5" x14ac:dyDescent="0.3">
      <c r="A23" t="s">
        <v>2264</v>
      </c>
      <c r="C23">
        <v>250.65</v>
      </c>
      <c r="D23">
        <v>0.05</v>
      </c>
      <c r="E23" s="694">
        <f t="shared" si="3"/>
        <v>12.532500000000001</v>
      </c>
    </row>
    <row r="24" spans="1:5" x14ac:dyDescent="0.3">
      <c r="A24" t="s">
        <v>2265</v>
      </c>
      <c r="C24">
        <v>175.68</v>
      </c>
      <c r="D24">
        <v>55.68</v>
      </c>
      <c r="E24" s="694">
        <f t="shared" si="3"/>
        <v>9781.8624</v>
      </c>
    </row>
    <row r="25" spans="1:5" x14ac:dyDescent="0.3">
      <c r="A25" t="s">
        <v>129</v>
      </c>
      <c r="C25">
        <v>75.47</v>
      </c>
      <c r="D25">
        <v>57.16</v>
      </c>
      <c r="E25" s="694">
        <f t="shared" si="3"/>
        <v>4313.8652000000002</v>
      </c>
    </row>
    <row r="26" spans="1:5" x14ac:dyDescent="0.3">
      <c r="A26" t="s">
        <v>2266</v>
      </c>
      <c r="C26">
        <v>133.94999999999999</v>
      </c>
      <c r="D26">
        <v>10.91</v>
      </c>
      <c r="E26" s="694">
        <f t="shared" si="3"/>
        <v>1461.3944999999997</v>
      </c>
    </row>
    <row r="27" spans="1:5" x14ac:dyDescent="0.3">
      <c r="A27" t="s">
        <v>2267</v>
      </c>
      <c r="C27">
        <v>148.44</v>
      </c>
      <c r="D27">
        <v>8.6</v>
      </c>
      <c r="E27" s="694">
        <f t="shared" si="3"/>
        <v>1276.5840000000001</v>
      </c>
    </row>
    <row r="28" spans="1:5" x14ac:dyDescent="0.3">
      <c r="A28" t="s">
        <v>2268</v>
      </c>
      <c r="C28">
        <v>28.99</v>
      </c>
      <c r="D28">
        <v>84.86</v>
      </c>
      <c r="E28" s="694">
        <f t="shared" si="3"/>
        <v>2460.0913999999998</v>
      </c>
    </row>
    <row r="29" spans="1:5" x14ac:dyDescent="0.3">
      <c r="A29" t="s">
        <v>2269</v>
      </c>
      <c r="C29" s="951">
        <v>2298.87</v>
      </c>
      <c r="D29">
        <v>154.93</v>
      </c>
      <c r="E29" s="53">
        <f t="shared" si="3"/>
        <v>356163.92910000001</v>
      </c>
    </row>
    <row r="30" spans="1:5" x14ac:dyDescent="0.3">
      <c r="A30" t="s">
        <v>2270</v>
      </c>
      <c r="C30">
        <v>667.74</v>
      </c>
      <c r="D30">
        <v>253.61</v>
      </c>
      <c r="E30" s="53">
        <f t="shared" si="3"/>
        <v>169345.54139999999</v>
      </c>
    </row>
    <row r="31" spans="1:5" x14ac:dyDescent="0.3">
      <c r="A31" t="s">
        <v>2271</v>
      </c>
      <c r="C31" s="951">
        <v>7239.73</v>
      </c>
      <c r="D31">
        <v>227.35</v>
      </c>
      <c r="E31" s="53">
        <f t="shared" si="3"/>
        <v>1645952.6155000001</v>
      </c>
    </row>
    <row r="32" spans="1:5" x14ac:dyDescent="0.3">
      <c r="A32" t="s">
        <v>2273</v>
      </c>
      <c r="C32" s="951">
        <v>1807.31</v>
      </c>
      <c r="E32" s="694">
        <f t="shared" si="3"/>
        <v>0</v>
      </c>
    </row>
    <row r="33" spans="1:5" x14ac:dyDescent="0.3">
      <c r="A33" t="s">
        <v>2274</v>
      </c>
      <c r="C33">
        <v>495.06</v>
      </c>
      <c r="E33" s="694">
        <f t="shared" si="3"/>
        <v>0</v>
      </c>
    </row>
    <row r="34" spans="1:5" x14ac:dyDescent="0.3">
      <c r="A34" t="s">
        <v>2275</v>
      </c>
      <c r="C34">
        <v>0.5</v>
      </c>
      <c r="E34" s="694">
        <f t="shared" si="3"/>
        <v>0</v>
      </c>
    </row>
    <row r="35" spans="1:5" x14ac:dyDescent="0.3">
      <c r="A35" t="s">
        <v>2276</v>
      </c>
      <c r="C35">
        <v>283.64</v>
      </c>
      <c r="E35" s="694">
        <f t="shared" si="3"/>
        <v>0</v>
      </c>
    </row>
    <row r="36" spans="1:5" x14ac:dyDescent="0.3">
      <c r="A36" t="s">
        <v>2277</v>
      </c>
      <c r="C36">
        <v>4</v>
      </c>
      <c r="D36" s="55">
        <v>0.2</v>
      </c>
      <c r="E36" s="694">
        <f t="shared" si="3"/>
        <v>0.8</v>
      </c>
    </row>
    <row r="37" spans="1:5" x14ac:dyDescent="0.3">
      <c r="A37" t="s">
        <v>2278</v>
      </c>
      <c r="C37">
        <v>147.19</v>
      </c>
      <c r="D37" s="55">
        <v>0.2</v>
      </c>
      <c r="E37" s="694">
        <f t="shared" si="3"/>
        <v>29.437999999999999</v>
      </c>
    </row>
    <row r="38" spans="1:5" x14ac:dyDescent="0.3">
      <c r="A38" t="s">
        <v>2279</v>
      </c>
      <c r="C38">
        <v>153.19</v>
      </c>
      <c r="D38" s="55">
        <v>0.2</v>
      </c>
      <c r="E38" s="694">
        <f t="shared" si="3"/>
        <v>30.638000000000002</v>
      </c>
    </row>
    <row r="39" spans="1:5" x14ac:dyDescent="0.3">
      <c r="A39" t="s">
        <v>2280</v>
      </c>
      <c r="C39">
        <v>34.99</v>
      </c>
      <c r="E39" s="694">
        <f t="shared" si="3"/>
        <v>0</v>
      </c>
    </row>
    <row r="40" spans="1:5" x14ac:dyDescent="0.3">
      <c r="A40" t="s">
        <v>2281</v>
      </c>
      <c r="C40">
        <v>463.07</v>
      </c>
      <c r="D40">
        <v>0.46</v>
      </c>
      <c r="E40" s="694">
        <f t="shared" si="3"/>
        <v>213.01220000000001</v>
      </c>
    </row>
    <row r="41" spans="1:5" x14ac:dyDescent="0.3">
      <c r="A41" t="s">
        <v>2282</v>
      </c>
      <c r="C41" s="951">
        <v>40241.589999999997</v>
      </c>
      <c r="E41" s="694">
        <f t="shared" si="3"/>
        <v>0</v>
      </c>
    </row>
    <row r="42" spans="1:5" x14ac:dyDescent="0.3">
      <c r="A42" t="s">
        <v>2283</v>
      </c>
      <c r="C42" s="951">
        <v>2030.47</v>
      </c>
      <c r="D42">
        <v>0.48</v>
      </c>
      <c r="E42" s="694">
        <f t="shared" si="3"/>
        <v>974.62559999999996</v>
      </c>
    </row>
    <row r="43" spans="1:5" x14ac:dyDescent="0.3">
      <c r="A43" t="s">
        <v>2284</v>
      </c>
      <c r="C43" s="951">
        <v>2402.08</v>
      </c>
      <c r="D43">
        <v>0.44</v>
      </c>
      <c r="E43" s="694">
        <f t="shared" si="3"/>
        <v>1056.9151999999999</v>
      </c>
    </row>
    <row r="44" spans="1:5" x14ac:dyDescent="0.3">
      <c r="A44" t="s">
        <v>680</v>
      </c>
      <c r="C44" s="951">
        <v>3577.88</v>
      </c>
      <c r="D44">
        <v>0.45</v>
      </c>
      <c r="E44" s="694">
        <f t="shared" si="3"/>
        <v>1610.046</v>
      </c>
    </row>
    <row r="45" spans="1:5" x14ac:dyDescent="0.3">
      <c r="A45" t="s">
        <v>2285</v>
      </c>
      <c r="C45" s="951">
        <v>2199.91</v>
      </c>
      <c r="D45">
        <v>0.42</v>
      </c>
      <c r="E45" s="694">
        <f t="shared" si="3"/>
        <v>923.96220000000005</v>
      </c>
    </row>
    <row r="46" spans="1:5" x14ac:dyDescent="0.3">
      <c r="A46" t="s">
        <v>2301</v>
      </c>
      <c r="C46" s="951">
        <v>8951.57</v>
      </c>
      <c r="D46">
        <v>0.27</v>
      </c>
      <c r="E46" s="694">
        <f t="shared" si="3"/>
        <v>2416.9238999999998</v>
      </c>
    </row>
    <row r="47" spans="1:5" x14ac:dyDescent="0.3">
      <c r="A47" t="s">
        <v>2286</v>
      </c>
      <c r="C47" s="951">
        <v>10356.780000000001</v>
      </c>
      <c r="D47">
        <v>0.46</v>
      </c>
      <c r="E47" s="694">
        <f t="shared" si="3"/>
        <v>4764.1188000000002</v>
      </c>
    </row>
    <row r="48" spans="1:5" x14ac:dyDescent="0.3">
      <c r="A48" t="s">
        <v>2287</v>
      </c>
      <c r="C48">
        <v>127.2</v>
      </c>
      <c r="D48">
        <v>0.31</v>
      </c>
      <c r="E48" s="694">
        <f t="shared" si="3"/>
        <v>39.432000000000002</v>
      </c>
    </row>
    <row r="49" spans="1:6" x14ac:dyDescent="0.3">
      <c r="A49" t="s">
        <v>2288</v>
      </c>
      <c r="C49">
        <v>564.53</v>
      </c>
      <c r="D49">
        <v>0.36</v>
      </c>
      <c r="E49" s="694">
        <f t="shared" si="3"/>
        <v>203.23079999999999</v>
      </c>
    </row>
    <row r="50" spans="1:6" x14ac:dyDescent="0.3">
      <c r="A50" t="s">
        <v>2289</v>
      </c>
      <c r="C50" s="951">
        <v>2150.9299999999998</v>
      </c>
      <c r="D50">
        <v>0.44</v>
      </c>
      <c r="E50" s="694">
        <f t="shared" si="3"/>
        <v>946.40920000000006</v>
      </c>
    </row>
    <row r="51" spans="1:6" x14ac:dyDescent="0.3">
      <c r="A51" t="s">
        <v>2290</v>
      </c>
      <c r="C51" s="951">
        <v>4196.1400000000003</v>
      </c>
      <c r="D51" s="55">
        <v>0.2</v>
      </c>
      <c r="E51" s="694">
        <f t="shared" si="3"/>
        <v>839.22800000000007</v>
      </c>
    </row>
    <row r="52" spans="1:6" x14ac:dyDescent="0.3">
      <c r="A52" t="s">
        <v>2291</v>
      </c>
      <c r="C52">
        <v>922.15</v>
      </c>
      <c r="D52">
        <v>0.13</v>
      </c>
      <c r="E52" s="694">
        <f t="shared" si="3"/>
        <v>119.87949999999999</v>
      </c>
    </row>
    <row r="53" spans="1:6" x14ac:dyDescent="0.3">
      <c r="A53" t="s">
        <v>2292</v>
      </c>
      <c r="C53">
        <v>832.93</v>
      </c>
      <c r="D53">
        <v>0.16</v>
      </c>
      <c r="E53" s="694">
        <f t="shared" si="3"/>
        <v>133.2688</v>
      </c>
    </row>
    <row r="54" spans="1:6" x14ac:dyDescent="0.3">
      <c r="A54" t="s">
        <v>130</v>
      </c>
      <c r="C54" s="951">
        <v>1877.53</v>
      </c>
      <c r="D54">
        <v>0.28999999999999998</v>
      </c>
      <c r="E54" s="694">
        <f t="shared" si="3"/>
        <v>544.4837</v>
      </c>
    </row>
    <row r="55" spans="1:6" x14ac:dyDescent="0.3">
      <c r="A55" t="s">
        <v>2293</v>
      </c>
      <c r="C55" s="951">
        <v>5629.84</v>
      </c>
      <c r="D55" s="55">
        <v>0.2</v>
      </c>
      <c r="E55" s="694">
        <f t="shared" si="3"/>
        <v>1125.9680000000001</v>
      </c>
    </row>
    <row r="56" spans="1:6" x14ac:dyDescent="0.3">
      <c r="A56" t="s">
        <v>2294</v>
      </c>
      <c r="C56" s="951">
        <v>5678.08</v>
      </c>
      <c r="D56" s="55">
        <v>0.2</v>
      </c>
      <c r="E56" s="694">
        <f t="shared" si="3"/>
        <v>1135.616</v>
      </c>
    </row>
    <row r="57" spans="1:6" x14ac:dyDescent="0.3">
      <c r="A57" t="s">
        <v>2295</v>
      </c>
      <c r="C57" s="951">
        <v>22237.73</v>
      </c>
      <c r="D57" s="55">
        <v>0.2</v>
      </c>
      <c r="E57" s="694">
        <f t="shared" si="3"/>
        <v>4447.5460000000003</v>
      </c>
    </row>
    <row r="58" spans="1:6" x14ac:dyDescent="0.3">
      <c r="A58" t="s">
        <v>2296</v>
      </c>
      <c r="C58">
        <v>45.73</v>
      </c>
      <c r="D58" s="55">
        <v>0.2</v>
      </c>
      <c r="E58" s="694">
        <f t="shared" si="3"/>
        <v>9.1460000000000008</v>
      </c>
    </row>
    <row r="59" spans="1:6" x14ac:dyDescent="0.3">
      <c r="A59" t="s">
        <v>2297</v>
      </c>
      <c r="C59">
        <v>6.75</v>
      </c>
      <c r="E59" s="694">
        <f t="shared" si="3"/>
        <v>0</v>
      </c>
    </row>
    <row r="60" spans="1:6" x14ac:dyDescent="0.3">
      <c r="A60" t="s">
        <v>2298</v>
      </c>
      <c r="C60">
        <v>713.98</v>
      </c>
      <c r="D60" s="55">
        <v>0.2</v>
      </c>
      <c r="E60" s="694">
        <f t="shared" si="3"/>
        <v>142.79599999999999</v>
      </c>
    </row>
    <row r="61" spans="1:6" x14ac:dyDescent="0.3">
      <c r="A61" t="s">
        <v>2299</v>
      </c>
      <c r="C61">
        <v>338.62</v>
      </c>
      <c r="E61" s="694">
        <f t="shared" si="3"/>
        <v>0</v>
      </c>
    </row>
    <row r="62" spans="1:6" x14ac:dyDescent="0.3">
      <c r="A62" t="s">
        <v>2300</v>
      </c>
      <c r="C62" s="951">
        <v>2273.63</v>
      </c>
      <c r="D62">
        <v>0.09</v>
      </c>
      <c r="E62" s="694">
        <f t="shared" si="3"/>
        <v>204.6267</v>
      </c>
    </row>
    <row r="63" spans="1:6" s="19" customFormat="1" x14ac:dyDescent="0.3">
      <c r="A63" s="19" t="s">
        <v>154</v>
      </c>
      <c r="C63" s="952">
        <v>131801.26</v>
      </c>
      <c r="E63" s="953">
        <f>SUM(E21:E62)</f>
        <v>2212682.3483220404</v>
      </c>
      <c r="F63" s="19" t="s">
        <v>2305</v>
      </c>
    </row>
    <row r="64" spans="1:6" x14ac:dyDescent="0.3">
      <c r="A64" t="s">
        <v>12</v>
      </c>
      <c r="C64">
        <f>SUM(C21:C62)</f>
        <v>131804.24999999994</v>
      </c>
      <c r="F64" t="s">
        <v>2306</v>
      </c>
    </row>
    <row r="65" spans="6:7" x14ac:dyDescent="0.3">
      <c r="F65" s="183" t="s">
        <v>2307</v>
      </c>
      <c r="G65" s="183"/>
    </row>
    <row r="66" spans="6:7" x14ac:dyDescent="0.3">
      <c r="F66" s="183" t="s">
        <v>2308</v>
      </c>
    </row>
    <row r="67" spans="6:7" x14ac:dyDescent="0.3">
      <c r="F67" s="183" t="s">
        <v>2309</v>
      </c>
    </row>
  </sheetData>
  <phoneticPr fontId="10" type="noConversion"/>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B7680-73E0-4E70-88DB-658F67C123E4}">
  <sheetPr>
    <tabColor rgb="FF00B050"/>
  </sheetPr>
  <dimension ref="A1:N74"/>
  <sheetViews>
    <sheetView workbookViewId="0">
      <selection activeCell="D76" sqref="D76"/>
    </sheetView>
  </sheetViews>
  <sheetFormatPr defaultRowHeight="14.4" x14ac:dyDescent="0.3"/>
  <cols>
    <col min="1" max="1" width="26.109375" customWidth="1"/>
    <col min="2" max="2" width="11.5546875" customWidth="1"/>
    <col min="3" max="4" width="13.109375" customWidth="1"/>
    <col min="5" max="5" width="17.33203125" customWidth="1"/>
    <col min="6" max="6" width="19.33203125" customWidth="1"/>
    <col min="7" max="8" width="11.5546875" customWidth="1"/>
    <col min="9" max="9" width="12.6640625" customWidth="1"/>
    <col min="10" max="10" width="11.5546875" customWidth="1"/>
    <col min="11" max="11" width="20.5546875" customWidth="1"/>
    <col min="12" max="12" width="20.88671875" customWidth="1"/>
    <col min="13" max="13" width="14.88671875" customWidth="1"/>
  </cols>
  <sheetData>
    <row r="1" spans="1:14" ht="21" x14ac:dyDescent="0.4">
      <c r="A1" s="14" t="s">
        <v>225</v>
      </c>
    </row>
    <row r="2" spans="1:14" x14ac:dyDescent="0.3">
      <c r="A2" s="19" t="s">
        <v>1127</v>
      </c>
    </row>
    <row r="3" spans="1:14" x14ac:dyDescent="0.3">
      <c r="A3" s="1185" t="s">
        <v>1128</v>
      </c>
      <c r="B3" s="1185"/>
      <c r="C3" s="1185"/>
      <c r="D3" s="1185"/>
      <c r="E3" s="1185"/>
      <c r="F3" s="1185"/>
      <c r="G3" s="1185"/>
      <c r="H3" s="1185"/>
      <c r="I3" s="1185"/>
      <c r="J3" s="1185"/>
      <c r="K3" s="1185"/>
    </row>
    <row r="4" spans="1:14" x14ac:dyDescent="0.3">
      <c r="A4" t="s">
        <v>1126</v>
      </c>
    </row>
    <row r="5" spans="1:14" x14ac:dyDescent="0.3">
      <c r="A5" t="s">
        <v>1125</v>
      </c>
    </row>
    <row r="6" spans="1:14" ht="15" thickBot="1" x14ac:dyDescent="0.35">
      <c r="A6" t="s">
        <v>1129</v>
      </c>
    </row>
    <row r="7" spans="1:14" ht="72" x14ac:dyDescent="0.3">
      <c r="E7" s="150" t="s">
        <v>190</v>
      </c>
      <c r="F7" s="151" t="s">
        <v>189</v>
      </c>
      <c r="G7" s="152" t="s">
        <v>203</v>
      </c>
      <c r="H7" s="154" t="s">
        <v>204</v>
      </c>
      <c r="I7" s="28" t="s">
        <v>191</v>
      </c>
      <c r="J7" s="28" t="s">
        <v>198</v>
      </c>
      <c r="K7" s="28" t="s">
        <v>195</v>
      </c>
      <c r="L7" s="159" t="s">
        <v>200</v>
      </c>
      <c r="M7" s="159" t="s">
        <v>202</v>
      </c>
    </row>
    <row r="8" spans="1:14" x14ac:dyDescent="0.3">
      <c r="E8" s="36"/>
      <c r="F8" s="6" t="s">
        <v>188</v>
      </c>
      <c r="G8" s="148" t="s">
        <v>192</v>
      </c>
      <c r="H8" s="148" t="s">
        <v>192</v>
      </c>
      <c r="I8" s="156" t="s">
        <v>196</v>
      </c>
      <c r="J8" s="6" t="s">
        <v>197</v>
      </c>
      <c r="K8" s="6" t="s">
        <v>199</v>
      </c>
      <c r="L8" s="6" t="s">
        <v>201</v>
      </c>
      <c r="M8" s="6" t="s">
        <v>211</v>
      </c>
      <c r="N8" s="153" t="s">
        <v>12</v>
      </c>
    </row>
    <row r="9" spans="1:14" x14ac:dyDescent="0.3">
      <c r="A9" t="s">
        <v>231</v>
      </c>
      <c r="E9" s="36" t="str">
        <f>'PITESAI tipi ecosistemi Italia'!A51</f>
        <v xml:space="preserve">Aree urbane verdi </v>
      </c>
      <c r="F9" s="149">
        <v>634981</v>
      </c>
      <c r="G9" s="21">
        <v>0.66</v>
      </c>
      <c r="H9" s="155">
        <v>0.52</v>
      </c>
      <c r="I9" s="78">
        <f>G9*1000000/F9</f>
        <v>1.039401178932913</v>
      </c>
      <c r="J9" s="157">
        <f t="shared" ref="J9:J17" si="0">(F9/($D$18*1000000))/(365/7)</f>
        <v>3.1523991219827019E-4</v>
      </c>
      <c r="K9" s="166">
        <f t="shared" ref="K9:K16" si="1">1/J9</f>
        <v>3172.1871543063044</v>
      </c>
      <c r="L9" s="78">
        <f>F9/'PITESAI tipi ecosistemi Italia'!B51</f>
        <v>80.632507936507935</v>
      </c>
      <c r="M9" s="191">
        <f>G9*1000000/'PITESAI tipi ecosistemi Italia'!B51</f>
        <v>83.80952380952381</v>
      </c>
      <c r="N9" s="1">
        <f>L9*I9</f>
        <v>83.80952380952381</v>
      </c>
    </row>
    <row r="10" spans="1:14" x14ac:dyDescent="0.3">
      <c r="A10" t="s">
        <v>232</v>
      </c>
      <c r="E10" s="36" t="str">
        <f>'PITESAI tipi ecosistemi Italia'!A52</f>
        <v>Aree agricole -  colture (suolo non consumato)</v>
      </c>
      <c r="F10" s="149">
        <v>882060376</v>
      </c>
      <c r="G10" s="149">
        <v>2486.4</v>
      </c>
      <c r="H10" s="155">
        <v>1953.22</v>
      </c>
      <c r="I10" s="78">
        <f t="shared" ref="I10:I17" si="2">G10*1000000/F10</f>
        <v>2.8188546585387031</v>
      </c>
      <c r="J10" s="157">
        <f t="shared" si="0"/>
        <v>0.43790386717683394</v>
      </c>
      <c r="K10" s="78">
        <f t="shared" si="1"/>
        <v>2.283606231767259</v>
      </c>
      <c r="L10" s="78">
        <f>F10/'PITESAI tipi ecosistemi Italia'!B52</f>
        <v>70.963002177693213</v>
      </c>
      <c r="M10" s="78">
        <f>G10*1000000/'PITESAI tipi ecosistemi Italia'!B52</f>
        <v>200.03438927248266</v>
      </c>
      <c r="N10" s="1">
        <f t="shared" ref="N10:N17" si="3">L10*I10</f>
        <v>200.03438927248266</v>
      </c>
    </row>
    <row r="11" spans="1:14" x14ac:dyDescent="0.3">
      <c r="E11" s="36" t="str">
        <f>'PITESAI tipi ecosistemi Italia'!A53</f>
        <v>Praterie (suolo non consumato)</v>
      </c>
      <c r="F11" s="149">
        <v>116265336</v>
      </c>
      <c r="G11" s="21">
        <v>658</v>
      </c>
      <c r="H11" s="155">
        <v>516.98</v>
      </c>
      <c r="I11" s="78">
        <f t="shared" si="2"/>
        <v>5.659468442081482</v>
      </c>
      <c r="J11" s="157">
        <f t="shared" si="0"/>
        <v>5.7720584257390982E-2</v>
      </c>
      <c r="K11" s="78">
        <f t="shared" si="1"/>
        <v>17.324841958299345</v>
      </c>
      <c r="L11" s="78">
        <f>F11/'PITESAI tipi ecosistemi Italia'!B53</f>
        <v>58.926353876547353</v>
      </c>
      <c r="M11" s="78">
        <f>G11*1000000/'PITESAI tipi ecosistemi Italia'!B53</f>
        <v>333.49184017124554</v>
      </c>
      <c r="N11" s="1">
        <f t="shared" si="3"/>
        <v>333.49184017124554</v>
      </c>
    </row>
    <row r="12" spans="1:14" x14ac:dyDescent="0.3">
      <c r="E12" s="36" t="str">
        <f>'PITESAI tipi ecosistemi Italia'!A54</f>
        <v>Cespuglieti (suolo non consumato)</v>
      </c>
      <c r="F12" s="149">
        <v>119104297</v>
      </c>
      <c r="G12" s="21">
        <v>745.3</v>
      </c>
      <c r="H12" s="155">
        <v>585.34</v>
      </c>
      <c r="I12" s="78">
        <f t="shared" si="2"/>
        <v>6.2575408173560687</v>
      </c>
      <c r="J12" s="157">
        <f t="shared" si="0"/>
        <v>5.9130002517739422E-2</v>
      </c>
      <c r="K12" s="78">
        <f t="shared" si="1"/>
        <v>16.911888337904145</v>
      </c>
      <c r="L12" s="78">
        <f>F12/'PITESAI tipi ecosistemi Italia'!B54</f>
        <v>55.272671520049329</v>
      </c>
      <c r="M12" s="78">
        <f>G12*1000000/'PITESAI tipi ecosistemi Italia'!B54</f>
        <v>345.87099812102304</v>
      </c>
      <c r="N12" s="1">
        <f t="shared" si="3"/>
        <v>345.87099812102298</v>
      </c>
    </row>
    <row r="13" spans="1:14" x14ac:dyDescent="0.3">
      <c r="E13" s="36" t="str">
        <f>'PITESAI tipi ecosistemi Italia'!A55</f>
        <v>Foreste e boschi (suolo non consumato)</v>
      </c>
      <c r="F13" s="149">
        <v>586452548</v>
      </c>
      <c r="G13" s="149">
        <v>4091.4</v>
      </c>
      <c r="H13" s="155">
        <v>3214.25</v>
      </c>
      <c r="I13" s="78">
        <f t="shared" si="2"/>
        <v>6.9765235294024164</v>
      </c>
      <c r="J13" s="157">
        <f t="shared" si="0"/>
        <v>0.29114768747406905</v>
      </c>
      <c r="K13" s="78">
        <f t="shared" si="1"/>
        <v>3.4346829565289423</v>
      </c>
      <c r="L13" s="78">
        <f>F13/'PITESAI tipi ecosistemi Italia'!B55</f>
        <v>59.069158324134264</v>
      </c>
      <c r="M13" s="78">
        <f>G13*1000000/'PITESAI tipi ecosistemi Italia'!B55</f>
        <v>412.09737291031928</v>
      </c>
      <c r="N13" s="1">
        <f t="shared" si="3"/>
        <v>412.09737291031928</v>
      </c>
    </row>
    <row r="14" spans="1:14" x14ac:dyDescent="0.3">
      <c r="E14" s="36" t="str">
        <f>'PITESAI tipi ecosistemi Italia'!A56</f>
        <v>Aree umide</v>
      </c>
      <c r="F14" s="149">
        <v>7015505</v>
      </c>
      <c r="G14" s="21">
        <v>10</v>
      </c>
      <c r="H14" s="155">
        <v>7.86</v>
      </c>
      <c r="I14" s="78">
        <f t="shared" si="2"/>
        <v>1.4254141362596136</v>
      </c>
      <c r="J14" s="157">
        <f t="shared" si="0"/>
        <v>3.4828871733587705E-3</v>
      </c>
      <c r="K14" s="78">
        <f t="shared" si="1"/>
        <v>287.11811500791055</v>
      </c>
      <c r="L14" s="78">
        <f>F14/'PITESAI tipi ecosistemi Italia'!B56</f>
        <v>79.695384475570549</v>
      </c>
      <c r="M14" s="78">
        <f>G14*1000000/'PITESAI tipi ecosistemi Italia'!B56</f>
        <v>113.59892762612321</v>
      </c>
      <c r="N14" s="1">
        <f t="shared" si="3"/>
        <v>113.59892762612321</v>
      </c>
    </row>
    <row r="15" spans="1:14" x14ac:dyDescent="0.3">
      <c r="E15" s="36" t="str">
        <f>'PITESAI tipi ecosistemi Italia'!A57</f>
        <v>Fiumi e laghi</v>
      </c>
      <c r="F15" s="149">
        <v>17398793</v>
      </c>
      <c r="G15" s="21">
        <v>40</v>
      </c>
      <c r="H15" s="155">
        <v>31.43</v>
      </c>
      <c r="I15" s="78">
        <f t="shared" si="2"/>
        <v>2.2990100520191259</v>
      </c>
      <c r="J15" s="157">
        <f t="shared" si="0"/>
        <v>8.6377292827279524E-3</v>
      </c>
      <c r="K15" s="166">
        <f t="shared" si="1"/>
        <v>115.77116708202526</v>
      </c>
      <c r="L15" s="78">
        <f>F15/'PITESAI tipi ecosistemi Italia'!B57</f>
        <v>70.078997398036037</v>
      </c>
      <c r="M15" s="191">
        <f>G15*1000000/'PITESAI tipi ecosistemi Italia'!B57</f>
        <v>161.11231945350701</v>
      </c>
      <c r="N15" s="1">
        <f t="shared" si="3"/>
        <v>161.11231945350701</v>
      </c>
    </row>
    <row r="16" spans="1:14" ht="28.5" customHeight="1" x14ac:dyDescent="0.3">
      <c r="E16" s="322" t="s">
        <v>1164</v>
      </c>
      <c r="F16" s="149">
        <v>36725571</v>
      </c>
      <c r="G16" s="21">
        <v>325</v>
      </c>
      <c r="H16" s="155">
        <v>255.35</v>
      </c>
      <c r="I16" s="78">
        <f t="shared" si="2"/>
        <v>8.8494199314150901</v>
      </c>
      <c r="J16" s="157">
        <f t="shared" si="0"/>
        <v>1.8232617633395863E-2</v>
      </c>
      <c r="K16" s="166">
        <f t="shared" si="1"/>
        <v>54.846759807453267</v>
      </c>
      <c r="L16" s="78">
        <f>F16/'PITESAI tipi ecosistemi Italia'!B59</f>
        <v>36.712362483164398</v>
      </c>
      <c r="M16" s="191">
        <f>G16*1000000/'PITESAI tipi ecosistemi Italia'!B59</f>
        <v>324.88311228785062</v>
      </c>
      <c r="N16" s="1">
        <f t="shared" si="3"/>
        <v>324.88311228785062</v>
      </c>
    </row>
    <row r="17" spans="1:14" s="160" customFormat="1" ht="18.600000000000001" thickBot="1" x14ac:dyDescent="0.4">
      <c r="E17" s="161" t="s">
        <v>1174</v>
      </c>
      <c r="F17" s="162">
        <f>SUM(F9:F16)</f>
        <v>1765657407</v>
      </c>
      <c r="G17" s="162">
        <f>SUM(G9:G16)</f>
        <v>8356.76</v>
      </c>
      <c r="H17" s="163">
        <f>SUM(H9:H16)</f>
        <v>6564.9500000000007</v>
      </c>
      <c r="I17" s="164">
        <f t="shared" si="2"/>
        <v>4.7329453419838883</v>
      </c>
      <c r="J17" s="382">
        <f t="shared" si="0"/>
        <v>0.87657061542771431</v>
      </c>
      <c r="K17" s="164">
        <f>1/J17</f>
        <v>1.1408094024599027</v>
      </c>
      <c r="L17" s="164">
        <f>F17/'PITESAI tipi ecosistemi Italia'!B11</f>
        <v>58.077822969512404</v>
      </c>
      <c r="M17" s="164">
        <f>G17*1000000/'PITESAI tipi ecosistemi Italia'!B60</f>
        <v>277.32181138787672</v>
      </c>
      <c r="N17" s="165">
        <f t="shared" si="3"/>
        <v>274.87916169611862</v>
      </c>
    </row>
    <row r="18" spans="1:14" x14ac:dyDescent="0.3">
      <c r="D18">
        <v>38.630000000000003</v>
      </c>
      <c r="E18" s="381" t="s">
        <v>1130</v>
      </c>
      <c r="J18" s="366">
        <f>SUM(J9:J16)</f>
        <v>0.87657061542771431</v>
      </c>
      <c r="K18" t="s">
        <v>12</v>
      </c>
    </row>
    <row r="19" spans="1:14" x14ac:dyDescent="0.3">
      <c r="D19">
        <v>60.317</v>
      </c>
      <c r="E19" t="s">
        <v>194</v>
      </c>
      <c r="F19" t="s">
        <v>205</v>
      </c>
    </row>
    <row r="20" spans="1:14" x14ac:dyDescent="0.3">
      <c r="D20">
        <f>365/7</f>
        <v>52.142857142857146</v>
      </c>
      <c r="E20" t="s">
        <v>193</v>
      </c>
    </row>
    <row r="21" spans="1:14" ht="23.4" x14ac:dyDescent="0.45">
      <c r="A21" s="167" t="s">
        <v>1120</v>
      </c>
    </row>
    <row r="22" spans="1:14" ht="66" customHeight="1" x14ac:dyDescent="0.3">
      <c r="A22" s="1186" t="s">
        <v>1121</v>
      </c>
      <c r="B22" s="1186"/>
      <c r="C22" s="1186"/>
      <c r="D22" s="1186"/>
      <c r="E22" s="1186"/>
      <c r="F22" s="1186"/>
      <c r="G22" s="1186"/>
      <c r="H22" s="1186"/>
      <c r="I22" s="1186"/>
      <c r="J22" s="1186"/>
    </row>
    <row r="23" spans="1:14" x14ac:dyDescent="0.3">
      <c r="A23" t="s">
        <v>206</v>
      </c>
    </row>
    <row r="24" spans="1:14" ht="33.75" customHeight="1" x14ac:dyDescent="0.3">
      <c r="A24" s="1186" t="s">
        <v>207</v>
      </c>
      <c r="B24" s="1186"/>
      <c r="C24" s="1186"/>
      <c r="D24" s="1186"/>
      <c r="E24" s="1186"/>
      <c r="F24" s="1186"/>
      <c r="G24" s="1186"/>
      <c r="H24" s="1186"/>
      <c r="I24" s="1186"/>
      <c r="J24" s="1186"/>
    </row>
    <row r="25" spans="1:14" x14ac:dyDescent="0.3">
      <c r="A25" t="s">
        <v>208</v>
      </c>
    </row>
    <row r="26" spans="1:14" ht="63.75" customHeight="1" x14ac:dyDescent="0.3">
      <c r="A26" s="1186" t="s">
        <v>209</v>
      </c>
      <c r="B26" s="1186"/>
      <c r="C26" s="1186"/>
      <c r="D26" s="1186"/>
      <c r="E26" s="1186"/>
      <c r="F26" s="1186"/>
      <c r="G26" s="1186"/>
      <c r="H26" s="1186"/>
      <c r="I26" s="1186"/>
      <c r="J26" s="1186"/>
    </row>
    <row r="27" spans="1:14" ht="33.75" customHeight="1" x14ac:dyDescent="0.3">
      <c r="A27" s="1188" t="s">
        <v>210</v>
      </c>
      <c r="B27" s="1186"/>
      <c r="C27" s="1186"/>
      <c r="D27" s="1186"/>
      <c r="E27" s="1186"/>
      <c r="F27" s="1186"/>
      <c r="G27" s="1186"/>
      <c r="H27" s="1186"/>
      <c r="I27" s="1186"/>
      <c r="J27" s="1186"/>
    </row>
    <row r="28" spans="1:14" x14ac:dyDescent="0.3">
      <c r="A28" t="s">
        <v>1122</v>
      </c>
    </row>
    <row r="29" spans="1:14" ht="30.75" customHeight="1" x14ac:dyDescent="0.3">
      <c r="A29" s="1186" t="s">
        <v>1123</v>
      </c>
      <c r="B29" s="1186"/>
      <c r="C29" s="1186"/>
      <c r="D29" s="1186"/>
      <c r="E29" s="1186"/>
      <c r="F29" s="1186"/>
      <c r="G29" s="1186"/>
      <c r="H29" s="1186"/>
      <c r="I29" s="1186"/>
      <c r="J29" s="1186"/>
    </row>
    <row r="30" spans="1:14" ht="15" thickBot="1" x14ac:dyDescent="0.35"/>
    <row r="31" spans="1:14" ht="100.5" customHeight="1" x14ac:dyDescent="0.3">
      <c r="A31" s="150" t="s">
        <v>190</v>
      </c>
      <c r="B31" s="151"/>
      <c r="C31" s="152" t="s">
        <v>214</v>
      </c>
      <c r="D31" s="152" t="s">
        <v>213</v>
      </c>
      <c r="E31" s="159" t="s">
        <v>212</v>
      </c>
      <c r="F31" s="159" t="s">
        <v>215</v>
      </c>
      <c r="G31" s="380" t="s">
        <v>1124</v>
      </c>
      <c r="H31" s="169"/>
    </row>
    <row r="32" spans="1:14" s="158" customFormat="1" ht="21" customHeight="1" x14ac:dyDescent="0.3">
      <c r="A32" s="5"/>
      <c r="B32" s="6"/>
      <c r="C32" s="76" t="s">
        <v>2003</v>
      </c>
      <c r="D32" s="148" t="s">
        <v>2005</v>
      </c>
      <c r="E32" s="6" t="s">
        <v>2004</v>
      </c>
      <c r="F32" s="6" t="s">
        <v>2004</v>
      </c>
      <c r="G32" s="6" t="s">
        <v>2004</v>
      </c>
      <c r="H32" s="170"/>
    </row>
    <row r="33" spans="1:10" x14ac:dyDescent="0.3">
      <c r="A33" s="36" t="s">
        <v>1167</v>
      </c>
      <c r="B33" s="149"/>
      <c r="C33" s="173">
        <v>1.93</v>
      </c>
      <c r="D33" s="78">
        <v>0.66</v>
      </c>
      <c r="E33" s="378">
        <f>'indice PIL pro capite'!$C$18*1000000*C33/'PITESAI tipi ecosistemi Italia'!B51</f>
        <v>262.76743660118603</v>
      </c>
      <c r="F33" s="378">
        <f>M9*'indice PIL pro capite'!$C$13</f>
        <v>84.660552031073223</v>
      </c>
      <c r="G33" s="378">
        <f>E33+F33</f>
        <v>347.42798863225926</v>
      </c>
      <c r="H33" s="171"/>
    </row>
    <row r="34" spans="1:10" x14ac:dyDescent="0.3">
      <c r="A34" s="36" t="s">
        <v>1156</v>
      </c>
      <c r="B34" s="149"/>
      <c r="C34" s="173">
        <v>437.1</v>
      </c>
      <c r="D34" s="78">
        <v>2486.4</v>
      </c>
      <c r="E34" s="378">
        <f>'indice PIL pro capite'!$C$18*1000000*C34/'PITESAI tipi ecosistemi Italia'!B52</f>
        <v>37.703292020442028</v>
      </c>
      <c r="F34" s="378">
        <f>M10*'indice PIL pro capite'!$C$13</f>
        <v>202.06560127337866</v>
      </c>
      <c r="G34" s="378">
        <f t="shared" ref="G34:G41" si="4">E34+F34</f>
        <v>239.7688932938207</v>
      </c>
      <c r="H34" s="171"/>
    </row>
    <row r="35" spans="1:10" x14ac:dyDescent="0.3">
      <c r="A35" s="36" t="s">
        <v>1140</v>
      </c>
      <c r="B35" s="149"/>
      <c r="C35" s="173">
        <v>414.78</v>
      </c>
      <c r="D35" s="78">
        <v>658</v>
      </c>
      <c r="E35" s="378">
        <f>'indice PIL pro capite'!$C$18*1000000*C35/'PITESAI tipi ecosistemi Italia'!B53</f>
        <v>225.39377822799486</v>
      </c>
      <c r="F35" s="378">
        <f>M11*'indice PIL pro capite'!$C$13</f>
        <v>336.87822103515788</v>
      </c>
      <c r="G35" s="378">
        <f t="shared" si="4"/>
        <v>562.27199926315279</v>
      </c>
      <c r="H35" s="171"/>
    </row>
    <row r="36" spans="1:10" x14ac:dyDescent="0.3">
      <c r="A36" s="36" t="s">
        <v>1141</v>
      </c>
      <c r="B36" s="149"/>
      <c r="C36" s="173">
        <v>246.87</v>
      </c>
      <c r="D36" s="78">
        <v>745.3</v>
      </c>
      <c r="E36" s="378">
        <f>'indice PIL pro capite'!$C$18*1000000*C36/'PITESAI tipi ecosistemi Italia'!B54</f>
        <v>122.83330600122618</v>
      </c>
      <c r="F36" s="378">
        <f>M12*'indice PIL pro capite'!$C$13</f>
        <v>349.38308084190118</v>
      </c>
      <c r="G36" s="378">
        <f t="shared" si="4"/>
        <v>472.21638684312734</v>
      </c>
      <c r="H36" s="171"/>
    </row>
    <row r="37" spans="1:10" x14ac:dyDescent="0.3">
      <c r="A37" s="36" t="s">
        <v>1142</v>
      </c>
      <c r="B37" s="149"/>
      <c r="C37" s="173">
        <v>1931.93</v>
      </c>
      <c r="D37" s="78">
        <v>4091.4</v>
      </c>
      <c r="E37" s="378">
        <f>'indice PIL pro capite'!$C$18*1000000*C37/'PITESAI tipi ecosistemi Italia'!B55</f>
        <v>208.63352193144016</v>
      </c>
      <c r="F37" s="378">
        <f>M13*'indice PIL pro capite'!$C$13</f>
        <v>416.28193903636139</v>
      </c>
      <c r="G37" s="378">
        <f t="shared" si="4"/>
        <v>624.91546096780155</v>
      </c>
      <c r="H37" s="171"/>
    </row>
    <row r="38" spans="1:10" x14ac:dyDescent="0.3">
      <c r="A38" s="36" t="s">
        <v>133</v>
      </c>
      <c r="B38" s="149"/>
      <c r="C38" s="173">
        <v>10.050000000000001</v>
      </c>
      <c r="D38" s="78">
        <v>10</v>
      </c>
      <c r="E38" s="378">
        <f>'indice PIL pro capite'!$C$18*1000000*C38/'PITESAI tipi ecosistemi Italia'!B56</f>
        <v>122.40667221538638</v>
      </c>
      <c r="F38" s="378">
        <f>M14*'indice PIL pro capite'!$C$13</f>
        <v>114.75244680811139</v>
      </c>
      <c r="G38" s="378">
        <f t="shared" si="4"/>
        <v>237.15911902349777</v>
      </c>
      <c r="H38" s="171"/>
    </row>
    <row r="39" spans="1:10" x14ac:dyDescent="0.3">
      <c r="A39" s="36" t="s">
        <v>134</v>
      </c>
      <c r="B39" s="149"/>
      <c r="C39" s="173">
        <v>8.83</v>
      </c>
      <c r="D39" s="78">
        <v>40</v>
      </c>
      <c r="E39" s="378">
        <f>'indice PIL pro capite'!$C$18*1000000*C39/'PITESAI tipi ecosistemi Italia'!B57</f>
        <v>38.132410542403868</v>
      </c>
      <c r="F39" s="378">
        <f>M15*'indice PIL pro capite'!$C$13</f>
        <v>162.74830453565394</v>
      </c>
      <c r="G39" s="378">
        <f t="shared" si="4"/>
        <v>200.88071507805782</v>
      </c>
      <c r="H39" s="171"/>
    </row>
    <row r="40" spans="1:10" ht="75.599999999999994" customHeight="1" x14ac:dyDescent="0.3">
      <c r="A40" s="322" t="s">
        <v>2080</v>
      </c>
      <c r="B40" s="149"/>
      <c r="C40" s="173">
        <f>280.98+2.59</f>
        <v>283.57</v>
      </c>
      <c r="D40" s="78">
        <v>325</v>
      </c>
      <c r="E40" s="378">
        <f>'indice PIL pro capite'!$C$18*1000000*C40/'PITESAI tipi ecosistemi Italia'!B59</f>
        <v>303.92670166607866</v>
      </c>
      <c r="F40" s="378">
        <f>M16*'indice PIL pro capite'!$C$13</f>
        <v>328.18207742563305</v>
      </c>
      <c r="G40" s="378">
        <f t="shared" si="4"/>
        <v>632.10877909171177</v>
      </c>
      <c r="H40" s="171"/>
    </row>
    <row r="41" spans="1:10" ht="18.600000000000001" thickBot="1" x14ac:dyDescent="0.4">
      <c r="A41" s="161" t="s">
        <v>1173</v>
      </c>
      <c r="B41" s="162">
        <f>SUM(B33:B40)</f>
        <v>0</v>
      </c>
      <c r="C41" s="174">
        <f>SUM(C33:C40)</f>
        <v>3335.06</v>
      </c>
      <c r="D41" s="379">
        <f>SUM(D33:D40)</f>
        <v>8356.76</v>
      </c>
      <c r="E41" s="436">
        <f>1000000*C41/'PITESAI tipi ecosistemi Italia'!B60</f>
        <v>110.67505591727561</v>
      </c>
      <c r="F41" s="707">
        <f>M17*'indice PIL pro capite'!$C$13</f>
        <v>280.13782414173352</v>
      </c>
      <c r="G41" s="436">
        <f t="shared" si="4"/>
        <v>390.8128800590091</v>
      </c>
      <c r="H41" s="172"/>
    </row>
    <row r="42" spans="1:10" ht="41.4" x14ac:dyDescent="0.3">
      <c r="A42" s="437" t="s">
        <v>1175</v>
      </c>
      <c r="F42" s="485" t="s">
        <v>1421</v>
      </c>
      <c r="G42" s="19">
        <v>0</v>
      </c>
    </row>
    <row r="45" spans="1:10" ht="15.6" x14ac:dyDescent="0.3">
      <c r="A45" s="253" t="s">
        <v>2006</v>
      </c>
      <c r="B45" s="91"/>
      <c r="C45" s="91"/>
      <c r="D45" s="91"/>
      <c r="E45" s="91"/>
      <c r="F45" s="91"/>
      <c r="G45" s="91"/>
    </row>
    <row r="46" spans="1:10" ht="55.2" x14ac:dyDescent="0.3">
      <c r="A46" s="428" t="s">
        <v>174</v>
      </c>
      <c r="B46" s="429" t="s">
        <v>129</v>
      </c>
      <c r="C46" s="430" t="s">
        <v>1168</v>
      </c>
      <c r="D46" s="430" t="s">
        <v>1140</v>
      </c>
      <c r="E46" s="430" t="s">
        <v>1141</v>
      </c>
      <c r="F46" s="430" t="s">
        <v>1142</v>
      </c>
      <c r="G46" s="429" t="s">
        <v>133</v>
      </c>
      <c r="H46" s="429" t="s">
        <v>134</v>
      </c>
      <c r="I46" s="430" t="s">
        <v>1165</v>
      </c>
      <c r="J46" s="430" t="s">
        <v>1166</v>
      </c>
    </row>
    <row r="47" spans="1:10" x14ac:dyDescent="0.3">
      <c r="A47" s="431" t="s">
        <v>1167</v>
      </c>
      <c r="B47" s="546">
        <f>$G$33</f>
        <v>347.42798863225926</v>
      </c>
      <c r="C47" s="432">
        <f>-$G$33+$G$34</f>
        <v>-107.65909533843856</v>
      </c>
      <c r="D47" s="432">
        <f>-$G$33+$G$35</f>
        <v>214.84401063089354</v>
      </c>
      <c r="E47" s="432">
        <f>-$G$33+$G$36</f>
        <v>124.78839821086808</v>
      </c>
      <c r="F47" s="432">
        <f>-$G$33+$G$37</f>
        <v>277.48747233554229</v>
      </c>
      <c r="G47" s="432">
        <f>-$G$33+$G$38</f>
        <v>-110.26886960876149</v>
      </c>
      <c r="H47" s="432">
        <f>-$G$33+$G$39</f>
        <v>-146.54727355420144</v>
      </c>
      <c r="I47" s="432">
        <f>-$G$33+$G$40</f>
        <v>284.68079045945251</v>
      </c>
      <c r="J47" s="432">
        <f>-$G$33+$G$42</f>
        <v>-347.42798863225926</v>
      </c>
    </row>
    <row r="48" spans="1:10" ht="28.2" x14ac:dyDescent="0.3">
      <c r="A48" s="431" t="s">
        <v>1168</v>
      </c>
      <c r="B48" s="432">
        <f>-$G$34+$G$33</f>
        <v>107.65909533843856</v>
      </c>
      <c r="C48" s="546">
        <f>$G$34</f>
        <v>239.7688932938207</v>
      </c>
      <c r="D48" s="432">
        <f>-$G$34+$G$35</f>
        <v>322.50310596933207</v>
      </c>
      <c r="E48" s="432">
        <f>-$G$34+$G$36</f>
        <v>232.44749354930664</v>
      </c>
      <c r="F48" s="432">
        <f>-$G$34+$G$37</f>
        <v>385.14656767398083</v>
      </c>
      <c r="G48" s="432">
        <f>-$G$34+$G$38</f>
        <v>-2.6097742703229301</v>
      </c>
      <c r="H48" s="432">
        <f>-$G$34+$G$39</f>
        <v>-38.888178215762878</v>
      </c>
      <c r="I48" s="432">
        <f>-$G$34+$G$40</f>
        <v>392.33988579789104</v>
      </c>
      <c r="J48" s="432">
        <f>-$G$34+$G$42</f>
        <v>-239.7688932938207</v>
      </c>
    </row>
    <row r="49" spans="1:11" ht="31.5" customHeight="1" x14ac:dyDescent="0.3">
      <c r="A49" s="431" t="s">
        <v>1140</v>
      </c>
      <c r="B49" s="432">
        <f>-$G$35+$G$33</f>
        <v>-214.84401063089354</v>
      </c>
      <c r="C49" s="432">
        <f>-$G$35+$G$34</f>
        <v>-322.50310596933207</v>
      </c>
      <c r="D49" s="546">
        <f>$G$35</f>
        <v>562.27199926315279</v>
      </c>
      <c r="E49" s="432">
        <f>-$G$35+$G$36</f>
        <v>-90.055612420025454</v>
      </c>
      <c r="F49" s="432">
        <f>-$G$35+$G$37</f>
        <v>62.643461704648757</v>
      </c>
      <c r="G49" s="432">
        <f>-$G$35+$G$38</f>
        <v>-325.11288023965506</v>
      </c>
      <c r="H49" s="432">
        <f>-$G$35+$G$39</f>
        <v>-361.39128418509495</v>
      </c>
      <c r="I49" s="432">
        <f>-$G$35+$G$40</f>
        <v>69.836779828558974</v>
      </c>
      <c r="J49" s="432">
        <f>-$G$35+$G$42</f>
        <v>-562.27199926315279</v>
      </c>
    </row>
    <row r="50" spans="1:11" ht="31.5" customHeight="1" x14ac:dyDescent="0.3">
      <c r="A50" s="431" t="s">
        <v>1141</v>
      </c>
      <c r="B50" s="432">
        <f>-$G$36+$G$33</f>
        <v>-124.78839821086808</v>
      </c>
      <c r="C50" s="432">
        <f>-$G$36+$G$34</f>
        <v>-232.44749354930664</v>
      </c>
      <c r="D50" s="432">
        <f>-$G$36+$G$35</f>
        <v>90.055612420025454</v>
      </c>
      <c r="E50" s="546">
        <f>$G$36</f>
        <v>472.21638684312734</v>
      </c>
      <c r="F50" s="432">
        <f>-$G$36+$G$37</f>
        <v>152.69907412467421</v>
      </c>
      <c r="G50" s="432">
        <f>-$G$36+$G$38</f>
        <v>-235.05726781962957</v>
      </c>
      <c r="H50" s="432">
        <f>-$G$36+$G$39</f>
        <v>-271.33567176506949</v>
      </c>
      <c r="I50" s="432">
        <f>-$G$36+$G$40</f>
        <v>159.89239224858443</v>
      </c>
      <c r="J50" s="432">
        <f>-$G$36+$G$42</f>
        <v>-472.21638684312734</v>
      </c>
    </row>
    <row r="51" spans="1:11" ht="28.2" x14ac:dyDescent="0.3">
      <c r="A51" s="431" t="s">
        <v>1142</v>
      </c>
      <c r="B51" s="432">
        <f>-$G$37+$G$33</f>
        <v>-277.48747233554229</v>
      </c>
      <c r="C51" s="432">
        <f>-$G$37+$G$34</f>
        <v>-385.14656767398083</v>
      </c>
      <c r="D51" s="432">
        <f>-$G$37+$G$35</f>
        <v>-62.643461704648757</v>
      </c>
      <c r="E51" s="432">
        <f>-$G$37+$G$36</f>
        <v>-152.69907412467421</v>
      </c>
      <c r="F51" s="546">
        <f>$G$37</f>
        <v>624.91546096780155</v>
      </c>
      <c r="G51" s="432">
        <f>-$G$37+$G$38</f>
        <v>-387.75634194430381</v>
      </c>
      <c r="H51" s="432">
        <f>-$G$37+$G$39</f>
        <v>-424.0347458897437</v>
      </c>
      <c r="I51" s="432">
        <f>-$G$37+$G$40</f>
        <v>7.1933181239102169</v>
      </c>
      <c r="J51" s="432">
        <f>-$G$37+$G$42</f>
        <v>-624.91546096780155</v>
      </c>
    </row>
    <row r="52" spans="1:11" x14ac:dyDescent="0.3">
      <c r="A52" s="431" t="s">
        <v>133</v>
      </c>
      <c r="B52" s="432">
        <f>-$G$38+$G$33</f>
        <v>110.26886960876149</v>
      </c>
      <c r="C52" s="432">
        <f>-$G$38+$G$34</f>
        <v>2.6097742703229301</v>
      </c>
      <c r="D52" s="432">
        <f>-$G$38+$G$35</f>
        <v>325.11288023965506</v>
      </c>
      <c r="E52" s="432">
        <f>-$G$38+$G$36</f>
        <v>235.05726781962957</v>
      </c>
      <c r="F52" s="432">
        <f>-$G$38+$G$37</f>
        <v>387.75634194430381</v>
      </c>
      <c r="G52" s="546">
        <f>$G$38</f>
        <v>237.15911902349777</v>
      </c>
      <c r="H52" s="432">
        <f>-$G$38+$G$39</f>
        <v>-36.278403945439948</v>
      </c>
      <c r="I52" s="432">
        <f>-$G$38+$G$40</f>
        <v>394.94966006821403</v>
      </c>
      <c r="J52" s="432">
        <f>-$G$38+$G$42</f>
        <v>-237.15911902349777</v>
      </c>
    </row>
    <row r="53" spans="1:11" x14ac:dyDescent="0.3">
      <c r="A53" s="431" t="s">
        <v>134</v>
      </c>
      <c r="B53" s="432">
        <f>-$G$39+$G$33</f>
        <v>146.54727355420144</v>
      </c>
      <c r="C53" s="432">
        <f>-$G$39+$G$34</f>
        <v>38.888178215762878</v>
      </c>
      <c r="D53" s="432">
        <f>-$G$39+$G$35</f>
        <v>361.39128418509495</v>
      </c>
      <c r="E53" s="432">
        <f>-$G$39+$G$36</f>
        <v>271.33567176506949</v>
      </c>
      <c r="F53" s="432">
        <f>-$G$39+$G$37</f>
        <v>424.0347458897437</v>
      </c>
      <c r="G53" s="432">
        <f>-$G$39+$G$38</f>
        <v>36.278403945439948</v>
      </c>
      <c r="H53" s="546">
        <f>$G$39</f>
        <v>200.88071507805782</v>
      </c>
      <c r="I53" s="432">
        <f>-$G$39+$G$40</f>
        <v>431.22806401365392</v>
      </c>
      <c r="J53" s="432">
        <f>-$G$39+$G$42</f>
        <v>-200.88071507805782</v>
      </c>
    </row>
    <row r="54" spans="1:11" ht="41.4" customHeight="1" x14ac:dyDescent="0.3">
      <c r="A54" s="786" t="s">
        <v>2081</v>
      </c>
      <c r="B54" s="432">
        <f>-$G$40+$G$33</f>
        <v>-284.68079045945251</v>
      </c>
      <c r="C54" s="432">
        <f>-$G$40+$G$34</f>
        <v>-392.33988579789104</v>
      </c>
      <c r="D54" s="432">
        <f>-$G$40+$G$35</f>
        <v>-69.836779828558974</v>
      </c>
      <c r="E54" s="432">
        <f>-$G$40+$G$36</f>
        <v>-159.89239224858443</v>
      </c>
      <c r="F54" s="432">
        <f>-$G$40+$G$37</f>
        <v>-7.1933181239102169</v>
      </c>
      <c r="G54" s="432">
        <f>-$G$40+$G$38</f>
        <v>-394.94966006821403</v>
      </c>
      <c r="H54" s="432">
        <f>-$G$40+$G$39</f>
        <v>-431.22806401365392</v>
      </c>
      <c r="I54" s="546">
        <f>$G$40</f>
        <v>632.10877909171177</v>
      </c>
      <c r="J54" s="432">
        <f>-$G$40+$G$42</f>
        <v>-632.10877909171177</v>
      </c>
    </row>
    <row r="55" spans="1:11" ht="28.5" customHeight="1" x14ac:dyDescent="0.3">
      <c r="A55" s="431" t="s">
        <v>1166</v>
      </c>
      <c r="B55" s="432">
        <f>-$G$42+$G$33</f>
        <v>347.42798863225926</v>
      </c>
      <c r="C55" s="432">
        <f>-$G$42+$G$34</f>
        <v>239.7688932938207</v>
      </c>
      <c r="D55" s="432">
        <f>-$G$42+$G$35</f>
        <v>562.27199926315279</v>
      </c>
      <c r="E55" s="432">
        <f>-$G$42+$G$36</f>
        <v>472.21638684312734</v>
      </c>
      <c r="F55" s="432">
        <f>-$G$42+$G$37</f>
        <v>624.91546096780155</v>
      </c>
      <c r="G55" s="432">
        <f>-$G$42+$G$38</f>
        <v>237.15911902349777</v>
      </c>
      <c r="H55" s="432">
        <f>-$G$42+$G$39</f>
        <v>200.88071507805782</v>
      </c>
      <c r="I55" s="432">
        <f>-$G$42+$G$40</f>
        <v>632.10877909171177</v>
      </c>
      <c r="J55" s="546">
        <f>$G$42</f>
        <v>0</v>
      </c>
    </row>
    <row r="58" spans="1:11" x14ac:dyDescent="0.3">
      <c r="A58" s="581" t="s">
        <v>2115</v>
      </c>
    </row>
    <row r="59" spans="1:11" ht="57.6" x14ac:dyDescent="0.3">
      <c r="A59" s="21"/>
      <c r="B59" s="433" t="s">
        <v>1477</v>
      </c>
      <c r="C59" s="76" t="s">
        <v>1053</v>
      </c>
      <c r="D59" s="76" t="s">
        <v>1478</v>
      </c>
      <c r="E59" s="76" t="s">
        <v>1479</v>
      </c>
      <c r="F59" s="583" t="s">
        <v>1480</v>
      </c>
      <c r="G59" s="583" t="s">
        <v>1482</v>
      </c>
      <c r="H59" s="76" t="s">
        <v>1059</v>
      </c>
      <c r="I59" s="76" t="s">
        <v>1056</v>
      </c>
      <c r="J59" s="76" t="s">
        <v>1481</v>
      </c>
      <c r="K59" s="814" t="s">
        <v>2082</v>
      </c>
    </row>
    <row r="60" spans="1:11" x14ac:dyDescent="0.3">
      <c r="A60" s="32" t="s">
        <v>429</v>
      </c>
      <c r="B60" s="816">
        <v>196</v>
      </c>
      <c r="C60" s="584">
        <f>F51</f>
        <v>624.91546096780155</v>
      </c>
      <c r="D60" s="584">
        <f>C48</f>
        <v>239.7688932938207</v>
      </c>
      <c r="E60" s="584">
        <f>D49</f>
        <v>562.27199926315279</v>
      </c>
      <c r="F60" s="32">
        <v>0</v>
      </c>
      <c r="G60" s="584">
        <f>G52</f>
        <v>237.15911902349777</v>
      </c>
      <c r="H60" s="584">
        <f>E50</f>
        <v>472.21638684312734</v>
      </c>
      <c r="I60" s="584">
        <f>I54</f>
        <v>632.10877909171177</v>
      </c>
      <c r="J60" s="584">
        <f>I54</f>
        <v>632.10877909171177</v>
      </c>
      <c r="K60" s="815">
        <f>B60/$B$60</f>
        <v>1</v>
      </c>
    </row>
    <row r="61" spans="1:11" x14ac:dyDescent="0.3">
      <c r="A61" s="21" t="s">
        <v>498</v>
      </c>
      <c r="B61" s="433">
        <v>54</v>
      </c>
      <c r="C61" s="78">
        <f>C$60*$B61/$B$60</f>
        <v>172.17058618500656</v>
      </c>
      <c r="D61" s="504">
        <f>D$60*$B61/$B$60</f>
        <v>66.058776723807739</v>
      </c>
      <c r="E61" s="504">
        <f t="shared" ref="E61:J72" si="5">E$60*$B61/$B$60</f>
        <v>154.91167326637881</v>
      </c>
      <c r="F61" s="504">
        <f t="shared" si="5"/>
        <v>0</v>
      </c>
      <c r="G61" s="504">
        <f t="shared" si="5"/>
        <v>65.339757281984078</v>
      </c>
      <c r="H61" s="504">
        <f t="shared" si="5"/>
        <v>130.10043310984119</v>
      </c>
      <c r="I61" s="504">
        <f t="shared" si="5"/>
        <v>174.15241872934917</v>
      </c>
      <c r="J61" s="504">
        <f t="shared" si="5"/>
        <v>174.15241872934917</v>
      </c>
      <c r="K61" s="815">
        <f t="shared" ref="K61:K72" si="6">B61/$B$60</f>
        <v>0.27551020408163263</v>
      </c>
    </row>
    <row r="62" spans="1:11" x14ac:dyDescent="0.3">
      <c r="A62" s="21" t="s">
        <v>1454</v>
      </c>
      <c r="B62" s="433">
        <v>198</v>
      </c>
      <c r="C62" s="504">
        <f>C$60*$B62/$B$60</f>
        <v>631.29214934502397</v>
      </c>
      <c r="D62" s="504">
        <f t="shared" ref="D62:D72" si="7">D$60*$B62/$B$60</f>
        <v>242.21551465396172</v>
      </c>
      <c r="E62" s="504">
        <f t="shared" si="5"/>
        <v>568.00946864338903</v>
      </c>
      <c r="F62" s="504">
        <f t="shared" si="5"/>
        <v>0</v>
      </c>
      <c r="G62" s="504">
        <f t="shared" si="5"/>
        <v>239.57911003394162</v>
      </c>
      <c r="H62" s="504">
        <f t="shared" si="5"/>
        <v>477.03492140275114</v>
      </c>
      <c r="I62" s="504">
        <f t="shared" si="5"/>
        <v>638.55886867428035</v>
      </c>
      <c r="J62" s="504">
        <f t="shared" si="5"/>
        <v>638.55886867428035</v>
      </c>
      <c r="K62" s="815">
        <f t="shared" si="6"/>
        <v>1.010204081632653</v>
      </c>
    </row>
    <row r="63" spans="1:11" x14ac:dyDescent="0.3">
      <c r="A63" s="21" t="s">
        <v>1467</v>
      </c>
      <c r="B63" s="433">
        <v>160</v>
      </c>
      <c r="C63" s="504">
        <f>C$60*$B63/$B$60</f>
        <v>510.13507017779722</v>
      </c>
      <c r="D63" s="504">
        <f t="shared" si="7"/>
        <v>195.72970881128219</v>
      </c>
      <c r="E63" s="504">
        <f t="shared" si="5"/>
        <v>458.99755041890023</v>
      </c>
      <c r="F63" s="504">
        <f t="shared" si="5"/>
        <v>0</v>
      </c>
      <c r="G63" s="504">
        <f t="shared" si="5"/>
        <v>193.59928083550838</v>
      </c>
      <c r="H63" s="504">
        <f t="shared" si="5"/>
        <v>385.48276476989986</v>
      </c>
      <c r="I63" s="504">
        <f t="shared" si="5"/>
        <v>516.00716660547903</v>
      </c>
      <c r="J63" s="504">
        <f t="shared" si="5"/>
        <v>516.00716660547903</v>
      </c>
      <c r="K63" s="815">
        <f t="shared" si="6"/>
        <v>0.81632653061224492</v>
      </c>
    </row>
    <row r="64" spans="1:11" x14ac:dyDescent="0.3">
      <c r="A64" s="21" t="s">
        <v>1464</v>
      </c>
      <c r="B64" s="433">
        <v>119</v>
      </c>
      <c r="C64" s="504">
        <f t="shared" ref="C64:C72" si="8">C$60*$B64/$B$60</f>
        <v>379.41295844473666</v>
      </c>
      <c r="D64" s="504">
        <f t="shared" si="7"/>
        <v>145.57397092839113</v>
      </c>
      <c r="E64" s="504">
        <f t="shared" si="5"/>
        <v>341.37942812405703</v>
      </c>
      <c r="F64" s="504">
        <f t="shared" si="5"/>
        <v>0</v>
      </c>
      <c r="G64" s="504">
        <f t="shared" si="5"/>
        <v>143.98946512140935</v>
      </c>
      <c r="H64" s="504">
        <f t="shared" si="5"/>
        <v>286.70280629761299</v>
      </c>
      <c r="I64" s="504">
        <f t="shared" si="5"/>
        <v>383.78033016282501</v>
      </c>
      <c r="J64" s="504">
        <f t="shared" si="5"/>
        <v>383.78033016282501</v>
      </c>
      <c r="K64" s="815">
        <f t="shared" si="6"/>
        <v>0.6071428571428571</v>
      </c>
    </row>
    <row r="65" spans="1:11" x14ac:dyDescent="0.3">
      <c r="A65" s="21" t="s">
        <v>1465</v>
      </c>
      <c r="B65" s="433">
        <v>332</v>
      </c>
      <c r="C65" s="504">
        <f t="shared" si="8"/>
        <v>1058.5302706189291</v>
      </c>
      <c r="D65" s="504">
        <f t="shared" si="7"/>
        <v>406.13914578341058</v>
      </c>
      <c r="E65" s="504">
        <f t="shared" si="5"/>
        <v>952.4199171192181</v>
      </c>
      <c r="F65" s="504">
        <f t="shared" si="5"/>
        <v>0</v>
      </c>
      <c r="G65" s="504">
        <f t="shared" si="5"/>
        <v>401.71850773367987</v>
      </c>
      <c r="H65" s="504">
        <f t="shared" si="5"/>
        <v>799.87673689754217</v>
      </c>
      <c r="I65" s="504">
        <f t="shared" si="5"/>
        <v>1070.7148707063691</v>
      </c>
      <c r="J65" s="504">
        <f t="shared" si="5"/>
        <v>1070.7148707063691</v>
      </c>
      <c r="K65" s="815">
        <f t="shared" si="6"/>
        <v>1.6938775510204083</v>
      </c>
    </row>
    <row r="66" spans="1:11" x14ac:dyDescent="0.3">
      <c r="A66" s="21" t="s">
        <v>1466</v>
      </c>
      <c r="B66" s="433">
        <v>160</v>
      </c>
      <c r="C66" s="504">
        <f t="shared" si="8"/>
        <v>510.13507017779722</v>
      </c>
      <c r="D66" s="504">
        <f t="shared" si="7"/>
        <v>195.72970881128219</v>
      </c>
      <c r="E66" s="504">
        <f t="shared" si="5"/>
        <v>458.99755041890023</v>
      </c>
      <c r="F66" s="504">
        <f t="shared" si="5"/>
        <v>0</v>
      </c>
      <c r="G66" s="504">
        <f t="shared" si="5"/>
        <v>193.59928083550838</v>
      </c>
      <c r="H66" s="504">
        <f t="shared" si="5"/>
        <v>385.48276476989986</v>
      </c>
      <c r="I66" s="504">
        <f t="shared" si="5"/>
        <v>516.00716660547903</v>
      </c>
      <c r="J66" s="504">
        <f t="shared" si="5"/>
        <v>516.00716660547903</v>
      </c>
      <c r="K66" s="815">
        <f t="shared" si="6"/>
        <v>0.81632653061224492</v>
      </c>
    </row>
    <row r="67" spans="1:11" x14ac:dyDescent="0.3">
      <c r="A67" s="21" t="s">
        <v>1463</v>
      </c>
      <c r="B67" s="433">
        <v>66</v>
      </c>
      <c r="C67" s="504">
        <f t="shared" si="8"/>
        <v>210.43071644834134</v>
      </c>
      <c r="D67" s="504">
        <f t="shared" si="7"/>
        <v>80.738504884653906</v>
      </c>
      <c r="E67" s="504">
        <f t="shared" si="5"/>
        <v>189.33648954779636</v>
      </c>
      <c r="F67" s="504">
        <f t="shared" si="5"/>
        <v>0</v>
      </c>
      <c r="G67" s="504">
        <f t="shared" si="5"/>
        <v>79.859703344647201</v>
      </c>
      <c r="H67" s="504">
        <f t="shared" si="5"/>
        <v>159.0116404675837</v>
      </c>
      <c r="I67" s="504">
        <f t="shared" si="5"/>
        <v>212.85295622476008</v>
      </c>
      <c r="J67" s="504">
        <f t="shared" si="5"/>
        <v>212.85295622476008</v>
      </c>
      <c r="K67" s="815">
        <f t="shared" si="6"/>
        <v>0.33673469387755101</v>
      </c>
    </row>
    <row r="68" spans="1:11" x14ac:dyDescent="0.3">
      <c r="A68" s="21" t="s">
        <v>1468</v>
      </c>
      <c r="B68" s="433">
        <v>123</v>
      </c>
      <c r="C68" s="504">
        <f t="shared" si="8"/>
        <v>392.16633519918156</v>
      </c>
      <c r="D68" s="504">
        <f t="shared" si="7"/>
        <v>150.46721364867318</v>
      </c>
      <c r="E68" s="504">
        <f t="shared" si="5"/>
        <v>352.85436688452955</v>
      </c>
      <c r="F68" s="504">
        <f t="shared" si="5"/>
        <v>0</v>
      </c>
      <c r="G68" s="504">
        <f t="shared" si="5"/>
        <v>148.82944714229708</v>
      </c>
      <c r="H68" s="504">
        <f t="shared" si="5"/>
        <v>296.33987541686054</v>
      </c>
      <c r="I68" s="504">
        <f t="shared" si="5"/>
        <v>396.680509327962</v>
      </c>
      <c r="J68" s="504">
        <f t="shared" si="5"/>
        <v>396.680509327962</v>
      </c>
      <c r="K68" s="815">
        <f t="shared" si="6"/>
        <v>0.62755102040816324</v>
      </c>
    </row>
    <row r="69" spans="1:11" x14ac:dyDescent="0.3">
      <c r="A69" s="21" t="s">
        <v>1469</v>
      </c>
      <c r="B69" s="433">
        <v>201</v>
      </c>
      <c r="C69" s="504">
        <f t="shared" si="8"/>
        <v>640.85718191085766</v>
      </c>
      <c r="D69" s="504">
        <f t="shared" si="7"/>
        <v>245.88544669417325</v>
      </c>
      <c r="E69" s="504">
        <f t="shared" si="5"/>
        <v>576.61567271374338</v>
      </c>
      <c r="F69" s="504">
        <f t="shared" si="5"/>
        <v>0</v>
      </c>
      <c r="G69" s="504">
        <f t="shared" si="5"/>
        <v>243.20909654960741</v>
      </c>
      <c r="H69" s="504">
        <f t="shared" si="5"/>
        <v>484.26272324218667</v>
      </c>
      <c r="I69" s="504">
        <f t="shared" si="5"/>
        <v>648.23400304813299</v>
      </c>
      <c r="J69" s="504">
        <f t="shared" si="5"/>
        <v>648.23400304813299</v>
      </c>
      <c r="K69" s="815">
        <f t="shared" si="6"/>
        <v>1.0255102040816326</v>
      </c>
    </row>
    <row r="70" spans="1:11" x14ac:dyDescent="0.3">
      <c r="A70" s="21" t="s">
        <v>1460</v>
      </c>
      <c r="B70" s="433">
        <v>418</v>
      </c>
      <c r="C70" s="504">
        <f t="shared" si="8"/>
        <v>1332.7278708394952</v>
      </c>
      <c r="D70" s="504">
        <f t="shared" si="7"/>
        <v>511.34386426947475</v>
      </c>
      <c r="E70" s="504">
        <f t="shared" si="5"/>
        <v>1199.1311004693769</v>
      </c>
      <c r="F70" s="504">
        <f t="shared" si="5"/>
        <v>0</v>
      </c>
      <c r="G70" s="504">
        <f t="shared" si="5"/>
        <v>505.77812118276563</v>
      </c>
      <c r="H70" s="504">
        <f t="shared" si="5"/>
        <v>1007.0737229613635</v>
      </c>
      <c r="I70" s="504">
        <f t="shared" si="5"/>
        <v>1348.0687227568139</v>
      </c>
      <c r="J70" s="504">
        <f t="shared" si="5"/>
        <v>1348.0687227568139</v>
      </c>
      <c r="K70" s="815">
        <f t="shared" si="6"/>
        <v>2.1326530612244898</v>
      </c>
    </row>
    <row r="71" spans="1:11" x14ac:dyDescent="0.3">
      <c r="A71" s="21" t="s">
        <v>1461</v>
      </c>
      <c r="B71" s="433">
        <v>265</v>
      </c>
      <c r="C71" s="504">
        <f t="shared" si="8"/>
        <v>844.91120998197664</v>
      </c>
      <c r="D71" s="504">
        <f t="shared" si="7"/>
        <v>324.17733021868617</v>
      </c>
      <c r="E71" s="504">
        <f t="shared" si="5"/>
        <v>760.21469288130356</v>
      </c>
      <c r="F71" s="504">
        <f t="shared" si="5"/>
        <v>0</v>
      </c>
      <c r="G71" s="504">
        <f t="shared" si="5"/>
        <v>320.64880888381077</v>
      </c>
      <c r="H71" s="504">
        <f t="shared" si="5"/>
        <v>638.45582915014666</v>
      </c>
      <c r="I71" s="504">
        <f t="shared" si="5"/>
        <v>854.6368696903246</v>
      </c>
      <c r="J71" s="504">
        <f t="shared" si="5"/>
        <v>854.6368696903246</v>
      </c>
      <c r="K71" s="815">
        <f t="shared" si="6"/>
        <v>1.3520408163265305</v>
      </c>
    </row>
    <row r="72" spans="1:11" x14ac:dyDescent="0.3">
      <c r="A72" s="21" t="s">
        <v>1584</v>
      </c>
      <c r="B72" s="433">
        <v>168</v>
      </c>
      <c r="C72" s="504">
        <f t="shared" si="8"/>
        <v>535.64182368668708</v>
      </c>
      <c r="D72" s="504">
        <f t="shared" si="7"/>
        <v>205.51619425184631</v>
      </c>
      <c r="E72" s="504">
        <f t="shared" si="5"/>
        <v>481.94742793984528</v>
      </c>
      <c r="F72" s="504">
        <f t="shared" si="5"/>
        <v>0</v>
      </c>
      <c r="G72" s="504">
        <f t="shared" si="5"/>
        <v>203.27924487728379</v>
      </c>
      <c r="H72" s="504">
        <f t="shared" si="5"/>
        <v>404.75690300839489</v>
      </c>
      <c r="I72" s="504">
        <f t="shared" si="5"/>
        <v>541.80752493575289</v>
      </c>
      <c r="J72" s="504">
        <f t="shared" si="5"/>
        <v>541.80752493575289</v>
      </c>
      <c r="K72" s="815">
        <f t="shared" si="6"/>
        <v>0.8571428571428571</v>
      </c>
    </row>
    <row r="73" spans="1:11" x14ac:dyDescent="0.3">
      <c r="A73" t="s">
        <v>1475</v>
      </c>
    </row>
    <row r="74" spans="1:11" x14ac:dyDescent="0.3">
      <c r="A74" s="651" t="s">
        <v>1476</v>
      </c>
    </row>
  </sheetData>
  <mergeCells count="6">
    <mergeCell ref="A29:J29"/>
    <mergeCell ref="A3:K3"/>
    <mergeCell ref="A26:J26"/>
    <mergeCell ref="A24:J24"/>
    <mergeCell ref="A22:J22"/>
    <mergeCell ref="A27:J27"/>
  </mergeCells>
  <hyperlinks>
    <hyperlink ref="A74" r:id="rId1" xr:uid="{15D92C34-4139-4722-AD7F-E501720ED6EE}"/>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7D353-3DCE-4201-AB53-A2CE744F14A2}">
  <dimension ref="A1:J71"/>
  <sheetViews>
    <sheetView topLeftCell="A19" workbookViewId="0">
      <selection activeCell="A35" sqref="A35"/>
    </sheetView>
  </sheetViews>
  <sheetFormatPr defaultRowHeight="14.4" x14ac:dyDescent="0.3"/>
  <cols>
    <col min="1" max="1" width="41" customWidth="1"/>
    <col min="2" max="2" width="15.6640625" customWidth="1"/>
    <col min="3" max="3" width="14.33203125" bestFit="1" customWidth="1"/>
    <col min="4" max="4" width="15.33203125" bestFit="1" customWidth="1"/>
    <col min="5" max="5" width="17" customWidth="1"/>
    <col min="6" max="6" width="25.44140625" customWidth="1"/>
    <col min="8" max="8" width="13.109375" bestFit="1" customWidth="1"/>
    <col min="9" max="9" width="9.44140625" bestFit="1" customWidth="1"/>
    <col min="10" max="10" width="11" bestFit="1" customWidth="1"/>
  </cols>
  <sheetData>
    <row r="1" spans="1:8" x14ac:dyDescent="0.3">
      <c r="A1" s="19" t="s">
        <v>426</v>
      </c>
      <c r="D1" s="59" t="s">
        <v>2349</v>
      </c>
      <c r="E1" s="59"/>
      <c r="F1" s="59"/>
    </row>
    <row r="2" spans="1:8" x14ac:dyDescent="0.3">
      <c r="A2" s="21"/>
      <c r="B2" s="21" t="s">
        <v>136</v>
      </c>
      <c r="C2" s="85" t="s">
        <v>138</v>
      </c>
    </row>
    <row r="3" spans="1:8" x14ac:dyDescent="0.3">
      <c r="A3" s="21" t="s">
        <v>129</v>
      </c>
      <c r="B3" s="81">
        <v>7875</v>
      </c>
      <c r="C3" s="82">
        <f>B3/100</f>
        <v>78.75</v>
      </c>
      <c r="D3" s="53">
        <f>567000000/10000</f>
        <v>56700</v>
      </c>
      <c r="E3" t="s">
        <v>141</v>
      </c>
      <c r="F3">
        <f>D3/B3</f>
        <v>7.2</v>
      </c>
    </row>
    <row r="4" spans="1:8" ht="16.8" x14ac:dyDescent="0.3">
      <c r="A4" s="21" t="s">
        <v>139</v>
      </c>
      <c r="B4" s="81">
        <v>14155164</v>
      </c>
      <c r="C4" s="82">
        <f t="shared" ref="C4:C11" si="0">B4/100</f>
        <v>141551.64000000001</v>
      </c>
      <c r="D4" s="80">
        <v>16678296</v>
      </c>
      <c r="E4" s="80">
        <v>12425995</v>
      </c>
      <c r="F4" s="53">
        <v>12598161</v>
      </c>
    </row>
    <row r="5" spans="1:8" x14ac:dyDescent="0.3">
      <c r="A5" s="21" t="s">
        <v>130</v>
      </c>
      <c r="B5" s="81">
        <v>2112489</v>
      </c>
      <c r="C5" s="82">
        <f t="shared" si="0"/>
        <v>21124.89</v>
      </c>
      <c r="D5" s="389" t="s">
        <v>130</v>
      </c>
      <c r="E5" s="399">
        <f>B5/(B5+B6+B7)</f>
        <v>0.1403700246208644</v>
      </c>
    </row>
    <row r="6" spans="1:8" x14ac:dyDescent="0.3">
      <c r="A6" s="21" t="s">
        <v>131</v>
      </c>
      <c r="B6" s="81">
        <v>2307123</v>
      </c>
      <c r="C6" s="82">
        <f t="shared" si="0"/>
        <v>23071.23</v>
      </c>
      <c r="D6" s="389" t="s">
        <v>131</v>
      </c>
      <c r="E6" s="399">
        <f>B6/(B5+B6+B7)</f>
        <v>0.15330300527641211</v>
      </c>
    </row>
    <row r="7" spans="1:8" x14ac:dyDescent="0.3">
      <c r="A7" s="21" t="s">
        <v>132</v>
      </c>
      <c r="B7" s="81">
        <v>10629819</v>
      </c>
      <c r="C7" s="82">
        <f t="shared" si="0"/>
        <v>106298.19</v>
      </c>
      <c r="D7" s="389" t="s">
        <v>132</v>
      </c>
      <c r="E7" s="399">
        <f>B7/(B5+B6+B7)</f>
        <v>0.70632697010272349</v>
      </c>
    </row>
    <row r="8" spans="1:8" x14ac:dyDescent="0.3">
      <c r="A8" s="21" t="s">
        <v>133</v>
      </c>
      <c r="B8" s="81">
        <v>88029</v>
      </c>
      <c r="C8" s="82">
        <f t="shared" si="0"/>
        <v>880.29</v>
      </c>
      <c r="D8" s="400"/>
      <c r="E8" s="399">
        <f>SUM(E5:E7)</f>
        <v>1</v>
      </c>
    </row>
    <row r="9" spans="1:8" x14ac:dyDescent="0.3">
      <c r="A9" s="21" t="s">
        <v>134</v>
      </c>
      <c r="B9" s="81">
        <v>248274</v>
      </c>
      <c r="C9" s="82">
        <f t="shared" si="0"/>
        <v>2482.7399999999998</v>
      </c>
      <c r="D9" s="389"/>
      <c r="E9" s="395">
        <f>(B5+B6+B7)-B25</f>
        <v>14819448</v>
      </c>
      <c r="F9" t="s">
        <v>1139</v>
      </c>
      <c r="H9" s="385">
        <f>B22+B23+B24+B25</f>
        <v>15049431</v>
      </c>
    </row>
    <row r="10" spans="1:8" ht="43.2" x14ac:dyDescent="0.3">
      <c r="A10" s="33" t="s">
        <v>135</v>
      </c>
      <c r="B10" s="81">
        <v>852804</v>
      </c>
      <c r="C10" s="82">
        <f t="shared" si="0"/>
        <v>8528.0400000000009</v>
      </c>
      <c r="D10" s="388">
        <v>7.6399999999999996E-2</v>
      </c>
      <c r="E10" s="387" t="s">
        <v>1131</v>
      </c>
      <c r="F10" s="387"/>
      <c r="G10" s="387"/>
      <c r="H10" s="387"/>
    </row>
    <row r="11" spans="1:8" x14ac:dyDescent="0.3">
      <c r="A11" s="21" t="s">
        <v>137</v>
      </c>
      <c r="B11" s="82">
        <f>SUM(B3:B10)</f>
        <v>30401577</v>
      </c>
      <c r="C11" s="82">
        <f t="shared" si="0"/>
        <v>304015.77</v>
      </c>
      <c r="D11" t="s">
        <v>1428</v>
      </c>
    </row>
    <row r="12" spans="1:8" x14ac:dyDescent="0.3">
      <c r="A12" s="83" t="s">
        <v>140</v>
      </c>
    </row>
    <row r="13" spans="1:8" x14ac:dyDescent="0.3">
      <c r="A13" s="389" t="s">
        <v>1132</v>
      </c>
      <c r="B13" s="390">
        <f>D10*D13*100</f>
        <v>2302222.3199999998</v>
      </c>
      <c r="C13" s="390">
        <f>B13/100</f>
        <v>23022.223199999997</v>
      </c>
      <c r="D13" s="386">
        <v>301338</v>
      </c>
      <c r="E13" s="387" t="s">
        <v>1133</v>
      </c>
    </row>
    <row r="14" spans="1:8" x14ac:dyDescent="0.3">
      <c r="A14" s="67"/>
      <c r="B14" s="391"/>
      <c r="C14" s="391"/>
      <c r="D14" s="392"/>
      <c r="E14" s="64"/>
    </row>
    <row r="15" spans="1:8" x14ac:dyDescent="0.3">
      <c r="A15" s="67" t="s">
        <v>1158</v>
      </c>
      <c r="B15" s="391"/>
      <c r="C15" s="391"/>
      <c r="D15" s="392"/>
      <c r="E15" s="64"/>
    </row>
    <row r="16" spans="1:8" x14ac:dyDescent="0.3">
      <c r="A16" s="67"/>
      <c r="B16" s="391" t="s">
        <v>1138</v>
      </c>
      <c r="C16" s="423" t="s">
        <v>1159</v>
      </c>
      <c r="D16" s="397" t="s">
        <v>1137</v>
      </c>
      <c r="E16" s="396" t="s">
        <v>1267</v>
      </c>
      <c r="F16" s="64"/>
    </row>
    <row r="17" spans="1:10" ht="115.2" x14ac:dyDescent="0.3">
      <c r="A17" s="195" t="s">
        <v>129</v>
      </c>
      <c r="B17" s="402">
        <f>B3</f>
        <v>7875</v>
      </c>
      <c r="C17" t="s">
        <v>1147</v>
      </c>
      <c r="D17" s="502" t="s">
        <v>1169</v>
      </c>
      <c r="E17" s="398">
        <v>3.0000000000000001E-3</v>
      </c>
      <c r="F17" s="503" t="s">
        <v>1273</v>
      </c>
      <c r="G17" s="183"/>
      <c r="H17" s="183"/>
      <c r="I17" s="422">
        <f>7875/(D13*100)</f>
        <v>2.6133444836031302E-4</v>
      </c>
      <c r="J17" s="177">
        <f>E17*B45</f>
        <v>90401.400000000009</v>
      </c>
    </row>
    <row r="18" spans="1:10" x14ac:dyDescent="0.3">
      <c r="A18" s="195" t="s">
        <v>1434</v>
      </c>
      <c r="B18" s="390">
        <f>E18*D13*100</f>
        <v>512274.60000000003</v>
      </c>
      <c r="C18" t="s">
        <v>1148</v>
      </c>
      <c r="D18" s="391" t="s">
        <v>1170</v>
      </c>
      <c r="E18" s="398">
        <v>1.7000000000000001E-2</v>
      </c>
      <c r="F18" s="64"/>
    </row>
    <row r="19" spans="1:10" x14ac:dyDescent="0.3">
      <c r="A19" s="195" t="s">
        <v>1149</v>
      </c>
      <c r="B19" s="395">
        <v>1022955</v>
      </c>
      <c r="C19" t="s">
        <v>1144</v>
      </c>
      <c r="D19" s="391"/>
      <c r="E19" s="398">
        <f>B19/(D13*100)</f>
        <v>3.3947095952053842E-2</v>
      </c>
      <c r="F19" s="64" t="s">
        <v>1143</v>
      </c>
    </row>
    <row r="20" spans="1:10" x14ac:dyDescent="0.3">
      <c r="A20" s="195" t="s">
        <v>1146</v>
      </c>
      <c r="B20" s="401">
        <f>B4-B21</f>
        <v>13104850</v>
      </c>
      <c r="C20" t="s">
        <v>1160</v>
      </c>
      <c r="D20" s="391"/>
      <c r="E20" s="394"/>
      <c r="F20" s="64"/>
    </row>
    <row r="21" spans="1:10" x14ac:dyDescent="0.3">
      <c r="A21" s="195" t="s">
        <v>1134</v>
      </c>
      <c r="B21" s="390">
        <v>1050314</v>
      </c>
      <c r="C21" t="s">
        <v>1145</v>
      </c>
      <c r="D21" s="391"/>
      <c r="E21" s="398">
        <f>B21/(D13*100)</f>
        <v>3.4855013307316038E-2</v>
      </c>
      <c r="F21" s="64" t="s">
        <v>1061</v>
      </c>
    </row>
    <row r="22" spans="1:10" x14ac:dyDescent="0.3">
      <c r="A22" s="195" t="s">
        <v>1140</v>
      </c>
      <c r="B22" s="401">
        <f>E5*E9</f>
        <v>2080206.2806276197</v>
      </c>
      <c r="C22" t="s">
        <v>1160</v>
      </c>
      <c r="D22" s="363">
        <f>B22/(B25+E9)</f>
        <v>0.13822491233240777</v>
      </c>
      <c r="E22" s="394"/>
      <c r="F22" s="64"/>
    </row>
    <row r="23" spans="1:10" x14ac:dyDescent="0.3">
      <c r="A23" s="195" t="s">
        <v>1429</v>
      </c>
      <c r="B23" s="401">
        <f>E6*E9</f>
        <v>2271865.9149375148</v>
      </c>
      <c r="C23" t="s">
        <v>1160</v>
      </c>
      <c r="D23" s="363">
        <f>B23/(B25+E9)</f>
        <v>0.15096025324396084</v>
      </c>
      <c r="E23" s="394"/>
      <c r="F23" s="64"/>
    </row>
    <row r="24" spans="1:10" x14ac:dyDescent="0.3">
      <c r="A24" s="195" t="s">
        <v>1142</v>
      </c>
      <c r="B24" s="401">
        <f>E7*E9</f>
        <v>10467375.804434866</v>
      </c>
      <c r="C24" t="s">
        <v>1160</v>
      </c>
      <c r="D24" s="363">
        <f>B24/(B25+E9)</f>
        <v>0.69553299419990466</v>
      </c>
      <c r="E24" s="394"/>
      <c r="F24" s="64"/>
    </row>
    <row r="25" spans="1:10" x14ac:dyDescent="0.3">
      <c r="A25" s="195" t="s">
        <v>1155</v>
      </c>
      <c r="B25" s="390">
        <v>229983</v>
      </c>
      <c r="C25" t="s">
        <v>1145</v>
      </c>
      <c r="D25" s="363">
        <f>B25/(E9+B25)</f>
        <v>1.5281840223726731E-2</v>
      </c>
      <c r="E25" s="398">
        <f>B25/(D13*100)</f>
        <v>7.6320610079047444E-3</v>
      </c>
      <c r="F25" s="64" t="s">
        <v>1061</v>
      </c>
    </row>
    <row r="26" spans="1:10" x14ac:dyDescent="0.3">
      <c r="A26" s="195" t="s">
        <v>133</v>
      </c>
      <c r="B26" s="402">
        <f>B8</f>
        <v>88029</v>
      </c>
      <c r="C26" t="s">
        <v>1147</v>
      </c>
      <c r="D26" s="1171">
        <f>0.017*D13*100</f>
        <v>512274.60000000003</v>
      </c>
      <c r="E26" s="398">
        <f>D26/(D13*100)</f>
        <v>1.7000000000000001E-2</v>
      </c>
      <c r="F26" s="64" t="s">
        <v>1136</v>
      </c>
    </row>
    <row r="27" spans="1:10" x14ac:dyDescent="0.3">
      <c r="A27" s="195" t="s">
        <v>134</v>
      </c>
      <c r="B27" s="402">
        <f>B9</f>
        <v>248274</v>
      </c>
      <c r="C27" t="s">
        <v>1147</v>
      </c>
      <c r="D27" s="1172"/>
      <c r="E27" s="394"/>
      <c r="F27" s="64"/>
    </row>
    <row r="28" spans="1:10" x14ac:dyDescent="0.3">
      <c r="A28" s="195" t="s">
        <v>1430</v>
      </c>
      <c r="B28" s="390">
        <f>0.018*D13*100</f>
        <v>542408.4</v>
      </c>
      <c r="C28" t="s">
        <v>1148</v>
      </c>
      <c r="D28" s="391"/>
      <c r="E28" s="398">
        <f>B28/(D13*100)</f>
        <v>1.8000000000000002E-2</v>
      </c>
      <c r="F28" s="64" t="s">
        <v>1061</v>
      </c>
    </row>
    <row r="29" spans="1:10" x14ac:dyDescent="0.3">
      <c r="A29" s="195" t="s">
        <v>154</v>
      </c>
      <c r="B29" s="393">
        <f>SUM(B17:B28)</f>
        <v>31626411</v>
      </c>
      <c r="C29" s="183" t="s">
        <v>1171</v>
      </c>
      <c r="D29" s="391"/>
      <c r="E29" s="398">
        <f>B29/(100*D13)</f>
        <v>1.049532783784322</v>
      </c>
      <c r="F29" s="64" t="s">
        <v>1172</v>
      </c>
    </row>
    <row r="30" spans="1:10" x14ac:dyDescent="0.3">
      <c r="A30" s="195" t="s">
        <v>1135</v>
      </c>
      <c r="B30" s="390">
        <f>B19+B21+B25</f>
        <v>2303252</v>
      </c>
      <c r="C30" t="s">
        <v>1145</v>
      </c>
      <c r="D30" s="391"/>
      <c r="E30" s="398">
        <f>B30/(D13*100)</f>
        <v>7.6434170267274629E-2</v>
      </c>
      <c r="F30" s="64" t="s">
        <v>1061</v>
      </c>
    </row>
    <row r="31" spans="1:10" ht="38.25" customHeight="1" x14ac:dyDescent="0.4">
      <c r="A31" s="559" t="s">
        <v>1438</v>
      </c>
      <c r="B31" s="391"/>
      <c r="C31" s="391"/>
      <c r="D31" s="392"/>
      <c r="E31" s="64"/>
    </row>
    <row r="32" spans="1:10" x14ac:dyDescent="0.3">
      <c r="A32" s="409" t="s">
        <v>1161</v>
      </c>
      <c r="B32" s="391"/>
      <c r="C32" s="391"/>
      <c r="D32" s="392"/>
      <c r="E32" s="64"/>
    </row>
    <row r="33" spans="1:5" ht="18" customHeight="1" x14ac:dyDescent="0.3">
      <c r="A33" s="425" t="str">
        <f>A17</f>
        <v>Aree verdi urbane</v>
      </c>
      <c r="B33" s="410">
        <f>B17</f>
        <v>7875</v>
      </c>
      <c r="C33" s="424"/>
      <c r="D33" s="392" t="s">
        <v>1435</v>
      </c>
      <c r="E33" s="64"/>
    </row>
    <row r="34" spans="1:5" ht="18" customHeight="1" x14ac:dyDescent="0.3">
      <c r="A34" s="506" t="str">
        <f t="shared" ref="A34:A46" si="1">A18</f>
        <v>Aree urbane vegetate - suolo non cons. né boscato</v>
      </c>
      <c r="B34" s="393">
        <f>$B$48*C34</f>
        <v>485889.03789274028</v>
      </c>
      <c r="C34" s="404">
        <f>B18/($B$29-$B$30-$B$17-$B$26-$B$27)</f>
        <v>1.767745387596617E-2</v>
      </c>
      <c r="D34" s="392" t="s">
        <v>1436</v>
      </c>
      <c r="E34" s="64"/>
    </row>
    <row r="35" spans="1:5" ht="18.75" customHeight="1" x14ac:dyDescent="0.3">
      <c r="A35" s="427" t="str">
        <f t="shared" si="1"/>
        <v>Aree urbane - suolo consumato</v>
      </c>
      <c r="B35" s="393">
        <f>B19</f>
        <v>1022955</v>
      </c>
      <c r="C35" s="404"/>
      <c r="D35" s="392" t="s">
        <v>1435</v>
      </c>
      <c r="E35" s="64"/>
    </row>
    <row r="36" spans="1:5" ht="18.75" customHeight="1" x14ac:dyDescent="0.3">
      <c r="A36" s="403" t="str">
        <f t="shared" si="1"/>
        <v>Aree agricole - Colture</v>
      </c>
      <c r="B36" s="393">
        <f>$B$48*C36</f>
        <v>12429862.730318226</v>
      </c>
      <c r="C36" s="404">
        <f>B20/($B$29-$B$30-$B$17-$B$26-$B$27)</f>
        <v>0.4522191446276182</v>
      </c>
      <c r="D36" s="392" t="s">
        <v>1436</v>
      </c>
      <c r="E36" s="64"/>
    </row>
    <row r="37" spans="1:5" ht="18.75" customHeight="1" x14ac:dyDescent="0.3">
      <c r="A37" s="427" t="str">
        <f t="shared" si="1"/>
        <v>Aree agricole - suolo consumato</v>
      </c>
      <c r="B37" s="393">
        <f>B21</f>
        <v>1050314</v>
      </c>
      <c r="C37" s="404"/>
      <c r="D37" s="392" t="s">
        <v>1435</v>
      </c>
      <c r="E37" s="64"/>
    </row>
    <row r="38" spans="1:5" ht="18.75" customHeight="1" x14ac:dyDescent="0.3">
      <c r="A38" s="403" t="str">
        <f t="shared" si="1"/>
        <v>Praterie (suolo non consumato)</v>
      </c>
      <c r="B38" s="393">
        <f>$B$48*C38</f>
        <v>1973061.7686541355</v>
      </c>
      <c r="C38" s="404">
        <f>B22/($B$29-$B$30-$B$17-$B$26-$B$27)</f>
        <v>7.1783279081746171E-2</v>
      </c>
      <c r="D38" s="392" t="s">
        <v>1436</v>
      </c>
      <c r="E38" s="64"/>
    </row>
    <row r="39" spans="1:5" ht="18.75" customHeight="1" x14ac:dyDescent="0.3">
      <c r="A39" s="403" t="str">
        <f t="shared" si="1"/>
        <v xml:space="preserve">Cespuglieti (suolo non consumato) </v>
      </c>
      <c r="B39" s="393">
        <f>$B$48*C39</f>
        <v>2154849.652179318</v>
      </c>
      <c r="C39" s="404">
        <f>B23/($B$29-$B$30-$B$17-$B$26-$B$27)</f>
        <v>7.8397025586838781E-2</v>
      </c>
      <c r="D39" s="392" t="s">
        <v>1436</v>
      </c>
      <c r="E39" s="64"/>
    </row>
    <row r="40" spans="1:5" ht="18.75" customHeight="1" x14ac:dyDescent="0.3">
      <c r="A40" s="403" t="str">
        <f t="shared" si="1"/>
        <v>Foreste e boschi (suolo non consumato)</v>
      </c>
      <c r="B40" s="393">
        <f>$B$48*C40</f>
        <v>9928236.0649515018</v>
      </c>
      <c r="C40" s="404">
        <f>B24/($B$29-$B$30-$B$17-$B$26-$B$27)</f>
        <v>0.36120579272386649</v>
      </c>
      <c r="D40" s="392" t="s">
        <v>1436</v>
      </c>
      <c r="E40" s="64"/>
    </row>
    <row r="41" spans="1:5" ht="18.75" customHeight="1" x14ac:dyDescent="0.3">
      <c r="A41" s="427" t="str">
        <f t="shared" si="1"/>
        <v>Aree naturali - Suolo consumato</v>
      </c>
      <c r="B41" s="393">
        <f>B25</f>
        <v>229983</v>
      </c>
      <c r="C41" s="404"/>
      <c r="D41" s="392" t="s">
        <v>1435</v>
      </c>
      <c r="E41" s="64"/>
    </row>
    <row r="42" spans="1:5" x14ac:dyDescent="0.3">
      <c r="A42" s="426" t="str">
        <f t="shared" si="1"/>
        <v>Aree umide</v>
      </c>
      <c r="B42" s="393">
        <f>B26</f>
        <v>88029</v>
      </c>
      <c r="C42" s="404"/>
      <c r="D42" s="392" t="s">
        <v>1435</v>
      </c>
      <c r="E42" s="64"/>
    </row>
    <row r="43" spans="1:5" x14ac:dyDescent="0.3">
      <c r="A43" s="426" t="str">
        <f t="shared" si="1"/>
        <v>Fiumi e laghi</v>
      </c>
      <c r="B43" s="393">
        <f>B27</f>
        <v>248274</v>
      </c>
      <c r="C43" s="404"/>
      <c r="D43" s="392" t="s">
        <v>1435</v>
      </c>
      <c r="E43" s="64"/>
    </row>
    <row r="44" spans="1:5" x14ac:dyDescent="0.3">
      <c r="A44" s="403" t="s">
        <v>1439</v>
      </c>
      <c r="B44" s="393">
        <f>$B$48*C44</f>
        <v>514470.74600407796</v>
      </c>
      <c r="C44" s="404">
        <f>B28/($B$29-$B$30-$B$17-$B$26-$B$27)</f>
        <v>1.8717304103964182E-2</v>
      </c>
      <c r="D44" s="392" t="s">
        <v>1436</v>
      </c>
      <c r="E44" s="64"/>
    </row>
    <row r="45" spans="1:5" x14ac:dyDescent="0.3">
      <c r="A45" s="405" t="str">
        <f t="shared" si="1"/>
        <v>Totale</v>
      </c>
      <c r="B45" s="406">
        <f>SUM(B33:B44)</f>
        <v>30133800</v>
      </c>
      <c r="C45" s="407">
        <f>SUM(C33:C44)</f>
        <v>1</v>
      </c>
      <c r="D45" s="392"/>
      <c r="E45" s="64"/>
    </row>
    <row r="46" spans="1:5" x14ac:dyDescent="0.3">
      <c r="A46" s="411" t="str">
        <f t="shared" si="1"/>
        <v>di cui Suolo consumato</v>
      </c>
      <c r="B46" s="412">
        <f>B30</f>
        <v>2303252</v>
      </c>
      <c r="C46" s="408"/>
      <c r="D46" s="392"/>
      <c r="E46" s="64"/>
    </row>
    <row r="47" spans="1:5" x14ac:dyDescent="0.3">
      <c r="A47" s="411" t="s">
        <v>1162</v>
      </c>
      <c r="B47" s="412">
        <f>B17+B26+B27</f>
        <v>344178</v>
      </c>
      <c r="C47" s="408"/>
      <c r="D47" s="392"/>
      <c r="E47" s="64"/>
    </row>
    <row r="48" spans="1:5" x14ac:dyDescent="0.3">
      <c r="A48" s="413" t="s">
        <v>1157</v>
      </c>
      <c r="B48" s="412">
        <f>(D13*100)-B30-B17-B26-B27</f>
        <v>27486370</v>
      </c>
      <c r="C48" s="404"/>
      <c r="D48" s="392"/>
      <c r="E48" s="64"/>
    </row>
    <row r="49" spans="1:8" x14ac:dyDescent="0.3">
      <c r="A49" s="415" t="s">
        <v>1274</v>
      </c>
      <c r="B49" s="416">
        <v>200000</v>
      </c>
      <c r="C49" s="404"/>
      <c r="D49" s="392"/>
      <c r="E49" s="64"/>
    </row>
    <row r="50" spans="1:8" ht="46.5" customHeight="1" x14ac:dyDescent="0.3">
      <c r="A50" s="377" t="s">
        <v>1153</v>
      </c>
      <c r="B50" s="420"/>
      <c r="C50" s="421"/>
      <c r="D50" s="392"/>
      <c r="E50" s="64"/>
    </row>
    <row r="51" spans="1:8" x14ac:dyDescent="0.3">
      <c r="A51" s="414" t="s">
        <v>1163</v>
      </c>
      <c r="B51" s="410">
        <f>B33</f>
        <v>7875</v>
      </c>
      <c r="C51" s="404"/>
      <c r="D51" s="392"/>
      <c r="E51" s="64"/>
    </row>
    <row r="52" spans="1:8" x14ac:dyDescent="0.3">
      <c r="A52" s="414" t="s">
        <v>1156</v>
      </c>
      <c r="B52" s="410">
        <f>B36</f>
        <v>12429862.730318226</v>
      </c>
      <c r="C52" s="404"/>
      <c r="D52" s="392"/>
      <c r="E52" s="64"/>
    </row>
    <row r="53" spans="1:8" x14ac:dyDescent="0.3">
      <c r="A53" s="414" t="s">
        <v>1140</v>
      </c>
      <c r="B53" s="410">
        <f>B38</f>
        <v>1973061.7686541355</v>
      </c>
      <c r="C53" s="404"/>
      <c r="D53" s="392"/>
      <c r="E53" s="64"/>
    </row>
    <row r="54" spans="1:8" x14ac:dyDescent="0.3">
      <c r="A54" s="414" t="s">
        <v>1141</v>
      </c>
      <c r="B54" s="410">
        <f>B39</f>
        <v>2154849.652179318</v>
      </c>
      <c r="C54" s="404"/>
      <c r="D54" s="392"/>
      <c r="E54" s="64"/>
    </row>
    <row r="55" spans="1:8" x14ac:dyDescent="0.3">
      <c r="A55" s="414" t="s">
        <v>1142</v>
      </c>
      <c r="B55" s="410">
        <f>B40</f>
        <v>9928236.0649515018</v>
      </c>
      <c r="C55" s="404"/>
      <c r="D55" s="392"/>
      <c r="E55" s="64"/>
    </row>
    <row r="56" spans="1:8" x14ac:dyDescent="0.3">
      <c r="A56" s="414" t="s">
        <v>133</v>
      </c>
      <c r="B56" s="410">
        <f>B42</f>
        <v>88029</v>
      </c>
      <c r="C56" s="404"/>
      <c r="D56" s="392"/>
      <c r="E56" s="64"/>
    </row>
    <row r="57" spans="1:8" x14ac:dyDescent="0.3">
      <c r="A57" s="414" t="s">
        <v>134</v>
      </c>
      <c r="B57" s="410">
        <f>B43</f>
        <v>248274</v>
      </c>
      <c r="C57" s="404"/>
      <c r="D57" s="392"/>
      <c r="E57" s="64"/>
    </row>
    <row r="58" spans="1:8" x14ac:dyDescent="0.3">
      <c r="A58" s="417" t="s">
        <v>1151</v>
      </c>
      <c r="B58" s="410">
        <f>B46</f>
        <v>2303252</v>
      </c>
      <c r="C58" s="391" t="s">
        <v>1154</v>
      </c>
      <c r="D58" s="392"/>
      <c r="E58" s="64"/>
    </row>
    <row r="59" spans="1:8" ht="43.2" x14ac:dyDescent="0.3">
      <c r="A59" s="414" t="s">
        <v>1150</v>
      </c>
      <c r="B59" s="410">
        <f>B44+B34</f>
        <v>1000359.7838968183</v>
      </c>
      <c r="C59" s="391"/>
      <c r="D59" s="392"/>
      <c r="E59" s="64"/>
    </row>
    <row r="60" spans="1:8" s="19" customFormat="1" x14ac:dyDescent="0.3">
      <c r="A60" s="384" t="s">
        <v>154</v>
      </c>
      <c r="B60" s="190">
        <f>SUM(B51:B59)</f>
        <v>30133800</v>
      </c>
      <c r="C60" s="418"/>
    </row>
    <row r="61" spans="1:8" s="19" customFormat="1" ht="28.8" x14ac:dyDescent="0.3">
      <c r="A61" s="353" t="s">
        <v>1152</v>
      </c>
      <c r="B61" s="419"/>
      <c r="C61" s="418"/>
    </row>
    <row r="62" spans="1:8" ht="45.75" customHeight="1" x14ac:dyDescent="0.3">
      <c r="A62" s="19" t="s">
        <v>427</v>
      </c>
      <c r="C62">
        <v>2017</v>
      </c>
    </row>
    <row r="63" spans="1:8" ht="33" customHeight="1" x14ac:dyDescent="0.3">
      <c r="A63" s="86"/>
      <c r="B63" s="29" t="s">
        <v>155</v>
      </c>
      <c r="C63" s="29" t="s">
        <v>138</v>
      </c>
      <c r="H63">
        <v>2017</v>
      </c>
    </row>
    <row r="64" spans="1:8" x14ac:dyDescent="0.3">
      <c r="A64" s="21" t="s">
        <v>148</v>
      </c>
      <c r="B64" s="81">
        <v>9415</v>
      </c>
      <c r="C64" s="81">
        <f>B64*1000/100</f>
        <v>94150</v>
      </c>
      <c r="D64" t="s">
        <v>157</v>
      </c>
    </row>
    <row r="65" spans="1:4" x14ac:dyDescent="0.3">
      <c r="A65" s="21" t="s">
        <v>149</v>
      </c>
      <c r="B65" s="81">
        <v>8889</v>
      </c>
      <c r="C65" s="81">
        <f t="shared" ref="C65:C70" si="2">B65*1000/100</f>
        <v>88890</v>
      </c>
      <c r="D65" t="s">
        <v>157</v>
      </c>
    </row>
    <row r="66" spans="1:4" x14ac:dyDescent="0.3">
      <c r="A66" s="21" t="s">
        <v>150</v>
      </c>
      <c r="B66" s="81">
        <v>8316</v>
      </c>
      <c r="C66" s="81">
        <f t="shared" si="2"/>
        <v>83160</v>
      </c>
      <c r="D66" t="s">
        <v>158</v>
      </c>
    </row>
    <row r="67" spans="1:4" x14ac:dyDescent="0.3">
      <c r="A67" s="21" t="s">
        <v>151</v>
      </c>
      <c r="B67" s="81">
        <v>586</v>
      </c>
      <c r="C67" s="81">
        <f t="shared" si="2"/>
        <v>5860</v>
      </c>
      <c r="D67" t="s">
        <v>159</v>
      </c>
    </row>
    <row r="68" spans="1:4" x14ac:dyDescent="0.3">
      <c r="A68" s="21" t="s">
        <v>152</v>
      </c>
      <c r="B68" s="81">
        <v>2273</v>
      </c>
      <c r="C68" s="81">
        <f t="shared" si="2"/>
        <v>22730</v>
      </c>
      <c r="D68" t="s">
        <v>160</v>
      </c>
    </row>
    <row r="69" spans="1:4" x14ac:dyDescent="0.3">
      <c r="A69" s="21" t="s">
        <v>153</v>
      </c>
      <c r="B69" s="81">
        <v>655</v>
      </c>
      <c r="C69" s="81">
        <f t="shared" si="2"/>
        <v>6550</v>
      </c>
    </row>
    <row r="70" spans="1:4" x14ac:dyDescent="0.3">
      <c r="A70" s="21" t="s">
        <v>154</v>
      </c>
      <c r="B70" s="81">
        <f>SUM(B64:B69)</f>
        <v>30134</v>
      </c>
      <c r="C70" s="81">
        <f t="shared" si="2"/>
        <v>301340</v>
      </c>
      <c r="D70" t="s">
        <v>161</v>
      </c>
    </row>
    <row r="71" spans="1:4" x14ac:dyDescent="0.3">
      <c r="A71" s="83" t="s">
        <v>156</v>
      </c>
      <c r="B71">
        <v>30134</v>
      </c>
    </row>
  </sheetData>
  <mergeCells count="1">
    <mergeCell ref="D26:D27"/>
  </mergeCells>
  <phoneticPr fontId="10" type="noConversion"/>
  <pageMargins left="0.7" right="0.7" top="0.75" bottom="0.75" header="0.3" footer="0.3"/>
  <drawing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A86F4-93EA-41AE-8162-EF9031BE2DD6}">
  <dimension ref="B1:L28"/>
  <sheetViews>
    <sheetView topLeftCell="D1" workbookViewId="0">
      <selection activeCell="D11" sqref="D11"/>
    </sheetView>
  </sheetViews>
  <sheetFormatPr defaultRowHeight="15.6" x14ac:dyDescent="0.3"/>
  <cols>
    <col min="2" max="2" width="21.109375" style="1146" customWidth="1"/>
    <col min="3" max="3" width="14.33203125" style="1146" customWidth="1"/>
    <col min="4" max="4" width="28.6640625" style="611" customWidth="1"/>
    <col min="5" max="5" width="21.5546875" style="611" customWidth="1"/>
    <col min="6" max="8" width="20" style="611" customWidth="1"/>
    <col min="9" max="9" width="12.5546875" style="933" customWidth="1"/>
    <col min="10" max="10" width="8.88671875" style="611"/>
  </cols>
  <sheetData>
    <row r="1" spans="2:12" ht="55.8" customHeight="1" x14ac:dyDescent="0.3">
      <c r="B1" s="1142" t="s">
        <v>2419</v>
      </c>
      <c r="C1" s="1142" t="s">
        <v>2458</v>
      </c>
      <c r="D1" s="1142" t="s">
        <v>2424</v>
      </c>
      <c r="E1" s="1142" t="s">
        <v>2420</v>
      </c>
      <c r="F1" s="1142" t="s">
        <v>2417</v>
      </c>
      <c r="G1" s="1142" t="s">
        <v>2418</v>
      </c>
      <c r="H1" s="1142" t="s">
        <v>2431</v>
      </c>
      <c r="I1" s="1143" t="s">
        <v>2423</v>
      </c>
    </row>
    <row r="2" spans="2:12" ht="45.6" customHeight="1" x14ac:dyDescent="0.3">
      <c r="B2" s="1142" t="s">
        <v>2414</v>
      </c>
      <c r="C2" s="1157" t="s">
        <v>2459</v>
      </c>
      <c r="D2" s="1140" t="s">
        <v>2455</v>
      </c>
      <c r="E2" s="1140"/>
      <c r="F2" s="1140"/>
      <c r="G2" s="1140"/>
      <c r="H2" s="1140"/>
      <c r="I2" s="476"/>
      <c r="J2" s="788"/>
      <c r="K2" s="582"/>
      <c r="L2" s="582"/>
    </row>
    <row r="3" spans="2:12" ht="45.6" customHeight="1" x14ac:dyDescent="0.3">
      <c r="B3" s="1142" t="s">
        <v>2416</v>
      </c>
      <c r="C3" s="1157" t="s">
        <v>2459</v>
      </c>
      <c r="D3" s="1140" t="s">
        <v>2455</v>
      </c>
      <c r="E3" s="1140"/>
      <c r="F3" s="1140"/>
      <c r="G3" s="1140"/>
      <c r="H3" s="1140"/>
      <c r="I3" s="476"/>
      <c r="J3" s="788"/>
      <c r="K3" s="582"/>
      <c r="L3" s="582"/>
    </row>
    <row r="4" spans="2:12" ht="45.6" customHeight="1" x14ac:dyDescent="0.3">
      <c r="B4" s="1142" t="s">
        <v>2415</v>
      </c>
      <c r="C4" s="1157" t="s">
        <v>2459</v>
      </c>
      <c r="D4" s="1140" t="s">
        <v>2470</v>
      </c>
      <c r="E4" s="1140"/>
      <c r="F4" s="1140" t="s">
        <v>2421</v>
      </c>
      <c r="G4" s="1140" t="s">
        <v>2422</v>
      </c>
      <c r="H4" s="1140" t="s">
        <v>429</v>
      </c>
      <c r="I4" s="1141" t="s">
        <v>2429</v>
      </c>
      <c r="J4" s="788"/>
      <c r="K4" s="582"/>
      <c r="L4" s="582"/>
    </row>
    <row r="5" spans="2:12" ht="96.6" x14ac:dyDescent="0.3">
      <c r="B5" s="1144" t="s">
        <v>2428</v>
      </c>
      <c r="C5" s="1158" t="s">
        <v>2460</v>
      </c>
      <c r="D5" s="1147" t="s">
        <v>2433</v>
      </c>
      <c r="E5" s="1149" t="s">
        <v>2425</v>
      </c>
      <c r="F5" s="1140" t="s">
        <v>2466</v>
      </c>
      <c r="G5" s="1140" t="s">
        <v>2467</v>
      </c>
      <c r="H5" s="1140" t="s">
        <v>2432</v>
      </c>
      <c r="I5" s="1141" t="s">
        <v>2430</v>
      </c>
      <c r="J5" s="788"/>
      <c r="K5" s="582"/>
      <c r="L5" s="582"/>
    </row>
    <row r="6" spans="2:12" ht="118.8" customHeight="1" x14ac:dyDescent="0.3">
      <c r="B6" s="1142" t="s">
        <v>2451</v>
      </c>
      <c r="C6" s="1158" t="s">
        <v>2460</v>
      </c>
      <c r="D6" s="1147" t="s">
        <v>2439</v>
      </c>
      <c r="E6" s="1147" t="s">
        <v>2436</v>
      </c>
      <c r="F6" s="1140" t="s">
        <v>2440</v>
      </c>
      <c r="G6" s="1140" t="s">
        <v>2437</v>
      </c>
      <c r="H6" s="1140" t="s">
        <v>429</v>
      </c>
      <c r="I6" s="1141" t="s">
        <v>2438</v>
      </c>
      <c r="J6" s="788"/>
      <c r="K6" s="582"/>
      <c r="L6" s="582"/>
    </row>
    <row r="7" spans="2:12" ht="46.8" x14ac:dyDescent="0.3">
      <c r="B7" s="1142" t="s">
        <v>2452</v>
      </c>
      <c r="C7" s="1158" t="s">
        <v>2460</v>
      </c>
      <c r="D7" s="1140" t="s">
        <v>2455</v>
      </c>
      <c r="E7" s="1140"/>
      <c r="F7" s="1140"/>
      <c r="G7" s="1140"/>
      <c r="H7" s="1140"/>
      <c r="I7" s="476"/>
      <c r="J7" s="788"/>
      <c r="K7" s="582"/>
      <c r="L7" s="582"/>
    </row>
    <row r="8" spans="2:12" ht="46.8" x14ac:dyDescent="0.3">
      <c r="B8" s="1142" t="s">
        <v>2453</v>
      </c>
      <c r="C8" s="1158" t="s">
        <v>2460</v>
      </c>
      <c r="D8" s="1140" t="s">
        <v>2464</v>
      </c>
      <c r="E8" s="1140"/>
      <c r="F8" s="1140"/>
      <c r="G8" s="1140"/>
      <c r="H8" s="1140"/>
      <c r="I8" s="476"/>
      <c r="J8" s="788"/>
      <c r="K8" s="582"/>
      <c r="L8" s="582"/>
    </row>
    <row r="9" spans="2:12" ht="46.8" x14ac:dyDescent="0.3">
      <c r="B9" s="1142" t="s">
        <v>2454</v>
      </c>
      <c r="C9" s="1158" t="s">
        <v>2460</v>
      </c>
      <c r="D9" s="1140" t="s">
        <v>2464</v>
      </c>
      <c r="E9" s="1140"/>
      <c r="F9" s="1140"/>
      <c r="G9" s="1140"/>
      <c r="H9" s="1140"/>
      <c r="I9" s="476"/>
      <c r="J9" s="788"/>
      <c r="K9" s="582"/>
      <c r="L9" s="582"/>
    </row>
    <row r="10" spans="2:12" ht="96.6" x14ac:dyDescent="0.3">
      <c r="B10" s="1142" t="s">
        <v>2444</v>
      </c>
      <c r="C10" s="1158" t="s">
        <v>2460</v>
      </c>
      <c r="D10" s="1140" t="s">
        <v>2445</v>
      </c>
      <c r="E10" s="1149" t="s">
        <v>2443</v>
      </c>
      <c r="F10" s="1140" t="s">
        <v>2446</v>
      </c>
      <c r="G10" s="1140" t="s">
        <v>2462</v>
      </c>
      <c r="H10" s="1140" t="s">
        <v>429</v>
      </c>
      <c r="I10" s="1141" t="s">
        <v>2465</v>
      </c>
      <c r="J10" s="788"/>
      <c r="K10" s="582"/>
      <c r="L10" s="582"/>
    </row>
    <row r="11" spans="2:12" ht="154.80000000000001" x14ac:dyDescent="0.3">
      <c r="B11" s="1142" t="s">
        <v>2456</v>
      </c>
      <c r="C11" s="1158" t="s">
        <v>2460</v>
      </c>
      <c r="D11" s="1140" t="s">
        <v>2471</v>
      </c>
      <c r="E11" s="1149" t="s">
        <v>2443</v>
      </c>
      <c r="F11" s="1140" t="s">
        <v>2468</v>
      </c>
      <c r="G11" s="1140" t="s">
        <v>2469</v>
      </c>
      <c r="H11" s="1140" t="s">
        <v>429</v>
      </c>
      <c r="I11" s="1141" t="s">
        <v>2465</v>
      </c>
      <c r="J11" s="788"/>
      <c r="K11" s="582"/>
      <c r="L11" s="582"/>
    </row>
    <row r="12" spans="2:12" ht="31.2" x14ac:dyDescent="0.3">
      <c r="B12" s="1142" t="s">
        <v>2457</v>
      </c>
      <c r="C12" s="1157" t="s">
        <v>2461</v>
      </c>
      <c r="D12" s="1140" t="s">
        <v>2464</v>
      </c>
      <c r="E12" s="1140"/>
      <c r="F12" s="1140"/>
      <c r="G12" s="1140"/>
      <c r="H12" s="1140"/>
      <c r="I12" s="476"/>
      <c r="J12" s="788"/>
      <c r="K12" s="582"/>
      <c r="L12" s="582"/>
    </row>
    <row r="13" spans="2:12" ht="31.2" x14ac:dyDescent="0.3">
      <c r="B13" s="1142" t="s">
        <v>2463</v>
      </c>
      <c r="C13" s="1157" t="s">
        <v>2461</v>
      </c>
      <c r="D13" s="1140" t="s">
        <v>2455</v>
      </c>
      <c r="E13" s="1140"/>
      <c r="F13" s="1140"/>
      <c r="G13" s="1140"/>
      <c r="H13" s="1140"/>
      <c r="I13" s="476"/>
      <c r="J13" s="788"/>
      <c r="K13" s="582"/>
      <c r="L13" s="582"/>
    </row>
    <row r="14" spans="2:12" x14ac:dyDescent="0.3">
      <c r="B14" s="1145"/>
      <c r="C14" s="1145"/>
      <c r="D14" s="788"/>
      <c r="E14" s="788"/>
      <c r="F14" s="788"/>
      <c r="G14" s="788"/>
      <c r="H14" s="788"/>
      <c r="I14" s="1139"/>
      <c r="J14" s="788"/>
      <c r="K14" s="582"/>
      <c r="L14" s="582"/>
    </row>
    <row r="15" spans="2:12" x14ac:dyDescent="0.3">
      <c r="B15" s="1145"/>
      <c r="C15" s="1145"/>
      <c r="D15" s="788"/>
      <c r="E15" s="788"/>
      <c r="F15" s="788"/>
      <c r="G15" s="788"/>
      <c r="H15" s="788"/>
      <c r="I15" s="1139"/>
      <c r="J15" s="788"/>
      <c r="K15" s="582"/>
      <c r="L15" s="582"/>
    </row>
    <row r="16" spans="2:12" x14ac:dyDescent="0.3">
      <c r="B16" s="1145"/>
      <c r="C16" s="1145"/>
      <c r="D16" s="788"/>
      <c r="E16" s="788"/>
      <c r="F16" s="788"/>
      <c r="G16" s="788"/>
      <c r="H16" s="788"/>
      <c r="I16" s="1139"/>
      <c r="J16" s="788"/>
      <c r="K16" s="582"/>
      <c r="L16" s="582"/>
    </row>
    <row r="17" spans="2:12" x14ac:dyDescent="0.3">
      <c r="B17" s="1145"/>
      <c r="C17" s="1145"/>
      <c r="D17" s="788"/>
      <c r="E17" s="788"/>
      <c r="F17" s="788"/>
      <c r="G17" s="788"/>
      <c r="H17" s="788"/>
      <c r="I17" s="1139"/>
      <c r="J17" s="788"/>
      <c r="K17" s="582"/>
      <c r="L17" s="582"/>
    </row>
    <row r="18" spans="2:12" x14ac:dyDescent="0.3">
      <c r="B18" s="1145"/>
      <c r="C18" s="1145"/>
      <c r="D18" s="788"/>
      <c r="E18" s="788"/>
      <c r="F18" s="788"/>
      <c r="G18" s="788"/>
      <c r="H18" s="788"/>
      <c r="I18" s="1139"/>
      <c r="J18" s="788"/>
      <c r="K18" s="582"/>
      <c r="L18" s="582"/>
    </row>
    <row r="19" spans="2:12" x14ac:dyDescent="0.3">
      <c r="B19" s="1145"/>
      <c r="C19" s="1145"/>
      <c r="D19" s="788"/>
      <c r="E19" s="788"/>
      <c r="F19" s="788"/>
      <c r="G19" s="788"/>
      <c r="H19" s="788"/>
      <c r="I19" s="1139"/>
      <c r="J19" s="788"/>
      <c r="K19" s="582"/>
      <c r="L19" s="582"/>
    </row>
    <row r="20" spans="2:12" x14ac:dyDescent="0.3">
      <c r="B20" s="1145"/>
      <c r="C20" s="1145"/>
      <c r="D20" s="788"/>
      <c r="E20" s="788"/>
      <c r="F20" s="788"/>
      <c r="G20" s="788"/>
      <c r="H20" s="788"/>
      <c r="I20" s="1139"/>
      <c r="J20" s="788"/>
      <c r="K20" s="582"/>
      <c r="L20" s="582"/>
    </row>
    <row r="21" spans="2:12" x14ac:dyDescent="0.3">
      <c r="B21" s="1145"/>
      <c r="C21" s="1145"/>
      <c r="D21" s="788"/>
      <c r="E21" s="788"/>
      <c r="F21" s="788"/>
      <c r="G21" s="788"/>
      <c r="H21" s="788"/>
      <c r="I21" s="1139"/>
      <c r="J21" s="788"/>
      <c r="K21" s="582"/>
      <c r="L21" s="582"/>
    </row>
    <row r="22" spans="2:12" x14ac:dyDescent="0.3">
      <c r="B22" s="1145"/>
      <c r="C22" s="1145"/>
      <c r="D22" s="788"/>
      <c r="E22" s="788"/>
      <c r="F22" s="788"/>
      <c r="G22" s="788"/>
      <c r="H22" s="788"/>
      <c r="I22" s="1139"/>
      <c r="J22" s="788"/>
      <c r="K22" s="582"/>
      <c r="L22" s="582"/>
    </row>
    <row r="23" spans="2:12" x14ac:dyDescent="0.3">
      <c r="B23" s="1145"/>
      <c r="C23" s="1145"/>
      <c r="D23" s="788"/>
      <c r="E23" s="788"/>
      <c r="F23" s="788"/>
      <c r="G23" s="788"/>
      <c r="H23" s="788"/>
      <c r="I23" s="1139"/>
      <c r="J23" s="788"/>
      <c r="K23" s="582"/>
      <c r="L23" s="582"/>
    </row>
    <row r="24" spans="2:12" x14ac:dyDescent="0.3">
      <c r="B24" s="1145"/>
      <c r="C24" s="1145"/>
      <c r="D24" s="788"/>
      <c r="E24" s="788"/>
      <c r="F24" s="788"/>
      <c r="G24" s="788"/>
      <c r="H24" s="788"/>
      <c r="I24" s="1139"/>
      <c r="J24" s="788"/>
      <c r="K24" s="582"/>
      <c r="L24" s="582"/>
    </row>
    <row r="25" spans="2:12" x14ac:dyDescent="0.3">
      <c r="B25" s="1145"/>
      <c r="C25" s="1145"/>
      <c r="D25" s="788"/>
      <c r="E25" s="788"/>
      <c r="F25" s="788"/>
      <c r="G25" s="788"/>
      <c r="H25" s="788"/>
      <c r="I25" s="1139"/>
      <c r="J25" s="788"/>
      <c r="K25" s="582"/>
      <c r="L25" s="582"/>
    </row>
    <row r="26" spans="2:12" x14ac:dyDescent="0.3">
      <c r="B26" s="1145"/>
      <c r="C26" s="1145"/>
      <c r="D26" s="788"/>
      <c r="E26" s="788"/>
      <c r="F26" s="788"/>
      <c r="G26" s="788"/>
      <c r="H26" s="788"/>
      <c r="I26" s="1139"/>
      <c r="J26" s="788"/>
      <c r="K26" s="582"/>
      <c r="L26" s="582"/>
    </row>
    <row r="27" spans="2:12" x14ac:dyDescent="0.3">
      <c r="B27" s="1145"/>
      <c r="C27" s="1145"/>
      <c r="D27" s="788"/>
      <c r="E27" s="788"/>
      <c r="F27" s="788"/>
      <c r="G27" s="788"/>
      <c r="H27" s="788"/>
      <c r="I27" s="1139"/>
      <c r="J27" s="788"/>
      <c r="K27" s="582"/>
      <c r="L27" s="582"/>
    </row>
    <row r="28" spans="2:12" x14ac:dyDescent="0.3">
      <c r="B28" s="1145"/>
      <c r="C28" s="1145"/>
      <c r="D28" s="788"/>
      <c r="E28" s="788"/>
      <c r="F28" s="788"/>
      <c r="G28" s="788"/>
      <c r="H28" s="788"/>
      <c r="I28" s="1139"/>
      <c r="J28" s="788"/>
      <c r="K28" s="582"/>
      <c r="L28" s="582"/>
    </row>
  </sheetData>
  <hyperlinks>
    <hyperlink ref="E5" r:id="rId1" xr:uid="{1CC4062A-2F89-468D-AE52-88A98A6543B7}"/>
    <hyperlink ref="E10" r:id="rId2" xr:uid="{019C29F1-9026-4B86-B846-72E155DB890D}"/>
    <hyperlink ref="E11" r:id="rId3" xr:uid="{754701CB-3995-491E-B0CB-2BD3D2020B5B}"/>
  </hyperlinks>
  <pageMargins left="0.7" right="0.7" top="0.75" bottom="0.75" header="0.3" footer="0.3"/>
  <pageSetup paperSize="9" orientation="portrait"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757DF-37AA-40BE-9D30-4E0681A4030B}">
  <dimension ref="A1:K769"/>
  <sheetViews>
    <sheetView workbookViewId="0">
      <selection activeCell="C2" sqref="C2"/>
    </sheetView>
  </sheetViews>
  <sheetFormatPr defaultRowHeight="14.4" x14ac:dyDescent="0.3"/>
  <cols>
    <col min="1" max="1" width="25.6640625" customWidth="1"/>
    <col min="2" max="2" width="17.6640625" customWidth="1"/>
    <col min="3" max="3" width="18.88671875" customWidth="1"/>
    <col min="4" max="4" width="14.44140625" style="611" customWidth="1"/>
  </cols>
  <sheetData>
    <row r="1" spans="1:9" ht="43.8" thickBot="1" x14ac:dyDescent="0.35">
      <c r="A1" s="909" t="s">
        <v>1522</v>
      </c>
      <c r="B1" s="488" t="s">
        <v>1523</v>
      </c>
      <c r="C1" s="488" t="s">
        <v>2075</v>
      </c>
      <c r="D1" s="910" t="s">
        <v>491</v>
      </c>
    </row>
    <row r="2" spans="1:9" x14ac:dyDescent="0.3">
      <c r="A2" s="607" t="s">
        <v>1053</v>
      </c>
      <c r="B2" s="760" t="s">
        <v>1524</v>
      </c>
      <c r="C2" s="602">
        <f>'SE4 Ass CO2 test Regioni 2019'!AH29</f>
        <v>598.26112242992531</v>
      </c>
      <c r="D2" s="608" t="s">
        <v>498</v>
      </c>
      <c r="E2" t="s">
        <v>2016</v>
      </c>
      <c r="I2" s="582"/>
    </row>
    <row r="3" spans="1:9" x14ac:dyDescent="0.3">
      <c r="A3" s="592" t="s">
        <v>1054</v>
      </c>
      <c r="B3" s="76" t="s">
        <v>1524</v>
      </c>
      <c r="C3" s="593">
        <f>'SE4 assorbimento CO2 ITA 2020'!C43</f>
        <v>13.15039338544079</v>
      </c>
      <c r="D3" s="594" t="s">
        <v>498</v>
      </c>
      <c r="E3" t="s">
        <v>2074</v>
      </c>
    </row>
    <row r="4" spans="1:9" x14ac:dyDescent="0.3">
      <c r="A4" s="592" t="s">
        <v>1055</v>
      </c>
      <c r="B4" s="76" t="s">
        <v>1524</v>
      </c>
      <c r="C4" s="595">
        <f>'SE4 assorbimento CO2 ITA 2020'!D44</f>
        <v>39.067280572225478</v>
      </c>
      <c r="D4" s="594" t="s">
        <v>498</v>
      </c>
      <c r="E4" s="64"/>
      <c r="F4" s="64"/>
    </row>
    <row r="5" spans="1:9" x14ac:dyDescent="0.3">
      <c r="A5" s="592" t="s">
        <v>1057</v>
      </c>
      <c r="B5" s="76" t="s">
        <v>1524</v>
      </c>
      <c r="C5" s="595">
        <v>0</v>
      </c>
      <c r="D5" s="594" t="s">
        <v>498</v>
      </c>
    </row>
    <row r="6" spans="1:9" ht="28.8" x14ac:dyDescent="0.3">
      <c r="A6" s="592" t="s">
        <v>1519</v>
      </c>
      <c r="B6" s="76" t="s">
        <v>1524</v>
      </c>
      <c r="C6" s="595">
        <v>0</v>
      </c>
      <c r="D6" s="594" t="s">
        <v>498</v>
      </c>
    </row>
    <row r="7" spans="1:9" x14ac:dyDescent="0.3">
      <c r="A7" s="592" t="s">
        <v>1059</v>
      </c>
      <c r="B7" s="76" t="s">
        <v>1524</v>
      </c>
      <c r="C7" s="595">
        <v>0</v>
      </c>
      <c r="D7" s="594" t="s">
        <v>498</v>
      </c>
    </row>
    <row r="8" spans="1:9" x14ac:dyDescent="0.3">
      <c r="A8" s="5" t="s">
        <v>1056</v>
      </c>
      <c r="B8" s="76" t="s">
        <v>1524</v>
      </c>
      <c r="C8" s="595">
        <v>0</v>
      </c>
      <c r="D8" s="594" t="s">
        <v>498</v>
      </c>
    </row>
    <row r="9" spans="1:9" x14ac:dyDescent="0.3">
      <c r="A9" s="592" t="s">
        <v>1520</v>
      </c>
      <c r="B9" s="76" t="s">
        <v>1524</v>
      </c>
      <c r="C9" s="595" t="str">
        <f>'SE4 assorbimento CO2 ITA 2020'!$F$49</f>
        <v>nd</v>
      </c>
      <c r="D9" s="594" t="s">
        <v>498</v>
      </c>
    </row>
    <row r="10" spans="1:9" x14ac:dyDescent="0.3">
      <c r="A10" s="592" t="s">
        <v>1053</v>
      </c>
      <c r="B10" s="76" t="s">
        <v>1524</v>
      </c>
      <c r="C10" s="487">
        <f>'SE4 Ass CO2 test Regioni 2019'!AH26</f>
        <v>385.56669026753178</v>
      </c>
      <c r="D10" s="594" t="s">
        <v>1459</v>
      </c>
    </row>
    <row r="11" spans="1:9" x14ac:dyDescent="0.3">
      <c r="A11" s="592" t="s">
        <v>1054</v>
      </c>
      <c r="B11" s="76" t="s">
        <v>1524</v>
      </c>
      <c r="C11" s="593">
        <f>'SE4 assorbimento CO2 ITA 2020'!C43</f>
        <v>13.15039338544079</v>
      </c>
      <c r="D11" s="594" t="s">
        <v>1459</v>
      </c>
    </row>
    <row r="12" spans="1:9" x14ac:dyDescent="0.3">
      <c r="A12" s="592" t="s">
        <v>1055</v>
      </c>
      <c r="B12" s="76" t="s">
        <v>1524</v>
      </c>
      <c r="C12" s="595">
        <f>'SE4 assorbimento CO2 ITA 2020'!D44</f>
        <v>39.067280572225478</v>
      </c>
      <c r="D12" s="594" t="s">
        <v>1459</v>
      </c>
    </row>
    <row r="13" spans="1:9" x14ac:dyDescent="0.3">
      <c r="A13" s="592" t="s">
        <v>1057</v>
      </c>
      <c r="B13" s="76" t="s">
        <v>1524</v>
      </c>
      <c r="C13" s="595">
        <v>0</v>
      </c>
      <c r="D13" s="594" t="s">
        <v>1459</v>
      </c>
    </row>
    <row r="14" spans="1:9" ht="28.8" x14ac:dyDescent="0.3">
      <c r="A14" s="592" t="s">
        <v>1519</v>
      </c>
      <c r="B14" s="76" t="s">
        <v>1524</v>
      </c>
      <c r="C14" s="595">
        <v>0</v>
      </c>
      <c r="D14" s="594" t="s">
        <v>1459</v>
      </c>
    </row>
    <row r="15" spans="1:9" x14ac:dyDescent="0.3">
      <c r="A15" s="592" t="s">
        <v>1059</v>
      </c>
      <c r="B15" s="76" t="s">
        <v>1524</v>
      </c>
      <c r="C15" s="595">
        <v>0</v>
      </c>
      <c r="D15" s="594" t="s">
        <v>1459</v>
      </c>
    </row>
    <row r="16" spans="1:9" x14ac:dyDescent="0.3">
      <c r="A16" s="5" t="s">
        <v>1056</v>
      </c>
      <c r="B16" s="76" t="s">
        <v>1524</v>
      </c>
      <c r="C16" s="595">
        <v>0</v>
      </c>
      <c r="D16" s="594" t="s">
        <v>1459</v>
      </c>
    </row>
    <row r="17" spans="1:4" x14ac:dyDescent="0.3">
      <c r="A17" s="592" t="s">
        <v>1520</v>
      </c>
      <c r="B17" s="76" t="s">
        <v>1524</v>
      </c>
      <c r="C17" s="595" t="str">
        <f>'SE4 assorbimento CO2 ITA 2020'!$F$49</f>
        <v>nd</v>
      </c>
      <c r="D17" s="594" t="s">
        <v>1459</v>
      </c>
    </row>
    <row r="18" spans="1:4" x14ac:dyDescent="0.3">
      <c r="A18" s="592" t="s">
        <v>1053</v>
      </c>
      <c r="B18" s="76" t="s">
        <v>1524</v>
      </c>
      <c r="C18" s="487">
        <f>'SE4 Ass CO2 test Regioni 2019'!AH21</f>
        <v>479.55021747819575</v>
      </c>
      <c r="D18" s="594" t="s">
        <v>1464</v>
      </c>
    </row>
    <row r="19" spans="1:4" x14ac:dyDescent="0.3">
      <c r="A19" s="592" t="s">
        <v>1054</v>
      </c>
      <c r="B19" s="76" t="s">
        <v>1524</v>
      </c>
      <c r="C19" s="593">
        <f>'SE4 assorbimento CO2 ITA 2020'!C43</f>
        <v>13.15039338544079</v>
      </c>
      <c r="D19" s="594" t="s">
        <v>1464</v>
      </c>
    </row>
    <row r="20" spans="1:4" x14ac:dyDescent="0.3">
      <c r="A20" s="592" t="s">
        <v>1055</v>
      </c>
      <c r="B20" s="76" t="s">
        <v>1524</v>
      </c>
      <c r="C20" s="595">
        <f>'SE4 assorbimento CO2 ITA 2020'!D44</f>
        <v>39.067280572225478</v>
      </c>
      <c r="D20" s="594" t="s">
        <v>1464</v>
      </c>
    </row>
    <row r="21" spans="1:4" x14ac:dyDescent="0.3">
      <c r="A21" s="592" t="s">
        <v>1057</v>
      </c>
      <c r="B21" s="76" t="s">
        <v>1524</v>
      </c>
      <c r="C21" s="595">
        <v>0</v>
      </c>
      <c r="D21" s="594" t="s">
        <v>1464</v>
      </c>
    </row>
    <row r="22" spans="1:4" ht="28.8" x14ac:dyDescent="0.3">
      <c r="A22" s="592" t="s">
        <v>1519</v>
      </c>
      <c r="B22" s="76" t="s">
        <v>1524</v>
      </c>
      <c r="C22" s="595">
        <v>0</v>
      </c>
      <c r="D22" s="594" t="s">
        <v>1464</v>
      </c>
    </row>
    <row r="23" spans="1:4" x14ac:dyDescent="0.3">
      <c r="A23" s="592" t="s">
        <v>1059</v>
      </c>
      <c r="B23" s="76" t="s">
        <v>1524</v>
      </c>
      <c r="C23" s="595">
        <v>0</v>
      </c>
      <c r="D23" s="594" t="s">
        <v>1464</v>
      </c>
    </row>
    <row r="24" spans="1:4" x14ac:dyDescent="0.3">
      <c r="A24" s="5" t="s">
        <v>1056</v>
      </c>
      <c r="B24" s="76" t="s">
        <v>1524</v>
      </c>
      <c r="C24" s="595">
        <v>0</v>
      </c>
      <c r="D24" s="594" t="s">
        <v>1464</v>
      </c>
    </row>
    <row r="25" spans="1:4" x14ac:dyDescent="0.3">
      <c r="A25" s="592" t="s">
        <v>1520</v>
      </c>
      <c r="B25" s="76" t="s">
        <v>1524</v>
      </c>
      <c r="C25" s="595" t="str">
        <f>'SE4 assorbimento CO2 ITA 2020'!$F$49</f>
        <v>nd</v>
      </c>
      <c r="D25" s="594" t="s">
        <v>1464</v>
      </c>
    </row>
    <row r="26" spans="1:4" x14ac:dyDescent="0.3">
      <c r="A26" s="592" t="s">
        <v>1053</v>
      </c>
      <c r="B26" s="76" t="s">
        <v>1524</v>
      </c>
      <c r="C26" s="487">
        <f>'SE4 Ass CO2 test Regioni 2019'!AH15</f>
        <v>436.40533951353552</v>
      </c>
      <c r="D26" s="594" t="s">
        <v>1463</v>
      </c>
    </row>
    <row r="27" spans="1:4" x14ac:dyDescent="0.3">
      <c r="A27" s="592" t="s">
        <v>1054</v>
      </c>
      <c r="B27" s="76" t="s">
        <v>1524</v>
      </c>
      <c r="C27" s="593">
        <f>'SE4 assorbimento CO2 ITA 2020'!C43</f>
        <v>13.15039338544079</v>
      </c>
      <c r="D27" s="594" t="s">
        <v>1463</v>
      </c>
    </row>
    <row r="28" spans="1:4" x14ac:dyDescent="0.3">
      <c r="A28" s="592" t="s">
        <v>1055</v>
      </c>
      <c r="B28" s="76" t="s">
        <v>1524</v>
      </c>
      <c r="C28" s="595">
        <f>'SE4 assorbimento CO2 ITA 2020'!D44</f>
        <v>39.067280572225478</v>
      </c>
      <c r="D28" s="594" t="s">
        <v>1463</v>
      </c>
    </row>
    <row r="29" spans="1:4" x14ac:dyDescent="0.3">
      <c r="A29" s="592" t="s">
        <v>1057</v>
      </c>
      <c r="B29" s="76" t="s">
        <v>1524</v>
      </c>
      <c r="C29" s="595">
        <v>0</v>
      </c>
      <c r="D29" s="594" t="s">
        <v>1463</v>
      </c>
    </row>
    <row r="30" spans="1:4" ht="28.8" x14ac:dyDescent="0.3">
      <c r="A30" s="592" t="s">
        <v>1519</v>
      </c>
      <c r="B30" s="76" t="s">
        <v>1524</v>
      </c>
      <c r="C30" s="595">
        <v>0</v>
      </c>
      <c r="D30" s="594" t="s">
        <v>1463</v>
      </c>
    </row>
    <row r="31" spans="1:4" x14ac:dyDescent="0.3">
      <c r="A31" s="592" t="s">
        <v>1059</v>
      </c>
      <c r="B31" s="76" t="s">
        <v>1524</v>
      </c>
      <c r="C31" s="595">
        <v>0</v>
      </c>
      <c r="D31" s="594" t="s">
        <v>1463</v>
      </c>
    </row>
    <row r="32" spans="1:4" x14ac:dyDescent="0.3">
      <c r="A32" s="5" t="s">
        <v>1056</v>
      </c>
      <c r="B32" s="76" t="s">
        <v>1524</v>
      </c>
      <c r="C32" s="595">
        <v>0</v>
      </c>
      <c r="D32" s="594" t="s">
        <v>1463</v>
      </c>
    </row>
    <row r="33" spans="1:4" x14ac:dyDescent="0.3">
      <c r="A33" s="592" t="s">
        <v>1520</v>
      </c>
      <c r="B33" s="76" t="s">
        <v>1524</v>
      </c>
      <c r="C33" s="595" t="str">
        <f>'SE4 assorbimento CO2 ITA 2020'!$F$49</f>
        <v>nd</v>
      </c>
      <c r="D33" s="594" t="s">
        <v>1463</v>
      </c>
    </row>
    <row r="34" spans="1:4" x14ac:dyDescent="0.3">
      <c r="A34" s="592" t="s">
        <v>1053</v>
      </c>
      <c r="B34" s="76" t="s">
        <v>1524</v>
      </c>
      <c r="C34" s="487">
        <f>'SE4 Ass CO2 test Regioni 2019'!AH27</f>
        <v>565.8724789424823</v>
      </c>
      <c r="D34" s="594" t="s">
        <v>1468</v>
      </c>
    </row>
    <row r="35" spans="1:4" x14ac:dyDescent="0.3">
      <c r="A35" s="592" t="s">
        <v>1054</v>
      </c>
      <c r="B35" s="76" t="s">
        <v>1524</v>
      </c>
      <c r="C35" s="593">
        <f>'SE4 assorbimento CO2 ITA 2020'!C43</f>
        <v>13.15039338544079</v>
      </c>
      <c r="D35" s="594" t="s">
        <v>1468</v>
      </c>
    </row>
    <row r="36" spans="1:4" x14ac:dyDescent="0.3">
      <c r="A36" s="592" t="s">
        <v>1055</v>
      </c>
      <c r="B36" s="76" t="s">
        <v>1524</v>
      </c>
      <c r="C36" s="595">
        <f>'SE4 assorbimento CO2 ITA 2020'!D44</f>
        <v>39.067280572225478</v>
      </c>
      <c r="D36" s="594" t="s">
        <v>1468</v>
      </c>
    </row>
    <row r="37" spans="1:4" x14ac:dyDescent="0.3">
      <c r="A37" s="592" t="s">
        <v>1057</v>
      </c>
      <c r="B37" s="76" t="s">
        <v>1524</v>
      </c>
      <c r="C37" s="595">
        <v>0</v>
      </c>
      <c r="D37" s="594" t="s">
        <v>1468</v>
      </c>
    </row>
    <row r="38" spans="1:4" ht="28.8" x14ac:dyDescent="0.3">
      <c r="A38" s="592" t="s">
        <v>1519</v>
      </c>
      <c r="B38" s="76" t="s">
        <v>1524</v>
      </c>
      <c r="C38" s="595">
        <v>0</v>
      </c>
      <c r="D38" s="594" t="s">
        <v>1468</v>
      </c>
    </row>
    <row r="39" spans="1:4" x14ac:dyDescent="0.3">
      <c r="A39" s="592" t="s">
        <v>1059</v>
      </c>
      <c r="B39" s="76" t="s">
        <v>1524</v>
      </c>
      <c r="C39" s="595">
        <v>0</v>
      </c>
      <c r="D39" s="594" t="s">
        <v>1468</v>
      </c>
    </row>
    <row r="40" spans="1:4" x14ac:dyDescent="0.3">
      <c r="A40" s="5" t="s">
        <v>1056</v>
      </c>
      <c r="B40" s="76" t="s">
        <v>1524</v>
      </c>
      <c r="C40" s="595">
        <v>0</v>
      </c>
      <c r="D40" s="594" t="s">
        <v>1468</v>
      </c>
    </row>
    <row r="41" spans="1:4" x14ac:dyDescent="0.3">
      <c r="A41" s="592" t="s">
        <v>1520</v>
      </c>
      <c r="B41" s="76" t="s">
        <v>1524</v>
      </c>
      <c r="C41" s="595" t="str">
        <f>'SE4 assorbimento CO2 ITA 2020'!$F$49</f>
        <v>nd</v>
      </c>
      <c r="D41" s="594" t="s">
        <v>1468</v>
      </c>
    </row>
    <row r="42" spans="1:4" x14ac:dyDescent="0.3">
      <c r="A42" s="592" t="s">
        <v>1053</v>
      </c>
      <c r="B42" s="76" t="s">
        <v>1524</v>
      </c>
      <c r="C42" s="487">
        <f>'SE4 Ass CO2 test Regioni 2019'!AH32</f>
        <v>282.38607598200025</v>
      </c>
      <c r="D42" s="594" t="s">
        <v>1469</v>
      </c>
    </row>
    <row r="43" spans="1:4" x14ac:dyDescent="0.3">
      <c r="A43" s="592" t="s">
        <v>1054</v>
      </c>
      <c r="B43" s="76" t="s">
        <v>1524</v>
      </c>
      <c r="C43" s="593">
        <f>'SE4 assorbimento CO2 ITA 2020'!C43</f>
        <v>13.15039338544079</v>
      </c>
      <c r="D43" s="594" t="s">
        <v>1469</v>
      </c>
    </row>
    <row r="44" spans="1:4" x14ac:dyDescent="0.3">
      <c r="A44" s="592" t="s">
        <v>1055</v>
      </c>
      <c r="B44" s="76" t="s">
        <v>1524</v>
      </c>
      <c r="C44" s="595">
        <f>'SE4 assorbimento CO2 ITA 2020'!D44</f>
        <v>39.067280572225478</v>
      </c>
      <c r="D44" s="594" t="s">
        <v>1469</v>
      </c>
    </row>
    <row r="45" spans="1:4" x14ac:dyDescent="0.3">
      <c r="A45" s="592" t="s">
        <v>1057</v>
      </c>
      <c r="B45" s="76" t="s">
        <v>1524</v>
      </c>
      <c r="C45" s="595">
        <v>0</v>
      </c>
      <c r="D45" s="594" t="s">
        <v>1469</v>
      </c>
    </row>
    <row r="46" spans="1:4" ht="28.8" x14ac:dyDescent="0.3">
      <c r="A46" s="592" t="s">
        <v>1519</v>
      </c>
      <c r="B46" s="76" t="s">
        <v>1524</v>
      </c>
      <c r="C46" s="595">
        <v>0</v>
      </c>
      <c r="D46" s="594" t="s">
        <v>1469</v>
      </c>
    </row>
    <row r="47" spans="1:4" x14ac:dyDescent="0.3">
      <c r="A47" s="592" t="s">
        <v>1059</v>
      </c>
      <c r="B47" s="76" t="s">
        <v>1524</v>
      </c>
      <c r="C47" s="595">
        <v>0</v>
      </c>
      <c r="D47" s="594" t="s">
        <v>1469</v>
      </c>
    </row>
    <row r="48" spans="1:4" x14ac:dyDescent="0.3">
      <c r="A48" s="5" t="s">
        <v>1056</v>
      </c>
      <c r="B48" s="76" t="s">
        <v>1524</v>
      </c>
      <c r="C48" s="595">
        <v>0</v>
      </c>
      <c r="D48" s="594" t="s">
        <v>1469</v>
      </c>
    </row>
    <row r="49" spans="1:4" x14ac:dyDescent="0.3">
      <c r="A49" s="592" t="s">
        <v>1520</v>
      </c>
      <c r="B49" s="76" t="s">
        <v>1524</v>
      </c>
      <c r="C49" s="595" t="str">
        <f>'SE4 assorbimento CO2 ITA 2020'!$F$49</f>
        <v>nd</v>
      </c>
      <c r="D49" s="594" t="s">
        <v>1469</v>
      </c>
    </row>
    <row r="50" spans="1:4" x14ac:dyDescent="0.3">
      <c r="A50" s="592" t="s">
        <v>1053</v>
      </c>
      <c r="B50" s="76" t="s">
        <v>1524</v>
      </c>
      <c r="C50" s="487">
        <f>'SE4 Ass CO2 test Regioni 2019'!AH28</f>
        <v>251.02229537179173</v>
      </c>
      <c r="D50" s="594" t="s">
        <v>1460</v>
      </c>
    </row>
    <row r="51" spans="1:4" x14ac:dyDescent="0.3">
      <c r="A51" s="592" t="s">
        <v>1054</v>
      </c>
      <c r="B51" s="76" t="s">
        <v>1524</v>
      </c>
      <c r="C51" s="593">
        <f>'SE4 assorbimento CO2 ITA 2020'!C43</f>
        <v>13.15039338544079</v>
      </c>
      <c r="D51" s="594" t="s">
        <v>1460</v>
      </c>
    </row>
    <row r="52" spans="1:4" x14ac:dyDescent="0.3">
      <c r="A52" s="592" t="s">
        <v>1055</v>
      </c>
      <c r="B52" s="76" t="s">
        <v>1524</v>
      </c>
      <c r="C52" s="595">
        <f>'SE4 assorbimento CO2 ITA 2020'!D44</f>
        <v>39.067280572225478</v>
      </c>
      <c r="D52" s="594" t="s">
        <v>1460</v>
      </c>
    </row>
    <row r="53" spans="1:4" x14ac:dyDescent="0.3">
      <c r="A53" s="592" t="s">
        <v>1057</v>
      </c>
      <c r="B53" s="76" t="s">
        <v>1524</v>
      </c>
      <c r="C53" s="595">
        <v>0</v>
      </c>
      <c r="D53" s="594" t="s">
        <v>1460</v>
      </c>
    </row>
    <row r="54" spans="1:4" ht="28.8" x14ac:dyDescent="0.3">
      <c r="A54" s="592" t="s">
        <v>1519</v>
      </c>
      <c r="B54" s="76" t="s">
        <v>1524</v>
      </c>
      <c r="C54" s="595">
        <v>0</v>
      </c>
      <c r="D54" s="594" t="s">
        <v>1460</v>
      </c>
    </row>
    <row r="55" spans="1:4" x14ac:dyDescent="0.3">
      <c r="A55" s="592" t="s">
        <v>1059</v>
      </c>
      <c r="B55" s="76" t="s">
        <v>1524</v>
      </c>
      <c r="C55" s="595">
        <v>0</v>
      </c>
      <c r="D55" s="594" t="s">
        <v>1460</v>
      </c>
    </row>
    <row r="56" spans="1:4" x14ac:dyDescent="0.3">
      <c r="A56" s="5" t="s">
        <v>1056</v>
      </c>
      <c r="B56" s="76" t="s">
        <v>1524</v>
      </c>
      <c r="C56" s="595">
        <v>0</v>
      </c>
      <c r="D56" s="594" t="s">
        <v>1460</v>
      </c>
    </row>
    <row r="57" spans="1:4" x14ac:dyDescent="0.3">
      <c r="A57" s="592" t="s">
        <v>1520</v>
      </c>
      <c r="B57" s="76" t="s">
        <v>1524</v>
      </c>
      <c r="C57" s="595" t="str">
        <f>'SE4 assorbimento CO2 ITA 2020'!$F$49</f>
        <v>nd</v>
      </c>
      <c r="D57" s="594" t="s">
        <v>1460</v>
      </c>
    </row>
    <row r="58" spans="1:4" x14ac:dyDescent="0.3">
      <c r="A58" s="592" t="s">
        <v>1053</v>
      </c>
      <c r="B58" s="76" t="s">
        <v>1524</v>
      </c>
      <c r="C58" s="487">
        <f>'SE4 Ass CO2 test Regioni 2019'!AH17</f>
        <v>243.74656393269547</v>
      </c>
      <c r="D58" s="594" t="s">
        <v>1461</v>
      </c>
    </row>
    <row r="59" spans="1:4" x14ac:dyDescent="0.3">
      <c r="A59" s="592" t="s">
        <v>1054</v>
      </c>
      <c r="B59" s="76" t="s">
        <v>1524</v>
      </c>
      <c r="C59" s="593">
        <f>'SE4 assorbimento CO2 ITA 2020'!C43</f>
        <v>13.15039338544079</v>
      </c>
      <c r="D59" s="594" t="s">
        <v>1461</v>
      </c>
    </row>
    <row r="60" spans="1:4" x14ac:dyDescent="0.3">
      <c r="A60" s="592" t="s">
        <v>1055</v>
      </c>
      <c r="B60" s="76" t="s">
        <v>1524</v>
      </c>
      <c r="C60" s="595">
        <f>'SE4 assorbimento CO2 ITA 2020'!D44</f>
        <v>39.067280572225478</v>
      </c>
      <c r="D60" s="594" t="s">
        <v>1461</v>
      </c>
    </row>
    <row r="61" spans="1:4" x14ac:dyDescent="0.3">
      <c r="A61" s="592" t="s">
        <v>1057</v>
      </c>
      <c r="B61" s="76" t="s">
        <v>1524</v>
      </c>
      <c r="C61" s="595">
        <v>0</v>
      </c>
      <c r="D61" s="594" t="s">
        <v>1461</v>
      </c>
    </row>
    <row r="62" spans="1:4" ht="28.8" x14ac:dyDescent="0.3">
      <c r="A62" s="592" t="s">
        <v>1519</v>
      </c>
      <c r="B62" s="76" t="s">
        <v>1524</v>
      </c>
      <c r="C62" s="595">
        <v>0</v>
      </c>
      <c r="D62" s="594" t="s">
        <v>1461</v>
      </c>
    </row>
    <row r="63" spans="1:4" x14ac:dyDescent="0.3">
      <c r="A63" s="592" t="s">
        <v>1059</v>
      </c>
      <c r="B63" s="76" t="s">
        <v>1524</v>
      </c>
      <c r="C63" s="595">
        <v>0</v>
      </c>
      <c r="D63" s="594" t="s">
        <v>1461</v>
      </c>
    </row>
    <row r="64" spans="1:4" x14ac:dyDescent="0.3">
      <c r="A64" s="5" t="s">
        <v>1056</v>
      </c>
      <c r="B64" s="76" t="s">
        <v>1524</v>
      </c>
      <c r="C64" s="595">
        <v>0</v>
      </c>
      <c r="D64" s="594" t="s">
        <v>1461</v>
      </c>
    </row>
    <row r="65" spans="1:4" x14ac:dyDescent="0.3">
      <c r="A65" s="592" t="s">
        <v>1520</v>
      </c>
      <c r="B65" s="76" t="s">
        <v>1524</v>
      </c>
      <c r="C65" s="595" t="str">
        <f>'SE4 assorbimento CO2 ITA 2020'!$F$49</f>
        <v>nd</v>
      </c>
      <c r="D65" s="594" t="s">
        <v>1461</v>
      </c>
    </row>
    <row r="66" spans="1:4" x14ac:dyDescent="0.3">
      <c r="A66" s="592" t="s">
        <v>1053</v>
      </c>
      <c r="B66" s="76" t="s">
        <v>1524</v>
      </c>
      <c r="C66" s="487">
        <f>'SE4 Ass CO2 test Regioni 2019'!AH21</f>
        <v>479.55021747819575</v>
      </c>
      <c r="D66" s="594" t="s">
        <v>1467</v>
      </c>
    </row>
    <row r="67" spans="1:4" x14ac:dyDescent="0.3">
      <c r="A67" s="592" t="s">
        <v>1054</v>
      </c>
      <c r="B67" s="76" t="s">
        <v>1524</v>
      </c>
      <c r="C67" s="593">
        <f>'SE4 assorbimento CO2 ITA 2020'!C43</f>
        <v>13.15039338544079</v>
      </c>
      <c r="D67" s="594" t="s">
        <v>1467</v>
      </c>
    </row>
    <row r="68" spans="1:4" x14ac:dyDescent="0.3">
      <c r="A68" s="592" t="s">
        <v>1055</v>
      </c>
      <c r="B68" s="76" t="s">
        <v>1524</v>
      </c>
      <c r="C68" s="595">
        <f>'SE4 assorbimento CO2 ITA 2020'!D44</f>
        <v>39.067280572225478</v>
      </c>
      <c r="D68" s="594" t="s">
        <v>1467</v>
      </c>
    </row>
    <row r="69" spans="1:4" x14ac:dyDescent="0.3">
      <c r="A69" s="592" t="s">
        <v>1057</v>
      </c>
      <c r="B69" s="76" t="s">
        <v>1524</v>
      </c>
      <c r="C69" s="595">
        <v>0</v>
      </c>
      <c r="D69" s="594" t="s">
        <v>1467</v>
      </c>
    </row>
    <row r="70" spans="1:4" ht="28.8" x14ac:dyDescent="0.3">
      <c r="A70" s="592" t="s">
        <v>1519</v>
      </c>
      <c r="B70" s="76" t="s">
        <v>1524</v>
      </c>
      <c r="C70" s="595">
        <v>0</v>
      </c>
      <c r="D70" s="594" t="s">
        <v>1467</v>
      </c>
    </row>
    <row r="71" spans="1:4" x14ac:dyDescent="0.3">
      <c r="A71" s="592" t="s">
        <v>1059</v>
      </c>
      <c r="B71" s="76" t="s">
        <v>1524</v>
      </c>
      <c r="C71" s="595">
        <v>0</v>
      </c>
      <c r="D71" s="594" t="s">
        <v>1467</v>
      </c>
    </row>
    <row r="72" spans="1:4" x14ac:dyDescent="0.3">
      <c r="A72" s="5" t="s">
        <v>1056</v>
      </c>
      <c r="B72" s="76" t="s">
        <v>1524</v>
      </c>
      <c r="C72" s="595">
        <v>0</v>
      </c>
      <c r="D72" s="594" t="s">
        <v>1467</v>
      </c>
    </row>
    <row r="73" spans="1:4" x14ac:dyDescent="0.3">
      <c r="A73" s="592" t="s">
        <v>1520</v>
      </c>
      <c r="B73" s="76" t="s">
        <v>1524</v>
      </c>
      <c r="C73" s="595" t="str">
        <f>'SE4 assorbimento CO2 ITA 2020'!$F$49</f>
        <v>nd</v>
      </c>
      <c r="D73" s="594" t="s">
        <v>1467</v>
      </c>
    </row>
    <row r="74" spans="1:4" x14ac:dyDescent="0.3">
      <c r="A74" s="592" t="s">
        <v>1053</v>
      </c>
      <c r="B74" s="76" t="s">
        <v>1524</v>
      </c>
      <c r="C74" s="487">
        <f>'SE4 Ass CO2 test Regioni 2019'!AH13</f>
        <v>387.03829014636057</v>
      </c>
      <c r="D74" s="594" t="s">
        <v>1465</v>
      </c>
    </row>
    <row r="75" spans="1:4" x14ac:dyDescent="0.3">
      <c r="A75" s="592" t="s">
        <v>1054</v>
      </c>
      <c r="B75" s="76" t="s">
        <v>1524</v>
      </c>
      <c r="C75" s="593">
        <f>'SE4 assorbimento CO2 ITA 2020'!C43</f>
        <v>13.15039338544079</v>
      </c>
      <c r="D75" s="594" t="s">
        <v>1465</v>
      </c>
    </row>
    <row r="76" spans="1:4" x14ac:dyDescent="0.3">
      <c r="A76" s="592" t="s">
        <v>1055</v>
      </c>
      <c r="B76" s="76" t="s">
        <v>1524</v>
      </c>
      <c r="C76" s="595">
        <f>'SE4 assorbimento CO2 ITA 2020'!D44</f>
        <v>39.067280572225478</v>
      </c>
      <c r="D76" s="594" t="s">
        <v>1465</v>
      </c>
    </row>
    <row r="77" spans="1:4" x14ac:dyDescent="0.3">
      <c r="A77" s="592" t="s">
        <v>1057</v>
      </c>
      <c r="B77" s="76" t="s">
        <v>1524</v>
      </c>
      <c r="C77" s="595">
        <v>0</v>
      </c>
      <c r="D77" s="594" t="s">
        <v>1465</v>
      </c>
    </row>
    <row r="78" spans="1:4" ht="28.8" x14ac:dyDescent="0.3">
      <c r="A78" s="592" t="s">
        <v>1519</v>
      </c>
      <c r="B78" s="76" t="s">
        <v>1524</v>
      </c>
      <c r="C78" s="595">
        <v>0</v>
      </c>
      <c r="D78" s="594" t="s">
        <v>1465</v>
      </c>
    </row>
    <row r="79" spans="1:4" x14ac:dyDescent="0.3">
      <c r="A79" s="592" t="s">
        <v>1059</v>
      </c>
      <c r="B79" s="76" t="s">
        <v>1524</v>
      </c>
      <c r="C79" s="595">
        <v>0</v>
      </c>
      <c r="D79" s="594" t="s">
        <v>1465</v>
      </c>
    </row>
    <row r="80" spans="1:4" x14ac:dyDescent="0.3">
      <c r="A80" s="5" t="s">
        <v>1056</v>
      </c>
      <c r="B80" s="76" t="s">
        <v>1524</v>
      </c>
      <c r="C80" s="595">
        <v>0</v>
      </c>
      <c r="D80" s="594" t="s">
        <v>1465</v>
      </c>
    </row>
    <row r="81" spans="1:4" x14ac:dyDescent="0.3">
      <c r="A81" s="592" t="s">
        <v>1520</v>
      </c>
      <c r="B81" s="76" t="s">
        <v>1524</v>
      </c>
      <c r="C81" s="595" t="str">
        <f>'SE4 assorbimento CO2 ITA 2020'!$F$49</f>
        <v>nd</v>
      </c>
      <c r="D81" s="594" t="s">
        <v>1465</v>
      </c>
    </row>
    <row r="82" spans="1:4" x14ac:dyDescent="0.3">
      <c r="A82" s="592" t="s">
        <v>1053</v>
      </c>
      <c r="B82" s="76" t="s">
        <v>1524</v>
      </c>
      <c r="C82" s="487">
        <f>'SE4 Ass CO2 test Regioni 2019'!AH33</f>
        <v>576.99551521057822</v>
      </c>
      <c r="D82" s="594" t="s">
        <v>1466</v>
      </c>
    </row>
    <row r="83" spans="1:4" x14ac:dyDescent="0.3">
      <c r="A83" s="592" t="s">
        <v>1054</v>
      </c>
      <c r="B83" s="76" t="s">
        <v>1524</v>
      </c>
      <c r="C83" s="593">
        <f>'SE4 assorbimento CO2 ITA 2020'!C43</f>
        <v>13.15039338544079</v>
      </c>
      <c r="D83" s="594" t="s">
        <v>1466</v>
      </c>
    </row>
    <row r="84" spans="1:4" x14ac:dyDescent="0.3">
      <c r="A84" s="592" t="s">
        <v>1055</v>
      </c>
      <c r="B84" s="76" t="s">
        <v>1524</v>
      </c>
      <c r="C84" s="595">
        <f>'SE4 assorbimento CO2 ITA 2020'!D44</f>
        <v>39.067280572225478</v>
      </c>
      <c r="D84" s="594" t="s">
        <v>1466</v>
      </c>
    </row>
    <row r="85" spans="1:4" x14ac:dyDescent="0.3">
      <c r="A85" s="592" t="s">
        <v>1057</v>
      </c>
      <c r="B85" s="76" t="s">
        <v>1524</v>
      </c>
      <c r="C85" s="595">
        <v>0</v>
      </c>
      <c r="D85" s="594" t="s">
        <v>1466</v>
      </c>
    </row>
    <row r="86" spans="1:4" ht="28.8" x14ac:dyDescent="0.3">
      <c r="A86" s="592" t="s">
        <v>1519</v>
      </c>
      <c r="B86" s="76" t="s">
        <v>1524</v>
      </c>
      <c r="C86" s="595">
        <v>0</v>
      </c>
      <c r="D86" s="594" t="s">
        <v>1466</v>
      </c>
    </row>
    <row r="87" spans="1:4" x14ac:dyDescent="0.3">
      <c r="A87" s="592" t="s">
        <v>1059</v>
      </c>
      <c r="B87" s="76" t="s">
        <v>1524</v>
      </c>
      <c r="C87" s="595">
        <v>0</v>
      </c>
      <c r="D87" s="594" t="s">
        <v>1466</v>
      </c>
    </row>
    <row r="88" spans="1:4" x14ac:dyDescent="0.3">
      <c r="A88" s="5" t="s">
        <v>1056</v>
      </c>
      <c r="B88" s="76" t="s">
        <v>1524</v>
      </c>
      <c r="C88" s="595">
        <v>0</v>
      </c>
      <c r="D88" s="594" t="s">
        <v>1466</v>
      </c>
    </row>
    <row r="89" spans="1:4" x14ac:dyDescent="0.3">
      <c r="A89" s="609" t="s">
        <v>1520</v>
      </c>
      <c r="B89" s="616" t="s">
        <v>1524</v>
      </c>
      <c r="C89" s="606" t="str">
        <f>'SE4 assorbimento CO2 ITA 2020'!$F$49</f>
        <v>nd</v>
      </c>
      <c r="D89" s="610" t="s">
        <v>1466</v>
      </c>
    </row>
    <row r="90" spans="1:4" x14ac:dyDescent="0.3">
      <c r="A90" s="592" t="s">
        <v>1053</v>
      </c>
      <c r="B90" s="76" t="s">
        <v>1524</v>
      </c>
      <c r="C90" s="487">
        <f>'SE4 Ass CO2 test Regioni 2019'!AH16</f>
        <v>565.05653996795843</v>
      </c>
      <c r="D90" s="594" t="s">
        <v>1584</v>
      </c>
    </row>
    <row r="91" spans="1:4" x14ac:dyDescent="0.3">
      <c r="A91" s="592" t="s">
        <v>1054</v>
      </c>
      <c r="B91" s="76" t="s">
        <v>1524</v>
      </c>
      <c r="C91" s="593">
        <f>'SE4 assorbimento CO2 ITA 2020'!C43</f>
        <v>13.15039338544079</v>
      </c>
      <c r="D91" s="594" t="s">
        <v>1584</v>
      </c>
    </row>
    <row r="92" spans="1:4" x14ac:dyDescent="0.3">
      <c r="A92" s="592" t="s">
        <v>1055</v>
      </c>
      <c r="B92" s="76" t="s">
        <v>1524</v>
      </c>
      <c r="C92" s="595">
        <f>'SE4 assorbimento CO2 ITA 2020'!D44</f>
        <v>39.067280572225478</v>
      </c>
      <c r="D92" s="594" t="s">
        <v>1584</v>
      </c>
    </row>
    <row r="93" spans="1:4" x14ac:dyDescent="0.3">
      <c r="A93" s="592" t="s">
        <v>1057</v>
      </c>
      <c r="B93" s="76" t="s">
        <v>1524</v>
      </c>
      <c r="C93" s="595">
        <v>0</v>
      </c>
      <c r="D93" s="594" t="s">
        <v>1584</v>
      </c>
    </row>
    <row r="94" spans="1:4" ht="28.8" x14ac:dyDescent="0.3">
      <c r="A94" s="592" t="s">
        <v>1519</v>
      </c>
      <c r="B94" s="76" t="s">
        <v>1524</v>
      </c>
      <c r="C94" s="595">
        <v>0</v>
      </c>
      <c r="D94" s="594" t="s">
        <v>1584</v>
      </c>
    </row>
    <row r="95" spans="1:4" x14ac:dyDescent="0.3">
      <c r="A95" s="592" t="s">
        <v>1059</v>
      </c>
      <c r="B95" s="76" t="s">
        <v>1524</v>
      </c>
      <c r="C95" s="595">
        <v>0</v>
      </c>
      <c r="D95" s="594" t="s">
        <v>1584</v>
      </c>
    </row>
    <row r="96" spans="1:4" x14ac:dyDescent="0.3">
      <c r="A96" s="5" t="s">
        <v>1056</v>
      </c>
      <c r="B96" s="76" t="s">
        <v>1524</v>
      </c>
      <c r="C96" s="595">
        <v>0</v>
      </c>
      <c r="D96" s="594" t="s">
        <v>1584</v>
      </c>
    </row>
    <row r="97" spans="1:11" ht="15" thickBot="1" x14ac:dyDescent="0.35">
      <c r="A97" s="596" t="s">
        <v>1520</v>
      </c>
      <c r="B97" s="618" t="s">
        <v>1524</v>
      </c>
      <c r="C97" s="597" t="str">
        <f>'SE4 assorbimento CO2 ITA 2020'!$F$49</f>
        <v>nd</v>
      </c>
      <c r="D97" s="598" t="s">
        <v>1584</v>
      </c>
    </row>
    <row r="98" spans="1:11" ht="28.8" x14ac:dyDescent="0.3">
      <c r="A98" s="589" t="s">
        <v>1053</v>
      </c>
      <c r="B98" s="321" t="s">
        <v>1525</v>
      </c>
      <c r="C98" s="599">
        <f>'SE5qualità Habitat biodiversità'!G44</f>
        <v>820.66301158432475</v>
      </c>
      <c r="D98" s="591" t="s">
        <v>498</v>
      </c>
      <c r="G98" t="s">
        <v>1608</v>
      </c>
    </row>
    <row r="99" spans="1:11" ht="28.8" x14ac:dyDescent="0.3">
      <c r="A99" s="592" t="s">
        <v>1054</v>
      </c>
      <c r="B99" s="76" t="s">
        <v>1525</v>
      </c>
      <c r="C99" s="600">
        <f>'SE5qualità Habitat biodiversità'!D55</f>
        <v>531.44976509268611</v>
      </c>
      <c r="D99" s="594" t="s">
        <v>498</v>
      </c>
      <c r="G99" t="s">
        <v>2017</v>
      </c>
    </row>
    <row r="100" spans="1:11" ht="28.8" x14ac:dyDescent="0.3">
      <c r="A100" s="592" t="s">
        <v>1055</v>
      </c>
      <c r="B100" s="76" t="s">
        <v>1525</v>
      </c>
      <c r="C100" s="600">
        <f>'SE5qualità Habitat biodiversità'!E42</f>
        <v>1155.8317527515414</v>
      </c>
      <c r="D100" s="594" t="s">
        <v>498</v>
      </c>
      <c r="G100" s="64"/>
      <c r="H100" s="64"/>
      <c r="I100" s="64"/>
    </row>
    <row r="101" spans="1:11" ht="28.8" x14ac:dyDescent="0.3">
      <c r="A101" s="592" t="s">
        <v>1057</v>
      </c>
      <c r="B101" s="76" t="s">
        <v>1525</v>
      </c>
      <c r="C101" s="600">
        <f>'SE5qualità Habitat biodiversità'!K48</f>
        <v>92.013112672657599</v>
      </c>
      <c r="D101" s="594" t="s">
        <v>498</v>
      </c>
      <c r="G101" t="s">
        <v>1610</v>
      </c>
      <c r="J101" s="651" t="s">
        <v>1537</v>
      </c>
    </row>
    <row r="102" spans="1:11" ht="28.8" x14ac:dyDescent="0.3">
      <c r="A102" s="592" t="s">
        <v>1519</v>
      </c>
      <c r="B102" s="76" t="s">
        <v>1525</v>
      </c>
      <c r="C102" s="600">
        <f>'SE5qualità Habitat biodiversità'!H45</f>
        <v>11855.598516405655</v>
      </c>
      <c r="D102" s="594" t="s">
        <v>498</v>
      </c>
      <c r="G102" t="s">
        <v>1612</v>
      </c>
    </row>
    <row r="103" spans="1:11" ht="28.8" x14ac:dyDescent="0.3">
      <c r="A103" s="592" t="s">
        <v>1059</v>
      </c>
      <c r="B103" s="76" t="s">
        <v>1525</v>
      </c>
      <c r="C103" s="600">
        <f>'SE5qualità Habitat biodiversità'!F43</f>
        <v>827.91376741091597</v>
      </c>
      <c r="D103" s="594" t="s">
        <v>498</v>
      </c>
      <c r="G103" t="s">
        <v>1609</v>
      </c>
    </row>
    <row r="104" spans="1:11" ht="28.8" x14ac:dyDescent="0.3">
      <c r="A104" s="5" t="s">
        <v>1056</v>
      </c>
      <c r="B104" s="76" t="s">
        <v>1525</v>
      </c>
      <c r="C104" s="600">
        <f>'SE5qualità Habitat biodiversità'!E11</f>
        <v>562.08676154307147</v>
      </c>
      <c r="D104" s="594" t="s">
        <v>498</v>
      </c>
      <c r="G104" t="s">
        <v>1611</v>
      </c>
      <c r="K104" s="19" t="s">
        <v>1559</v>
      </c>
    </row>
    <row r="105" spans="1:11" ht="28.8" x14ac:dyDescent="0.3">
      <c r="A105" s="592" t="s">
        <v>1520</v>
      </c>
      <c r="B105" s="76" t="s">
        <v>1525</v>
      </c>
      <c r="C105" s="600">
        <f>'SE5qualità Habitat biodiversità'!J47</f>
        <v>461.98318129004173</v>
      </c>
      <c r="D105" s="594" t="s">
        <v>498</v>
      </c>
    </row>
    <row r="106" spans="1:11" ht="28.8" x14ac:dyDescent="0.3">
      <c r="A106" s="592" t="s">
        <v>1053</v>
      </c>
      <c r="B106" s="76" t="s">
        <v>1525</v>
      </c>
      <c r="C106" s="600">
        <f>'SE5qualità Habitat biodiversità'!G44</f>
        <v>820.66301158432475</v>
      </c>
      <c r="D106" s="594" t="s">
        <v>1459</v>
      </c>
    </row>
    <row r="107" spans="1:11" ht="28.8" x14ac:dyDescent="0.3">
      <c r="A107" s="592" t="s">
        <v>1054</v>
      </c>
      <c r="B107" s="76" t="s">
        <v>1525</v>
      </c>
      <c r="C107" s="600">
        <f>'SE5qualità Habitat biodiversità'!C55</f>
        <v>265.72488254634305</v>
      </c>
      <c r="D107" s="594" t="s">
        <v>1459</v>
      </c>
    </row>
    <row r="108" spans="1:11" ht="28.8" x14ac:dyDescent="0.3">
      <c r="A108" s="592" t="s">
        <v>1055</v>
      </c>
      <c r="B108" s="76" t="s">
        <v>1525</v>
      </c>
      <c r="C108" s="600">
        <f>'SE5qualità Habitat biodiversità'!E42</f>
        <v>1155.8317527515414</v>
      </c>
      <c r="D108" s="594" t="s">
        <v>1459</v>
      </c>
    </row>
    <row r="109" spans="1:11" ht="28.8" x14ac:dyDescent="0.3">
      <c r="A109" s="592" t="s">
        <v>1057</v>
      </c>
      <c r="B109" s="76" t="s">
        <v>1525</v>
      </c>
      <c r="C109" s="600">
        <f>'SE5qualità Habitat biodiversità'!K48</f>
        <v>92.013112672657599</v>
      </c>
      <c r="D109" s="594" t="s">
        <v>1459</v>
      </c>
    </row>
    <row r="110" spans="1:11" ht="28.8" x14ac:dyDescent="0.3">
      <c r="A110" s="592" t="s">
        <v>1519</v>
      </c>
      <c r="B110" s="76" t="s">
        <v>1525</v>
      </c>
      <c r="C110" s="600">
        <f>'SE5qualità Habitat biodiversità'!H45</f>
        <v>11855.598516405655</v>
      </c>
      <c r="D110" s="594" t="s">
        <v>1459</v>
      </c>
    </row>
    <row r="111" spans="1:11" ht="28.8" x14ac:dyDescent="0.3">
      <c r="A111" s="592" t="s">
        <v>1059</v>
      </c>
      <c r="B111" s="76" t="s">
        <v>1525</v>
      </c>
      <c r="C111" s="600">
        <f>'SE5qualità Habitat biodiversità'!F43</f>
        <v>827.91376741091597</v>
      </c>
      <c r="D111" s="594" t="s">
        <v>1459</v>
      </c>
    </row>
    <row r="112" spans="1:11" ht="28.8" x14ac:dyDescent="0.3">
      <c r="A112" s="5" t="s">
        <v>1056</v>
      </c>
      <c r="B112" s="76" t="s">
        <v>1525</v>
      </c>
      <c r="C112" s="600">
        <f>'SE5qualità Habitat biodiversità'!E11</f>
        <v>562.08676154307147</v>
      </c>
      <c r="D112" s="594" t="s">
        <v>1459</v>
      </c>
    </row>
    <row r="113" spans="1:4" ht="28.8" x14ac:dyDescent="0.3">
      <c r="A113" s="592" t="s">
        <v>1520</v>
      </c>
      <c r="B113" s="76" t="s">
        <v>1525</v>
      </c>
      <c r="C113" s="600">
        <f>'SE5qualità Habitat biodiversità'!J47</f>
        <v>461.98318129004173</v>
      </c>
      <c r="D113" s="594" t="s">
        <v>1459</v>
      </c>
    </row>
    <row r="114" spans="1:4" ht="28.8" x14ac:dyDescent="0.3">
      <c r="A114" s="592" t="s">
        <v>1053</v>
      </c>
      <c r="B114" s="76" t="s">
        <v>1525</v>
      </c>
      <c r="C114" s="600">
        <f>'SE5qualità Habitat biodiversità'!G44</f>
        <v>820.66301158432475</v>
      </c>
      <c r="D114" s="594" t="s">
        <v>1464</v>
      </c>
    </row>
    <row r="115" spans="1:4" ht="28.8" x14ac:dyDescent="0.3">
      <c r="A115" s="592" t="s">
        <v>1054</v>
      </c>
      <c r="B115" s="76" t="s">
        <v>1525</v>
      </c>
      <c r="C115" s="600">
        <f>'SE5qualità Habitat biodiversità'!D55</f>
        <v>531.44976509268611</v>
      </c>
      <c r="D115" s="594" t="s">
        <v>1464</v>
      </c>
    </row>
    <row r="116" spans="1:4" ht="28.8" x14ac:dyDescent="0.3">
      <c r="A116" s="592" t="s">
        <v>1055</v>
      </c>
      <c r="B116" s="76" t="s">
        <v>1525</v>
      </c>
      <c r="C116" s="600">
        <f>'SE5qualità Habitat biodiversità'!E42</f>
        <v>1155.8317527515414</v>
      </c>
      <c r="D116" s="594" t="s">
        <v>1464</v>
      </c>
    </row>
    <row r="117" spans="1:4" ht="28.8" x14ac:dyDescent="0.3">
      <c r="A117" s="592" t="s">
        <v>1057</v>
      </c>
      <c r="B117" s="76" t="s">
        <v>1525</v>
      </c>
      <c r="C117" s="600">
        <f>'SE5qualità Habitat biodiversità'!K48</f>
        <v>92.013112672657599</v>
      </c>
      <c r="D117" s="594" t="s">
        <v>1464</v>
      </c>
    </row>
    <row r="118" spans="1:4" ht="28.8" x14ac:dyDescent="0.3">
      <c r="A118" s="592" t="s">
        <v>1519</v>
      </c>
      <c r="B118" s="76" t="s">
        <v>1525</v>
      </c>
      <c r="C118" s="600">
        <f>'SE5qualità Habitat biodiversità'!H45</f>
        <v>11855.598516405655</v>
      </c>
      <c r="D118" s="594" t="s">
        <v>1464</v>
      </c>
    </row>
    <row r="119" spans="1:4" ht="28.8" x14ac:dyDescent="0.3">
      <c r="A119" s="592" t="s">
        <v>1059</v>
      </c>
      <c r="B119" s="76" t="s">
        <v>1525</v>
      </c>
      <c r="C119" s="600">
        <f>'SE5qualità Habitat biodiversità'!F43</f>
        <v>827.91376741091597</v>
      </c>
      <c r="D119" s="594" t="s">
        <v>1464</v>
      </c>
    </row>
    <row r="120" spans="1:4" ht="28.8" x14ac:dyDescent="0.3">
      <c r="A120" s="5" t="s">
        <v>1056</v>
      </c>
      <c r="B120" s="76" t="s">
        <v>1525</v>
      </c>
      <c r="C120" s="600">
        <f>'SE5qualità Habitat biodiversità'!E11</f>
        <v>562.08676154307147</v>
      </c>
      <c r="D120" s="594" t="s">
        <v>1464</v>
      </c>
    </row>
    <row r="121" spans="1:4" ht="28.8" x14ac:dyDescent="0.3">
      <c r="A121" s="592" t="s">
        <v>1520</v>
      </c>
      <c r="B121" s="76" t="s">
        <v>1525</v>
      </c>
      <c r="C121" s="600">
        <f>'SE5qualità Habitat biodiversità'!J47</f>
        <v>461.98318129004173</v>
      </c>
      <c r="D121" s="594" t="s">
        <v>1464</v>
      </c>
    </row>
    <row r="122" spans="1:4" ht="28.8" x14ac:dyDescent="0.3">
      <c r="A122" s="592" t="s">
        <v>1053</v>
      </c>
      <c r="B122" s="76" t="s">
        <v>1525</v>
      </c>
      <c r="C122" s="600">
        <f>'SE5qualità Habitat biodiversità'!G44</f>
        <v>820.66301158432475</v>
      </c>
      <c r="D122" s="594" t="s">
        <v>1463</v>
      </c>
    </row>
    <row r="123" spans="1:4" ht="28.8" x14ac:dyDescent="0.3">
      <c r="A123" s="592" t="s">
        <v>1054</v>
      </c>
      <c r="B123" s="76" t="s">
        <v>1525</v>
      </c>
      <c r="C123" s="600">
        <f>'SE5qualità Habitat biodiversità'!E55</f>
        <v>398.58732381951461</v>
      </c>
      <c r="D123" s="594" t="s">
        <v>1463</v>
      </c>
    </row>
    <row r="124" spans="1:4" ht="28.8" x14ac:dyDescent="0.3">
      <c r="A124" s="592" t="s">
        <v>1055</v>
      </c>
      <c r="B124" s="76" t="s">
        <v>1525</v>
      </c>
      <c r="C124" s="600">
        <f>'SE5qualità Habitat biodiversità'!E42</f>
        <v>1155.8317527515414</v>
      </c>
      <c r="D124" s="594" t="s">
        <v>1463</v>
      </c>
    </row>
    <row r="125" spans="1:4" ht="28.8" x14ac:dyDescent="0.3">
      <c r="A125" s="592" t="s">
        <v>1057</v>
      </c>
      <c r="B125" s="76" t="s">
        <v>1525</v>
      </c>
      <c r="C125" s="600">
        <f>'SE5qualità Habitat biodiversità'!K48</f>
        <v>92.013112672657599</v>
      </c>
      <c r="D125" s="594" t="s">
        <v>1463</v>
      </c>
    </row>
    <row r="126" spans="1:4" ht="28.8" x14ac:dyDescent="0.3">
      <c r="A126" s="592" t="s">
        <v>1519</v>
      </c>
      <c r="B126" s="76" t="s">
        <v>1525</v>
      </c>
      <c r="C126" s="600">
        <f>'SE5qualità Habitat biodiversità'!H45</f>
        <v>11855.598516405655</v>
      </c>
      <c r="D126" s="594" t="s">
        <v>1463</v>
      </c>
    </row>
    <row r="127" spans="1:4" ht="28.8" x14ac:dyDescent="0.3">
      <c r="A127" s="592" t="s">
        <v>1059</v>
      </c>
      <c r="B127" s="76" t="s">
        <v>1525</v>
      </c>
      <c r="C127" s="600">
        <f>'SE5qualità Habitat biodiversità'!F43</f>
        <v>827.91376741091597</v>
      </c>
      <c r="D127" s="594" t="s">
        <v>1463</v>
      </c>
    </row>
    <row r="128" spans="1:4" ht="28.8" x14ac:dyDescent="0.3">
      <c r="A128" s="5" t="s">
        <v>1056</v>
      </c>
      <c r="B128" s="76" t="s">
        <v>1525</v>
      </c>
      <c r="C128" s="600">
        <f>'SE5qualità Habitat biodiversità'!E11</f>
        <v>562.08676154307147</v>
      </c>
      <c r="D128" s="594" t="s">
        <v>1463</v>
      </c>
    </row>
    <row r="129" spans="1:4" ht="28.8" x14ac:dyDescent="0.3">
      <c r="A129" s="592" t="s">
        <v>1520</v>
      </c>
      <c r="B129" s="76" t="s">
        <v>1525</v>
      </c>
      <c r="C129" s="600">
        <f>'SE5qualità Habitat biodiversità'!J47</f>
        <v>461.98318129004173</v>
      </c>
      <c r="D129" s="594" t="s">
        <v>1463</v>
      </c>
    </row>
    <row r="130" spans="1:4" ht="28.8" x14ac:dyDescent="0.3">
      <c r="A130" s="592" t="s">
        <v>1053</v>
      </c>
      <c r="B130" s="76" t="s">
        <v>1525</v>
      </c>
      <c r="C130" s="600">
        <f>'SE5qualità Habitat biodiversità'!G44</f>
        <v>820.66301158432475</v>
      </c>
      <c r="D130" s="594" t="s">
        <v>1468</v>
      </c>
    </row>
    <row r="131" spans="1:4" ht="28.8" x14ac:dyDescent="0.3">
      <c r="A131" s="592" t="s">
        <v>1054</v>
      </c>
      <c r="B131" s="76" t="s">
        <v>1525</v>
      </c>
      <c r="C131" s="600">
        <f>'SE5qualità Habitat biodiversità'!E55</f>
        <v>398.58732381951461</v>
      </c>
      <c r="D131" s="594" t="s">
        <v>1468</v>
      </c>
    </row>
    <row r="132" spans="1:4" ht="28.8" x14ac:dyDescent="0.3">
      <c r="A132" s="592" t="s">
        <v>1055</v>
      </c>
      <c r="B132" s="76" t="s">
        <v>1525</v>
      </c>
      <c r="C132" s="600">
        <f>'SE5qualità Habitat biodiversità'!E42</f>
        <v>1155.8317527515414</v>
      </c>
      <c r="D132" s="594" t="s">
        <v>1468</v>
      </c>
    </row>
    <row r="133" spans="1:4" ht="28.8" x14ac:dyDescent="0.3">
      <c r="A133" s="592" t="s">
        <v>1057</v>
      </c>
      <c r="B133" s="76" t="s">
        <v>1525</v>
      </c>
      <c r="C133" s="600">
        <f>'SE5qualità Habitat biodiversità'!K48</f>
        <v>92.013112672657599</v>
      </c>
      <c r="D133" s="594" t="s">
        <v>1468</v>
      </c>
    </row>
    <row r="134" spans="1:4" ht="28.8" x14ac:dyDescent="0.3">
      <c r="A134" s="592" t="s">
        <v>1519</v>
      </c>
      <c r="B134" s="76" t="s">
        <v>1525</v>
      </c>
      <c r="C134" s="600">
        <f>'SE5qualità Habitat biodiversità'!H45</f>
        <v>11855.598516405655</v>
      </c>
      <c r="D134" s="594" t="s">
        <v>1468</v>
      </c>
    </row>
    <row r="135" spans="1:4" ht="28.8" x14ac:dyDescent="0.3">
      <c r="A135" s="592" t="s">
        <v>1059</v>
      </c>
      <c r="B135" s="76" t="s">
        <v>1525</v>
      </c>
      <c r="C135" s="600">
        <f>'SE5qualità Habitat biodiversità'!F43</f>
        <v>827.91376741091597</v>
      </c>
      <c r="D135" s="594" t="s">
        <v>1468</v>
      </c>
    </row>
    <row r="136" spans="1:4" ht="28.8" x14ac:dyDescent="0.3">
      <c r="A136" s="5" t="s">
        <v>1056</v>
      </c>
      <c r="B136" s="76" t="s">
        <v>1525</v>
      </c>
      <c r="C136" s="600">
        <f>'SE5qualità Habitat biodiversità'!E11</f>
        <v>562.08676154307147</v>
      </c>
      <c r="D136" s="594" t="s">
        <v>1468</v>
      </c>
    </row>
    <row r="137" spans="1:4" ht="28.8" x14ac:dyDescent="0.3">
      <c r="A137" s="592" t="s">
        <v>1520</v>
      </c>
      <c r="B137" s="76" t="s">
        <v>1525</v>
      </c>
      <c r="C137" s="600">
        <f>'SE5qualità Habitat biodiversità'!J47</f>
        <v>461.98318129004173</v>
      </c>
      <c r="D137" s="594" t="s">
        <v>1468</v>
      </c>
    </row>
    <row r="138" spans="1:4" ht="28.8" x14ac:dyDescent="0.3">
      <c r="A138" s="592" t="s">
        <v>1053</v>
      </c>
      <c r="B138" s="76" t="s">
        <v>1525</v>
      </c>
      <c r="C138" s="600">
        <f>'SE5qualità Habitat biodiversità'!G44</f>
        <v>820.66301158432475</v>
      </c>
      <c r="D138" s="594" t="s">
        <v>1469</v>
      </c>
    </row>
    <row r="139" spans="1:4" ht="28.8" x14ac:dyDescent="0.3">
      <c r="A139" s="592" t="s">
        <v>1054</v>
      </c>
      <c r="B139" s="76" t="s">
        <v>1525</v>
      </c>
      <c r="C139" s="600">
        <f>'SE5qualità Habitat biodiversità'!E55</f>
        <v>398.58732381951461</v>
      </c>
      <c r="D139" s="594" t="s">
        <v>1469</v>
      </c>
    </row>
    <row r="140" spans="1:4" ht="28.8" x14ac:dyDescent="0.3">
      <c r="A140" s="592" t="s">
        <v>1055</v>
      </c>
      <c r="B140" s="76" t="s">
        <v>1525</v>
      </c>
      <c r="C140" s="600">
        <f>'SE5qualità Habitat biodiversità'!E42</f>
        <v>1155.8317527515414</v>
      </c>
      <c r="D140" s="594" t="s">
        <v>1469</v>
      </c>
    </row>
    <row r="141" spans="1:4" ht="28.8" x14ac:dyDescent="0.3">
      <c r="A141" s="592" t="s">
        <v>1057</v>
      </c>
      <c r="B141" s="76" t="s">
        <v>1525</v>
      </c>
      <c r="C141" s="600">
        <f>'SE5qualità Habitat biodiversità'!K48</f>
        <v>92.013112672657599</v>
      </c>
      <c r="D141" s="594" t="s">
        <v>1469</v>
      </c>
    </row>
    <row r="142" spans="1:4" ht="28.8" x14ac:dyDescent="0.3">
      <c r="A142" s="592" t="s">
        <v>1519</v>
      </c>
      <c r="B142" s="76" t="s">
        <v>1525</v>
      </c>
      <c r="C142" s="600">
        <f>'SE5qualità Habitat biodiversità'!H45</f>
        <v>11855.598516405655</v>
      </c>
      <c r="D142" s="594" t="s">
        <v>1469</v>
      </c>
    </row>
    <row r="143" spans="1:4" ht="28.8" x14ac:dyDescent="0.3">
      <c r="A143" s="592" t="s">
        <v>1059</v>
      </c>
      <c r="B143" s="76" t="s">
        <v>1525</v>
      </c>
      <c r="C143" s="600">
        <f>'SE5qualità Habitat biodiversità'!F43</f>
        <v>827.91376741091597</v>
      </c>
      <c r="D143" s="594" t="s">
        <v>1469</v>
      </c>
    </row>
    <row r="144" spans="1:4" ht="28.8" x14ac:dyDescent="0.3">
      <c r="A144" s="5" t="s">
        <v>1056</v>
      </c>
      <c r="B144" s="76" t="s">
        <v>1525</v>
      </c>
      <c r="C144" s="600">
        <f>'SE5qualità Habitat biodiversità'!E11</f>
        <v>562.08676154307147</v>
      </c>
      <c r="D144" s="594" t="s">
        <v>1469</v>
      </c>
    </row>
    <row r="145" spans="1:4" ht="28.8" x14ac:dyDescent="0.3">
      <c r="A145" s="592" t="s">
        <v>1520</v>
      </c>
      <c r="B145" s="76" t="s">
        <v>1525</v>
      </c>
      <c r="C145" s="600">
        <f>'SE5qualità Habitat biodiversità'!J47</f>
        <v>461.98318129004173</v>
      </c>
      <c r="D145" s="594" t="s">
        <v>1469</v>
      </c>
    </row>
    <row r="146" spans="1:4" ht="28.8" x14ac:dyDescent="0.3">
      <c r="A146" s="592" t="s">
        <v>1053</v>
      </c>
      <c r="B146" s="76" t="s">
        <v>1525</v>
      </c>
      <c r="C146" s="600">
        <f>'SE5qualità Habitat biodiversità'!$G$44</f>
        <v>820.66301158432475</v>
      </c>
      <c r="D146" s="594" t="s">
        <v>1460</v>
      </c>
    </row>
    <row r="147" spans="1:4" ht="28.8" x14ac:dyDescent="0.3">
      <c r="A147" s="592" t="s">
        <v>1054</v>
      </c>
      <c r="B147" s="76" t="s">
        <v>1525</v>
      </c>
      <c r="C147" s="600">
        <f>'SE5qualità Habitat biodiversità'!$C$55</f>
        <v>265.72488254634305</v>
      </c>
      <c r="D147" s="594" t="s">
        <v>1460</v>
      </c>
    </row>
    <row r="148" spans="1:4" ht="28.8" x14ac:dyDescent="0.3">
      <c r="A148" s="592" t="s">
        <v>1055</v>
      </c>
      <c r="B148" s="76" t="s">
        <v>1525</v>
      </c>
      <c r="C148" s="600">
        <f>'SE5qualità Habitat biodiversità'!$E$42</f>
        <v>1155.8317527515414</v>
      </c>
      <c r="D148" s="594" t="s">
        <v>1460</v>
      </c>
    </row>
    <row r="149" spans="1:4" ht="28.8" x14ac:dyDescent="0.3">
      <c r="A149" s="592" t="s">
        <v>1057</v>
      </c>
      <c r="B149" s="76" t="s">
        <v>1525</v>
      </c>
      <c r="C149" s="600">
        <f>'SE5qualità Habitat biodiversità'!$K$48</f>
        <v>92.013112672657599</v>
      </c>
      <c r="D149" s="594" t="s">
        <v>1460</v>
      </c>
    </row>
    <row r="150" spans="1:4" ht="28.8" x14ac:dyDescent="0.3">
      <c r="A150" s="592" t="s">
        <v>1519</v>
      </c>
      <c r="B150" s="76" t="s">
        <v>1525</v>
      </c>
      <c r="C150" s="600">
        <f>'SE5qualità Habitat biodiversità'!$H$45</f>
        <v>11855.598516405655</v>
      </c>
      <c r="D150" s="594" t="s">
        <v>1460</v>
      </c>
    </row>
    <row r="151" spans="1:4" ht="28.8" x14ac:dyDescent="0.3">
      <c r="A151" s="592" t="s">
        <v>1059</v>
      </c>
      <c r="B151" s="76" t="s">
        <v>1525</v>
      </c>
      <c r="C151" s="600">
        <f>'SE5qualità Habitat biodiversità'!$F$43</f>
        <v>827.91376741091597</v>
      </c>
      <c r="D151" s="594" t="s">
        <v>1460</v>
      </c>
    </row>
    <row r="152" spans="1:4" ht="28.8" x14ac:dyDescent="0.3">
      <c r="A152" s="5" t="s">
        <v>1056</v>
      </c>
      <c r="B152" s="76" t="s">
        <v>1525</v>
      </c>
      <c r="C152" s="600">
        <f>'SE5qualità Habitat biodiversità'!$E$11</f>
        <v>562.08676154307147</v>
      </c>
      <c r="D152" s="594" t="s">
        <v>1460</v>
      </c>
    </row>
    <row r="153" spans="1:4" ht="28.8" x14ac:dyDescent="0.3">
      <c r="A153" s="592" t="s">
        <v>1520</v>
      </c>
      <c r="B153" s="76" t="s">
        <v>1525</v>
      </c>
      <c r="C153" s="600">
        <f>'SE5qualità Habitat biodiversità'!$J$47</f>
        <v>461.98318129004173</v>
      </c>
      <c r="D153" s="594" t="s">
        <v>1460</v>
      </c>
    </row>
    <row r="154" spans="1:4" ht="28.8" x14ac:dyDescent="0.3">
      <c r="A154" s="592" t="s">
        <v>1053</v>
      </c>
      <c r="B154" s="76" t="s">
        <v>1525</v>
      </c>
      <c r="C154" s="600">
        <f>'SE5qualità Habitat biodiversità'!G44</f>
        <v>820.66301158432475</v>
      </c>
      <c r="D154" s="594" t="s">
        <v>1461</v>
      </c>
    </row>
    <row r="155" spans="1:4" ht="28.8" x14ac:dyDescent="0.3">
      <c r="A155" s="592" t="s">
        <v>1054</v>
      </c>
      <c r="B155" s="76" t="s">
        <v>1525</v>
      </c>
      <c r="C155" s="600">
        <f>'SE5qualità Habitat biodiversità'!C55</f>
        <v>265.72488254634305</v>
      </c>
      <c r="D155" s="594" t="s">
        <v>1461</v>
      </c>
    </row>
    <row r="156" spans="1:4" ht="28.8" x14ac:dyDescent="0.3">
      <c r="A156" s="592" t="s">
        <v>1055</v>
      </c>
      <c r="B156" s="76" t="s">
        <v>1525</v>
      </c>
      <c r="C156" s="600">
        <f>'SE5qualità Habitat biodiversità'!E42</f>
        <v>1155.8317527515414</v>
      </c>
      <c r="D156" s="594" t="s">
        <v>1461</v>
      </c>
    </row>
    <row r="157" spans="1:4" ht="28.8" x14ac:dyDescent="0.3">
      <c r="A157" s="592" t="s">
        <v>1057</v>
      </c>
      <c r="B157" s="76" t="s">
        <v>1525</v>
      </c>
      <c r="C157" s="600">
        <f>'SE5qualità Habitat biodiversità'!K48</f>
        <v>92.013112672657599</v>
      </c>
      <c r="D157" s="594" t="s">
        <v>1461</v>
      </c>
    </row>
    <row r="158" spans="1:4" ht="28.8" x14ac:dyDescent="0.3">
      <c r="A158" s="592" t="s">
        <v>1519</v>
      </c>
      <c r="B158" s="76" t="s">
        <v>1525</v>
      </c>
      <c r="C158" s="600">
        <f>'SE5qualità Habitat biodiversità'!H45</f>
        <v>11855.598516405655</v>
      </c>
      <c r="D158" s="594" t="s">
        <v>1461</v>
      </c>
    </row>
    <row r="159" spans="1:4" ht="28.8" x14ac:dyDescent="0.3">
      <c r="A159" s="592" t="s">
        <v>1059</v>
      </c>
      <c r="B159" s="76" t="s">
        <v>1525</v>
      </c>
      <c r="C159" s="600">
        <f>'SE5qualità Habitat biodiversità'!F43</f>
        <v>827.91376741091597</v>
      </c>
      <c r="D159" s="594" t="s">
        <v>1461</v>
      </c>
    </row>
    <row r="160" spans="1:4" ht="28.8" x14ac:dyDescent="0.3">
      <c r="A160" s="5" t="s">
        <v>1056</v>
      </c>
      <c r="B160" s="76" t="s">
        <v>1525</v>
      </c>
      <c r="C160" s="600">
        <f>'SE5qualità Habitat biodiversità'!E11</f>
        <v>562.08676154307147</v>
      </c>
      <c r="D160" s="594" t="s">
        <v>1461</v>
      </c>
    </row>
    <row r="161" spans="1:4" ht="28.8" x14ac:dyDescent="0.3">
      <c r="A161" s="592" t="s">
        <v>1520</v>
      </c>
      <c r="B161" s="76" t="s">
        <v>1525</v>
      </c>
      <c r="C161" s="600">
        <f>'SE5qualità Habitat biodiversità'!J47</f>
        <v>461.98318129004173</v>
      </c>
      <c r="D161" s="594" t="s">
        <v>1461</v>
      </c>
    </row>
    <row r="162" spans="1:4" ht="28.8" x14ac:dyDescent="0.3">
      <c r="A162" s="592" t="s">
        <v>1053</v>
      </c>
      <c r="B162" s="76" t="s">
        <v>1525</v>
      </c>
      <c r="C162" s="600">
        <f>'SE5qualità Habitat biodiversità'!G44</f>
        <v>820.66301158432475</v>
      </c>
      <c r="D162" s="594" t="s">
        <v>1467</v>
      </c>
    </row>
    <row r="163" spans="1:4" ht="28.8" x14ac:dyDescent="0.3">
      <c r="A163" s="592" t="s">
        <v>1054</v>
      </c>
      <c r="B163" s="76" t="s">
        <v>1525</v>
      </c>
      <c r="C163" s="600">
        <f>'SE5qualità Habitat biodiversità'!E55</f>
        <v>398.58732381951461</v>
      </c>
      <c r="D163" s="594" t="s">
        <v>1467</v>
      </c>
    </row>
    <row r="164" spans="1:4" ht="28.8" x14ac:dyDescent="0.3">
      <c r="A164" s="592" t="s">
        <v>1055</v>
      </c>
      <c r="B164" s="76" t="s">
        <v>1525</v>
      </c>
      <c r="C164" s="600">
        <f>'SE5qualità Habitat biodiversità'!E42</f>
        <v>1155.8317527515414</v>
      </c>
      <c r="D164" s="594" t="s">
        <v>1467</v>
      </c>
    </row>
    <row r="165" spans="1:4" ht="28.8" x14ac:dyDescent="0.3">
      <c r="A165" s="592" t="s">
        <v>1057</v>
      </c>
      <c r="B165" s="76" t="s">
        <v>1525</v>
      </c>
      <c r="C165" s="600">
        <f>'SE5qualità Habitat biodiversità'!K48</f>
        <v>92.013112672657599</v>
      </c>
      <c r="D165" s="594" t="s">
        <v>1467</v>
      </c>
    </row>
    <row r="166" spans="1:4" ht="28.8" x14ac:dyDescent="0.3">
      <c r="A166" s="592" t="s">
        <v>1519</v>
      </c>
      <c r="B166" s="76" t="s">
        <v>1525</v>
      </c>
      <c r="C166" s="600">
        <f>'SE5qualità Habitat biodiversità'!H45</f>
        <v>11855.598516405655</v>
      </c>
      <c r="D166" s="594" t="s">
        <v>1467</v>
      </c>
    </row>
    <row r="167" spans="1:4" ht="28.8" x14ac:dyDescent="0.3">
      <c r="A167" s="592" t="s">
        <v>1059</v>
      </c>
      <c r="B167" s="76" t="s">
        <v>1525</v>
      </c>
      <c r="C167" s="600">
        <f>'SE5qualità Habitat biodiversità'!F43</f>
        <v>827.91376741091597</v>
      </c>
      <c r="D167" s="594" t="s">
        <v>1467</v>
      </c>
    </row>
    <row r="168" spans="1:4" ht="28.8" x14ac:dyDescent="0.3">
      <c r="A168" s="5" t="s">
        <v>1056</v>
      </c>
      <c r="B168" s="76" t="s">
        <v>1525</v>
      </c>
      <c r="C168" s="600">
        <f>'SE5qualità Habitat biodiversità'!E11</f>
        <v>562.08676154307147</v>
      </c>
      <c r="D168" s="594" t="s">
        <v>1467</v>
      </c>
    </row>
    <row r="169" spans="1:4" ht="28.8" x14ac:dyDescent="0.3">
      <c r="A169" s="592" t="s">
        <v>1520</v>
      </c>
      <c r="B169" s="76" t="s">
        <v>1525</v>
      </c>
      <c r="C169" s="600">
        <f>'SE5qualità Habitat biodiversità'!J47</f>
        <v>461.98318129004173</v>
      </c>
      <c r="D169" s="594" t="s">
        <v>1467</v>
      </c>
    </row>
    <row r="170" spans="1:4" ht="28.8" x14ac:dyDescent="0.3">
      <c r="A170" s="592" t="s">
        <v>1053</v>
      </c>
      <c r="B170" s="76" t="s">
        <v>1525</v>
      </c>
      <c r="C170" s="600">
        <f>'SE5qualità Habitat biodiversità'!G44</f>
        <v>820.66301158432475</v>
      </c>
      <c r="D170" s="594" t="s">
        <v>1465</v>
      </c>
    </row>
    <row r="171" spans="1:4" ht="28.8" x14ac:dyDescent="0.3">
      <c r="A171" s="592" t="s">
        <v>1054</v>
      </c>
      <c r="B171" s="76" t="s">
        <v>1525</v>
      </c>
      <c r="C171" s="600">
        <f>'SE5qualità Habitat biodiversità'!D55</f>
        <v>531.44976509268611</v>
      </c>
      <c r="D171" s="594" t="s">
        <v>1465</v>
      </c>
    </row>
    <row r="172" spans="1:4" ht="28.8" x14ac:dyDescent="0.3">
      <c r="A172" s="592" t="s">
        <v>1055</v>
      </c>
      <c r="B172" s="76" t="s">
        <v>1525</v>
      </c>
      <c r="C172" s="600">
        <f>'SE5qualità Habitat biodiversità'!E42</f>
        <v>1155.8317527515414</v>
      </c>
      <c r="D172" s="594" t="s">
        <v>1465</v>
      </c>
    </row>
    <row r="173" spans="1:4" ht="28.8" x14ac:dyDescent="0.3">
      <c r="A173" s="592" t="s">
        <v>1057</v>
      </c>
      <c r="B173" s="76" t="s">
        <v>1525</v>
      </c>
      <c r="C173" s="600">
        <f>'SE5qualità Habitat biodiversità'!K48</f>
        <v>92.013112672657599</v>
      </c>
      <c r="D173" s="594" t="s">
        <v>1465</v>
      </c>
    </row>
    <row r="174" spans="1:4" ht="28.8" x14ac:dyDescent="0.3">
      <c r="A174" s="592" t="s">
        <v>1519</v>
      </c>
      <c r="B174" s="76" t="s">
        <v>1525</v>
      </c>
      <c r="C174" s="600">
        <f>'SE5qualità Habitat biodiversità'!H45</f>
        <v>11855.598516405655</v>
      </c>
      <c r="D174" s="594" t="s">
        <v>1465</v>
      </c>
    </row>
    <row r="175" spans="1:4" ht="28.8" x14ac:dyDescent="0.3">
      <c r="A175" s="592" t="s">
        <v>1059</v>
      </c>
      <c r="B175" s="76" t="s">
        <v>1525</v>
      </c>
      <c r="C175" s="600">
        <f>'SE5qualità Habitat biodiversità'!F43</f>
        <v>827.91376741091597</v>
      </c>
      <c r="D175" s="594" t="s">
        <v>1465</v>
      </c>
    </row>
    <row r="176" spans="1:4" ht="28.8" x14ac:dyDescent="0.3">
      <c r="A176" s="5" t="s">
        <v>1056</v>
      </c>
      <c r="B176" s="76" t="s">
        <v>1525</v>
      </c>
      <c r="C176" s="600">
        <f>'SE5qualità Habitat biodiversità'!E11</f>
        <v>562.08676154307147</v>
      </c>
      <c r="D176" s="594" t="s">
        <v>1465</v>
      </c>
    </row>
    <row r="177" spans="1:4" ht="28.8" x14ac:dyDescent="0.3">
      <c r="A177" s="592" t="s">
        <v>1520</v>
      </c>
      <c r="B177" s="76" t="s">
        <v>1525</v>
      </c>
      <c r="C177" s="600">
        <f>'SE5qualità Habitat biodiversità'!J47</f>
        <v>461.98318129004173</v>
      </c>
      <c r="D177" s="594" t="s">
        <v>1465</v>
      </c>
    </row>
    <row r="178" spans="1:4" ht="28.8" x14ac:dyDescent="0.3">
      <c r="A178" s="592" t="s">
        <v>1053</v>
      </c>
      <c r="B178" s="76" t="s">
        <v>1525</v>
      </c>
      <c r="C178" s="600">
        <f>'SE5qualità Habitat biodiversità'!G44</f>
        <v>820.66301158432475</v>
      </c>
      <c r="D178" s="594" t="s">
        <v>1466</v>
      </c>
    </row>
    <row r="179" spans="1:4" ht="28.8" x14ac:dyDescent="0.3">
      <c r="A179" s="592" t="s">
        <v>1054</v>
      </c>
      <c r="B179" s="76" t="s">
        <v>1525</v>
      </c>
      <c r="C179" s="600">
        <f>'SE5qualità Habitat biodiversità'!D55</f>
        <v>531.44976509268611</v>
      </c>
      <c r="D179" s="594" t="s">
        <v>1466</v>
      </c>
    </row>
    <row r="180" spans="1:4" ht="28.8" x14ac:dyDescent="0.3">
      <c r="A180" s="592" t="s">
        <v>1055</v>
      </c>
      <c r="B180" s="76" t="s">
        <v>1525</v>
      </c>
      <c r="C180" s="600">
        <f>'SE5qualità Habitat biodiversità'!E42</f>
        <v>1155.8317527515414</v>
      </c>
      <c r="D180" s="594" t="s">
        <v>1466</v>
      </c>
    </row>
    <row r="181" spans="1:4" ht="28.8" x14ac:dyDescent="0.3">
      <c r="A181" s="592" t="s">
        <v>1057</v>
      </c>
      <c r="B181" s="76" t="s">
        <v>1525</v>
      </c>
      <c r="C181" s="600">
        <f>'SE5qualità Habitat biodiversità'!K48</f>
        <v>92.013112672657599</v>
      </c>
      <c r="D181" s="594" t="s">
        <v>1466</v>
      </c>
    </row>
    <row r="182" spans="1:4" ht="28.8" x14ac:dyDescent="0.3">
      <c r="A182" s="592" t="s">
        <v>1519</v>
      </c>
      <c r="B182" s="76" t="s">
        <v>1525</v>
      </c>
      <c r="C182" s="600">
        <f>'SE5qualità Habitat biodiversità'!H45</f>
        <v>11855.598516405655</v>
      </c>
      <c r="D182" s="594" t="s">
        <v>1466</v>
      </c>
    </row>
    <row r="183" spans="1:4" ht="28.8" x14ac:dyDescent="0.3">
      <c r="A183" s="592" t="s">
        <v>1059</v>
      </c>
      <c r="B183" s="76" t="s">
        <v>1525</v>
      </c>
      <c r="C183" s="600">
        <f>'SE5qualità Habitat biodiversità'!F43</f>
        <v>827.91376741091597</v>
      </c>
      <c r="D183" s="594" t="s">
        <v>1466</v>
      </c>
    </row>
    <row r="184" spans="1:4" ht="28.8" x14ac:dyDescent="0.3">
      <c r="A184" s="5" t="s">
        <v>1056</v>
      </c>
      <c r="B184" s="76" t="s">
        <v>1525</v>
      </c>
      <c r="C184" s="600">
        <f>'SE5qualità Habitat biodiversità'!E11</f>
        <v>562.08676154307147</v>
      </c>
      <c r="D184" s="594" t="s">
        <v>1466</v>
      </c>
    </row>
    <row r="185" spans="1:4" ht="28.8" x14ac:dyDescent="0.3">
      <c r="A185" s="609" t="s">
        <v>1520</v>
      </c>
      <c r="B185" s="616" t="s">
        <v>1525</v>
      </c>
      <c r="C185" s="813">
        <f>'SE5qualità Habitat biodiversità'!J47</f>
        <v>461.98318129004173</v>
      </c>
      <c r="D185" s="610" t="s">
        <v>1466</v>
      </c>
    </row>
    <row r="186" spans="1:4" ht="28.8" x14ac:dyDescent="0.3">
      <c r="A186" s="592" t="s">
        <v>1053</v>
      </c>
      <c r="B186" s="76" t="s">
        <v>1525</v>
      </c>
      <c r="C186" s="600">
        <f>'SE5qualità Habitat biodiversità'!$G$44</f>
        <v>820.66301158432475</v>
      </c>
      <c r="D186" s="594" t="s">
        <v>1584</v>
      </c>
    </row>
    <row r="187" spans="1:4" ht="28.8" x14ac:dyDescent="0.3">
      <c r="A187" s="592" t="s">
        <v>1054</v>
      </c>
      <c r="B187" s="76" t="s">
        <v>1525</v>
      </c>
      <c r="C187" s="600">
        <f>'SE5qualità Habitat biodiversità'!$C$55</f>
        <v>265.72488254634305</v>
      </c>
      <c r="D187" s="594" t="s">
        <v>1584</v>
      </c>
    </row>
    <row r="188" spans="1:4" ht="28.8" x14ac:dyDescent="0.3">
      <c r="A188" s="592" t="s">
        <v>1055</v>
      </c>
      <c r="B188" s="76" t="s">
        <v>1525</v>
      </c>
      <c r="C188" s="600">
        <f>'SE5qualità Habitat biodiversità'!$E$42</f>
        <v>1155.8317527515414</v>
      </c>
      <c r="D188" s="594" t="s">
        <v>1584</v>
      </c>
    </row>
    <row r="189" spans="1:4" ht="28.8" x14ac:dyDescent="0.3">
      <c r="A189" s="592" t="s">
        <v>1057</v>
      </c>
      <c r="B189" s="76" t="s">
        <v>1525</v>
      </c>
      <c r="C189" s="600">
        <f>'SE5qualità Habitat biodiversità'!$K$48</f>
        <v>92.013112672657599</v>
      </c>
      <c r="D189" s="594" t="s">
        <v>1584</v>
      </c>
    </row>
    <row r="190" spans="1:4" ht="28.8" x14ac:dyDescent="0.3">
      <c r="A190" s="592" t="s">
        <v>1519</v>
      </c>
      <c r="B190" s="76" t="s">
        <v>1525</v>
      </c>
      <c r="C190" s="600">
        <f>'SE5qualità Habitat biodiversità'!$H$45</f>
        <v>11855.598516405655</v>
      </c>
      <c r="D190" s="594" t="s">
        <v>1584</v>
      </c>
    </row>
    <row r="191" spans="1:4" ht="28.8" x14ac:dyDescent="0.3">
      <c r="A191" s="592" t="s">
        <v>1059</v>
      </c>
      <c r="B191" s="76" t="s">
        <v>1525</v>
      </c>
      <c r="C191" s="600">
        <f>'SE5qualità Habitat biodiversità'!$F$43</f>
        <v>827.91376741091597</v>
      </c>
      <c r="D191" s="594" t="s">
        <v>1584</v>
      </c>
    </row>
    <row r="192" spans="1:4" ht="28.8" x14ac:dyDescent="0.3">
      <c r="A192" s="5" t="s">
        <v>1056</v>
      </c>
      <c r="B192" s="76" t="s">
        <v>1525</v>
      </c>
      <c r="C192" s="600">
        <f>'SE5qualità Habitat biodiversità'!$E$11</f>
        <v>562.08676154307147</v>
      </c>
      <c r="D192" s="594" t="s">
        <v>1584</v>
      </c>
    </row>
    <row r="193" spans="1:9" ht="29.4" thickBot="1" x14ac:dyDescent="0.35">
      <c r="A193" s="596" t="s">
        <v>1520</v>
      </c>
      <c r="B193" s="618" t="s">
        <v>1525</v>
      </c>
      <c r="C193" s="761">
        <f>'SE5qualità Habitat biodiversità'!$J$47</f>
        <v>461.98318129004173</v>
      </c>
      <c r="D193" s="598" t="s">
        <v>1584</v>
      </c>
    </row>
    <row r="194" spans="1:9" x14ac:dyDescent="0.3">
      <c r="A194" s="589" t="s">
        <v>1053</v>
      </c>
      <c r="B194" s="321" t="s">
        <v>1526</v>
      </c>
      <c r="C194" s="590">
        <v>0</v>
      </c>
      <c r="D194" s="591" t="s">
        <v>498</v>
      </c>
      <c r="F194" t="s">
        <v>1527</v>
      </c>
    </row>
    <row r="195" spans="1:9" x14ac:dyDescent="0.3">
      <c r="A195" s="592" t="s">
        <v>1054</v>
      </c>
      <c r="B195" s="76" t="s">
        <v>1526</v>
      </c>
      <c r="C195" s="487" t="e">
        <f>SE6impollinazione!$C$53</f>
        <v>#REF!</v>
      </c>
      <c r="D195" s="594" t="s">
        <v>498</v>
      </c>
      <c r="F195" t="s">
        <v>1528</v>
      </c>
    </row>
    <row r="196" spans="1:9" x14ac:dyDescent="0.3">
      <c r="A196" s="592" t="s">
        <v>1055</v>
      </c>
      <c r="B196" s="76" t="s">
        <v>1526</v>
      </c>
      <c r="C196" s="487">
        <v>0</v>
      </c>
      <c r="D196" s="594" t="s">
        <v>498</v>
      </c>
      <c r="F196" t="s">
        <v>1529</v>
      </c>
    </row>
    <row r="197" spans="1:9" x14ac:dyDescent="0.3">
      <c r="A197" s="592" t="s">
        <v>1057</v>
      </c>
      <c r="B197" s="76" t="s">
        <v>1526</v>
      </c>
      <c r="C197" s="487">
        <v>0</v>
      </c>
      <c r="D197" s="594" t="s">
        <v>498</v>
      </c>
      <c r="F197" s="64"/>
      <c r="G197" s="64"/>
      <c r="H197" s="64"/>
      <c r="I197" s="64"/>
    </row>
    <row r="198" spans="1:9" ht="28.8" x14ac:dyDescent="0.3">
      <c r="A198" s="592" t="s">
        <v>1519</v>
      </c>
      <c r="B198" s="76" t="s">
        <v>1526</v>
      </c>
      <c r="C198" s="487">
        <v>0</v>
      </c>
      <c r="D198" s="594" t="s">
        <v>498</v>
      </c>
      <c r="F198" s="64"/>
      <c r="G198" s="64"/>
      <c r="H198" s="64"/>
      <c r="I198" s="64"/>
    </row>
    <row r="199" spans="1:9" x14ac:dyDescent="0.3">
      <c r="A199" s="592" t="s">
        <v>1059</v>
      </c>
      <c r="B199" s="76" t="s">
        <v>1526</v>
      </c>
      <c r="C199" s="487">
        <v>0</v>
      </c>
      <c r="D199" s="594" t="s">
        <v>498</v>
      </c>
    </row>
    <row r="200" spans="1:9" x14ac:dyDescent="0.3">
      <c r="A200" s="5" t="s">
        <v>1056</v>
      </c>
      <c r="B200" s="76" t="s">
        <v>1526</v>
      </c>
      <c r="C200" s="487">
        <v>0</v>
      </c>
      <c r="D200" s="594" t="s">
        <v>498</v>
      </c>
    </row>
    <row r="201" spans="1:9" x14ac:dyDescent="0.3">
      <c r="A201" s="592" t="s">
        <v>1520</v>
      </c>
      <c r="B201" s="76" t="s">
        <v>1526</v>
      </c>
      <c r="C201" s="487">
        <v>0</v>
      </c>
      <c r="D201" s="594" t="s">
        <v>498</v>
      </c>
    </row>
    <row r="202" spans="1:9" x14ac:dyDescent="0.3">
      <c r="A202" s="592" t="s">
        <v>1053</v>
      </c>
      <c r="B202" s="76" t="s">
        <v>1526</v>
      </c>
      <c r="C202" s="487">
        <v>0</v>
      </c>
      <c r="D202" s="594" t="s">
        <v>1459</v>
      </c>
    </row>
    <row r="203" spans="1:9" x14ac:dyDescent="0.3">
      <c r="A203" s="592" t="s">
        <v>1054</v>
      </c>
      <c r="B203" s="76" t="s">
        <v>1526</v>
      </c>
      <c r="C203" s="487" t="e">
        <f>SE6impollinazione!$D$53</f>
        <v>#REF!</v>
      </c>
      <c r="D203" s="594" t="s">
        <v>1459</v>
      </c>
    </row>
    <row r="204" spans="1:9" x14ac:dyDescent="0.3">
      <c r="A204" s="592" t="s">
        <v>1055</v>
      </c>
      <c r="B204" s="76" t="s">
        <v>1526</v>
      </c>
      <c r="C204" s="487">
        <v>0</v>
      </c>
      <c r="D204" s="594" t="s">
        <v>1459</v>
      </c>
    </row>
    <row r="205" spans="1:9" x14ac:dyDescent="0.3">
      <c r="A205" s="592" t="s">
        <v>1057</v>
      </c>
      <c r="B205" s="76" t="s">
        <v>1526</v>
      </c>
      <c r="C205" s="487">
        <v>0</v>
      </c>
      <c r="D205" s="594" t="s">
        <v>1459</v>
      </c>
    </row>
    <row r="206" spans="1:9" ht="28.8" x14ac:dyDescent="0.3">
      <c r="A206" s="592" t="s">
        <v>1519</v>
      </c>
      <c r="B206" s="76" t="s">
        <v>1526</v>
      </c>
      <c r="C206" s="487">
        <v>0</v>
      </c>
      <c r="D206" s="594" t="s">
        <v>1459</v>
      </c>
    </row>
    <row r="207" spans="1:9" x14ac:dyDescent="0.3">
      <c r="A207" s="592" t="s">
        <v>1059</v>
      </c>
      <c r="B207" s="76" t="s">
        <v>1526</v>
      </c>
      <c r="C207" s="487">
        <v>0</v>
      </c>
      <c r="D207" s="594" t="s">
        <v>1459</v>
      </c>
    </row>
    <row r="208" spans="1:9" x14ac:dyDescent="0.3">
      <c r="A208" s="5" t="s">
        <v>1056</v>
      </c>
      <c r="B208" s="76" t="s">
        <v>1526</v>
      </c>
      <c r="C208" s="487">
        <v>0</v>
      </c>
      <c r="D208" s="594" t="s">
        <v>1459</v>
      </c>
    </row>
    <row r="209" spans="1:4" x14ac:dyDescent="0.3">
      <c r="A209" s="592" t="s">
        <v>1520</v>
      </c>
      <c r="B209" s="76" t="s">
        <v>1526</v>
      </c>
      <c r="C209" s="487">
        <v>0</v>
      </c>
      <c r="D209" s="594" t="s">
        <v>1459</v>
      </c>
    </row>
    <row r="210" spans="1:4" x14ac:dyDescent="0.3">
      <c r="A210" s="592" t="s">
        <v>1053</v>
      </c>
      <c r="B210" s="76" t="s">
        <v>1526</v>
      </c>
      <c r="C210" s="487">
        <v>0</v>
      </c>
      <c r="D210" s="594" t="s">
        <v>1464</v>
      </c>
    </row>
    <row r="211" spans="1:4" x14ac:dyDescent="0.3">
      <c r="A211" s="592" t="s">
        <v>1054</v>
      </c>
      <c r="B211" s="76" t="s">
        <v>1526</v>
      </c>
      <c r="C211" s="487">
        <f>SE6impollinazione!$E$53</f>
        <v>157.6283601321112</v>
      </c>
      <c r="D211" s="594" t="s">
        <v>1464</v>
      </c>
    </row>
    <row r="212" spans="1:4" x14ac:dyDescent="0.3">
      <c r="A212" s="592" t="s">
        <v>1055</v>
      </c>
      <c r="B212" s="76" t="s">
        <v>1526</v>
      </c>
      <c r="C212" s="487">
        <v>0</v>
      </c>
      <c r="D212" s="594" t="s">
        <v>1464</v>
      </c>
    </row>
    <row r="213" spans="1:4" x14ac:dyDescent="0.3">
      <c r="A213" s="592" t="s">
        <v>1057</v>
      </c>
      <c r="B213" s="76" t="s">
        <v>1526</v>
      </c>
      <c r="C213" s="487">
        <v>0</v>
      </c>
      <c r="D213" s="594" t="s">
        <v>1464</v>
      </c>
    </row>
    <row r="214" spans="1:4" ht="28.8" x14ac:dyDescent="0.3">
      <c r="A214" s="592" t="s">
        <v>1519</v>
      </c>
      <c r="B214" s="76" t="s">
        <v>1526</v>
      </c>
      <c r="C214" s="487">
        <v>0</v>
      </c>
      <c r="D214" s="594" t="s">
        <v>1464</v>
      </c>
    </row>
    <row r="215" spans="1:4" x14ac:dyDescent="0.3">
      <c r="A215" s="592" t="s">
        <v>1059</v>
      </c>
      <c r="B215" s="76" t="s">
        <v>1526</v>
      </c>
      <c r="C215" s="487">
        <v>0</v>
      </c>
      <c r="D215" s="594" t="s">
        <v>1464</v>
      </c>
    </row>
    <row r="216" spans="1:4" x14ac:dyDescent="0.3">
      <c r="A216" s="5" t="s">
        <v>1056</v>
      </c>
      <c r="B216" s="76" t="s">
        <v>1526</v>
      </c>
      <c r="C216" s="487">
        <v>0</v>
      </c>
      <c r="D216" s="594" t="s">
        <v>1464</v>
      </c>
    </row>
    <row r="217" spans="1:4" x14ac:dyDescent="0.3">
      <c r="A217" s="592" t="s">
        <v>1520</v>
      </c>
      <c r="B217" s="76" t="s">
        <v>1526</v>
      </c>
      <c r="C217" s="487">
        <v>0</v>
      </c>
      <c r="D217" s="594" t="s">
        <v>1464</v>
      </c>
    </row>
    <row r="218" spans="1:4" x14ac:dyDescent="0.3">
      <c r="A218" s="592" t="s">
        <v>1053</v>
      </c>
      <c r="B218" s="76" t="s">
        <v>1526</v>
      </c>
      <c r="C218" s="487">
        <v>0</v>
      </c>
      <c r="D218" s="594" t="s">
        <v>1463</v>
      </c>
    </row>
    <row r="219" spans="1:4" x14ac:dyDescent="0.3">
      <c r="A219" s="592" t="s">
        <v>1054</v>
      </c>
      <c r="B219" s="76" t="s">
        <v>1526</v>
      </c>
      <c r="C219" s="601">
        <f>SE6impollinazione!$B$53</f>
        <v>0</v>
      </c>
      <c r="D219" s="594" t="s">
        <v>1463</v>
      </c>
    </row>
    <row r="220" spans="1:4" x14ac:dyDescent="0.3">
      <c r="A220" s="592" t="s">
        <v>1055</v>
      </c>
      <c r="B220" s="76" t="s">
        <v>1526</v>
      </c>
      <c r="C220" s="487">
        <v>0</v>
      </c>
      <c r="D220" s="594" t="s">
        <v>1463</v>
      </c>
    </row>
    <row r="221" spans="1:4" x14ac:dyDescent="0.3">
      <c r="A221" s="592" t="s">
        <v>1057</v>
      </c>
      <c r="B221" s="76" t="s">
        <v>1526</v>
      </c>
      <c r="C221" s="487">
        <v>0</v>
      </c>
      <c r="D221" s="594" t="s">
        <v>1463</v>
      </c>
    </row>
    <row r="222" spans="1:4" ht="28.8" x14ac:dyDescent="0.3">
      <c r="A222" s="592" t="s">
        <v>1519</v>
      </c>
      <c r="B222" s="76" t="s">
        <v>1526</v>
      </c>
      <c r="C222" s="487">
        <v>0</v>
      </c>
      <c r="D222" s="594" t="s">
        <v>1463</v>
      </c>
    </row>
    <row r="223" spans="1:4" x14ac:dyDescent="0.3">
      <c r="A223" s="592" t="s">
        <v>1059</v>
      </c>
      <c r="B223" s="76" t="s">
        <v>1526</v>
      </c>
      <c r="C223" s="487">
        <v>0</v>
      </c>
      <c r="D223" s="594" t="s">
        <v>1463</v>
      </c>
    </row>
    <row r="224" spans="1:4" x14ac:dyDescent="0.3">
      <c r="A224" s="5" t="s">
        <v>1056</v>
      </c>
      <c r="B224" s="76" t="s">
        <v>1526</v>
      </c>
      <c r="C224" s="487">
        <v>0</v>
      </c>
      <c r="D224" s="594" t="s">
        <v>1463</v>
      </c>
    </row>
    <row r="225" spans="1:4" x14ac:dyDescent="0.3">
      <c r="A225" s="592" t="s">
        <v>1520</v>
      </c>
      <c r="B225" s="76" t="s">
        <v>1526</v>
      </c>
      <c r="C225" s="487">
        <v>0</v>
      </c>
      <c r="D225" s="594" t="s">
        <v>1463</v>
      </c>
    </row>
    <row r="226" spans="1:4" x14ac:dyDescent="0.3">
      <c r="A226" s="592" t="s">
        <v>1053</v>
      </c>
      <c r="B226" s="76" t="s">
        <v>1526</v>
      </c>
      <c r="C226" s="487">
        <v>0</v>
      </c>
      <c r="D226" s="594" t="s">
        <v>1468</v>
      </c>
    </row>
    <row r="227" spans="1:4" x14ac:dyDescent="0.3">
      <c r="A227" s="592" t="s">
        <v>1054</v>
      </c>
      <c r="B227" s="76" t="s">
        <v>1526</v>
      </c>
      <c r="C227" s="487">
        <f>SE6impollinazione!$E$53</f>
        <v>157.6283601321112</v>
      </c>
      <c r="D227" s="594" t="s">
        <v>1468</v>
      </c>
    </row>
    <row r="228" spans="1:4" x14ac:dyDescent="0.3">
      <c r="A228" s="592" t="s">
        <v>1055</v>
      </c>
      <c r="B228" s="76" t="s">
        <v>1526</v>
      </c>
      <c r="C228" s="487">
        <v>0</v>
      </c>
      <c r="D228" s="594" t="s">
        <v>1468</v>
      </c>
    </row>
    <row r="229" spans="1:4" x14ac:dyDescent="0.3">
      <c r="A229" s="592" t="s">
        <v>1057</v>
      </c>
      <c r="B229" s="76" t="s">
        <v>1526</v>
      </c>
      <c r="C229" s="487">
        <v>0</v>
      </c>
      <c r="D229" s="594" t="s">
        <v>1468</v>
      </c>
    </row>
    <row r="230" spans="1:4" ht="28.8" x14ac:dyDescent="0.3">
      <c r="A230" s="592" t="s">
        <v>1519</v>
      </c>
      <c r="B230" s="76" t="s">
        <v>1526</v>
      </c>
      <c r="C230" s="487">
        <v>0</v>
      </c>
      <c r="D230" s="594" t="s">
        <v>1468</v>
      </c>
    </row>
    <row r="231" spans="1:4" x14ac:dyDescent="0.3">
      <c r="A231" s="592" t="s">
        <v>1059</v>
      </c>
      <c r="B231" s="76" t="s">
        <v>1526</v>
      </c>
      <c r="C231" s="487">
        <v>0</v>
      </c>
      <c r="D231" s="594" t="s">
        <v>1468</v>
      </c>
    </row>
    <row r="232" spans="1:4" x14ac:dyDescent="0.3">
      <c r="A232" s="5" t="s">
        <v>1056</v>
      </c>
      <c r="B232" s="76" t="s">
        <v>1526</v>
      </c>
      <c r="C232" s="487">
        <v>0</v>
      </c>
      <c r="D232" s="594" t="s">
        <v>1468</v>
      </c>
    </row>
    <row r="233" spans="1:4" x14ac:dyDescent="0.3">
      <c r="A233" s="592" t="s">
        <v>1520</v>
      </c>
      <c r="B233" s="76" t="s">
        <v>1526</v>
      </c>
      <c r="C233" s="487">
        <v>0</v>
      </c>
      <c r="D233" s="594" t="s">
        <v>1468</v>
      </c>
    </row>
    <row r="234" spans="1:4" x14ac:dyDescent="0.3">
      <c r="A234" s="592" t="s">
        <v>1053</v>
      </c>
      <c r="B234" s="76" t="s">
        <v>1526</v>
      </c>
      <c r="C234" s="487">
        <v>0</v>
      </c>
      <c r="D234" s="594" t="s">
        <v>1469</v>
      </c>
    </row>
    <row r="235" spans="1:4" x14ac:dyDescent="0.3">
      <c r="A235" s="592" t="s">
        <v>1054</v>
      </c>
      <c r="B235" s="76" t="s">
        <v>1526</v>
      </c>
      <c r="C235" s="487" t="e">
        <f>SE6impollinazione!$C$53</f>
        <v>#REF!</v>
      </c>
      <c r="D235" s="594" t="s">
        <v>1469</v>
      </c>
    </row>
    <row r="236" spans="1:4" x14ac:dyDescent="0.3">
      <c r="A236" s="592" t="s">
        <v>1055</v>
      </c>
      <c r="B236" s="76" t="s">
        <v>1526</v>
      </c>
      <c r="C236" s="487">
        <v>0</v>
      </c>
      <c r="D236" s="594" t="s">
        <v>1469</v>
      </c>
    </row>
    <row r="237" spans="1:4" x14ac:dyDescent="0.3">
      <c r="A237" s="592" t="s">
        <v>1057</v>
      </c>
      <c r="B237" s="76" t="s">
        <v>1526</v>
      </c>
      <c r="C237" s="487">
        <v>0</v>
      </c>
      <c r="D237" s="594" t="s">
        <v>1469</v>
      </c>
    </row>
    <row r="238" spans="1:4" ht="28.8" x14ac:dyDescent="0.3">
      <c r="A238" s="592" t="s">
        <v>1519</v>
      </c>
      <c r="B238" s="76" t="s">
        <v>1526</v>
      </c>
      <c r="C238" s="487">
        <v>0</v>
      </c>
      <c r="D238" s="594" t="s">
        <v>1469</v>
      </c>
    </row>
    <row r="239" spans="1:4" x14ac:dyDescent="0.3">
      <c r="A239" s="592" t="s">
        <v>1059</v>
      </c>
      <c r="B239" s="76" t="s">
        <v>1526</v>
      </c>
      <c r="C239" s="487">
        <v>0</v>
      </c>
      <c r="D239" s="594" t="s">
        <v>1469</v>
      </c>
    </row>
    <row r="240" spans="1:4" x14ac:dyDescent="0.3">
      <c r="A240" s="5" t="s">
        <v>1056</v>
      </c>
      <c r="B240" s="76" t="s">
        <v>1526</v>
      </c>
      <c r="C240" s="487">
        <v>0</v>
      </c>
      <c r="D240" s="594" t="s">
        <v>1469</v>
      </c>
    </row>
    <row r="241" spans="1:4" x14ac:dyDescent="0.3">
      <c r="A241" s="592" t="s">
        <v>1520</v>
      </c>
      <c r="B241" s="76" t="s">
        <v>1526</v>
      </c>
      <c r="C241" s="487">
        <v>0</v>
      </c>
      <c r="D241" s="594" t="s">
        <v>1469</v>
      </c>
    </row>
    <row r="242" spans="1:4" x14ac:dyDescent="0.3">
      <c r="A242" s="592" t="s">
        <v>1053</v>
      </c>
      <c r="B242" s="76" t="s">
        <v>1526</v>
      </c>
      <c r="C242" s="487">
        <v>0</v>
      </c>
      <c r="D242" s="594" t="s">
        <v>1460</v>
      </c>
    </row>
    <row r="243" spans="1:4" x14ac:dyDescent="0.3">
      <c r="A243" s="592" t="s">
        <v>1054</v>
      </c>
      <c r="B243" s="76" t="s">
        <v>1526</v>
      </c>
      <c r="C243" s="487">
        <f>SE6impollinazione!$E$53</f>
        <v>157.6283601321112</v>
      </c>
      <c r="D243" s="594" t="s">
        <v>1460</v>
      </c>
    </row>
    <row r="244" spans="1:4" x14ac:dyDescent="0.3">
      <c r="A244" s="592" t="s">
        <v>1055</v>
      </c>
      <c r="B244" s="76" t="s">
        <v>1526</v>
      </c>
      <c r="C244" s="487">
        <v>0</v>
      </c>
      <c r="D244" s="594" t="s">
        <v>1460</v>
      </c>
    </row>
    <row r="245" spans="1:4" x14ac:dyDescent="0.3">
      <c r="A245" s="592" t="s">
        <v>1057</v>
      </c>
      <c r="B245" s="76" t="s">
        <v>1526</v>
      </c>
      <c r="C245" s="487">
        <v>0</v>
      </c>
      <c r="D245" s="594" t="s">
        <v>1460</v>
      </c>
    </row>
    <row r="246" spans="1:4" ht="28.8" x14ac:dyDescent="0.3">
      <c r="A246" s="592" t="s">
        <v>1519</v>
      </c>
      <c r="B246" s="76" t="s">
        <v>1526</v>
      </c>
      <c r="C246" s="487">
        <v>0</v>
      </c>
      <c r="D246" s="594" t="s">
        <v>1460</v>
      </c>
    </row>
    <row r="247" spans="1:4" x14ac:dyDescent="0.3">
      <c r="A247" s="592" t="s">
        <v>1059</v>
      </c>
      <c r="B247" s="76" t="s">
        <v>1526</v>
      </c>
      <c r="C247" s="487">
        <v>0</v>
      </c>
      <c r="D247" s="594" t="s">
        <v>1460</v>
      </c>
    </row>
    <row r="248" spans="1:4" x14ac:dyDescent="0.3">
      <c r="A248" s="5" t="s">
        <v>1056</v>
      </c>
      <c r="B248" s="76" t="s">
        <v>1526</v>
      </c>
      <c r="C248" s="487">
        <v>0</v>
      </c>
      <c r="D248" s="594" t="s">
        <v>1460</v>
      </c>
    </row>
    <row r="249" spans="1:4" x14ac:dyDescent="0.3">
      <c r="A249" s="592" t="s">
        <v>1520</v>
      </c>
      <c r="B249" s="76" t="s">
        <v>1526</v>
      </c>
      <c r="C249" s="487">
        <v>0</v>
      </c>
      <c r="D249" s="594" t="s">
        <v>1460</v>
      </c>
    </row>
    <row r="250" spans="1:4" x14ac:dyDescent="0.3">
      <c r="A250" s="592" t="s">
        <v>1053</v>
      </c>
      <c r="B250" s="76" t="s">
        <v>1526</v>
      </c>
      <c r="C250" s="487">
        <v>0</v>
      </c>
      <c r="D250" s="594" t="s">
        <v>1461</v>
      </c>
    </row>
    <row r="251" spans="1:4" x14ac:dyDescent="0.3">
      <c r="A251" s="592" t="s">
        <v>1054</v>
      </c>
      <c r="B251" s="76" t="s">
        <v>1526</v>
      </c>
      <c r="C251" s="487">
        <f>SE6impollinazione!$E$53</f>
        <v>157.6283601321112</v>
      </c>
      <c r="D251" s="594" t="s">
        <v>1461</v>
      </c>
    </row>
    <row r="252" spans="1:4" x14ac:dyDescent="0.3">
      <c r="A252" s="592" t="s">
        <v>1055</v>
      </c>
      <c r="B252" s="76" t="s">
        <v>1526</v>
      </c>
      <c r="C252" s="487">
        <v>0</v>
      </c>
      <c r="D252" s="594" t="s">
        <v>1461</v>
      </c>
    </row>
    <row r="253" spans="1:4" x14ac:dyDescent="0.3">
      <c r="A253" s="592" t="s">
        <v>1057</v>
      </c>
      <c r="B253" s="76" t="s">
        <v>1526</v>
      </c>
      <c r="C253" s="487">
        <v>0</v>
      </c>
      <c r="D253" s="594" t="s">
        <v>1461</v>
      </c>
    </row>
    <row r="254" spans="1:4" ht="28.8" x14ac:dyDescent="0.3">
      <c r="A254" s="592" t="s">
        <v>1519</v>
      </c>
      <c r="B254" s="76" t="s">
        <v>1526</v>
      </c>
      <c r="C254" s="487">
        <v>0</v>
      </c>
      <c r="D254" s="594" t="s">
        <v>1461</v>
      </c>
    </row>
    <row r="255" spans="1:4" x14ac:dyDescent="0.3">
      <c r="A255" s="592" t="s">
        <v>1059</v>
      </c>
      <c r="B255" s="76" t="s">
        <v>1526</v>
      </c>
      <c r="C255" s="487">
        <v>0</v>
      </c>
      <c r="D255" s="594" t="s">
        <v>1461</v>
      </c>
    </row>
    <row r="256" spans="1:4" x14ac:dyDescent="0.3">
      <c r="A256" s="5" t="s">
        <v>1056</v>
      </c>
      <c r="B256" s="76" t="s">
        <v>1526</v>
      </c>
      <c r="C256" s="487">
        <v>0</v>
      </c>
      <c r="D256" s="594" t="s">
        <v>1461</v>
      </c>
    </row>
    <row r="257" spans="1:4" x14ac:dyDescent="0.3">
      <c r="A257" s="592" t="s">
        <v>1520</v>
      </c>
      <c r="B257" s="76" t="s">
        <v>1526</v>
      </c>
      <c r="C257" s="487">
        <v>0</v>
      </c>
      <c r="D257" s="594" t="s">
        <v>1461</v>
      </c>
    </row>
    <row r="258" spans="1:4" x14ac:dyDescent="0.3">
      <c r="A258" s="592" t="s">
        <v>1053</v>
      </c>
      <c r="B258" s="76" t="s">
        <v>1526</v>
      </c>
      <c r="C258" s="487">
        <v>0</v>
      </c>
      <c r="D258" s="594" t="s">
        <v>1467</v>
      </c>
    </row>
    <row r="259" spans="1:4" x14ac:dyDescent="0.3">
      <c r="A259" s="592" t="s">
        <v>1054</v>
      </c>
      <c r="B259" s="76" t="s">
        <v>1526</v>
      </c>
      <c r="C259" s="487" t="e">
        <f>SE6impollinazione!$C$53</f>
        <v>#REF!</v>
      </c>
      <c r="D259" s="594" t="s">
        <v>1467</v>
      </c>
    </row>
    <row r="260" spans="1:4" x14ac:dyDescent="0.3">
      <c r="A260" s="592" t="s">
        <v>1055</v>
      </c>
      <c r="B260" s="76" t="s">
        <v>1526</v>
      </c>
      <c r="C260" s="487">
        <v>0</v>
      </c>
      <c r="D260" s="594" t="s">
        <v>1467</v>
      </c>
    </row>
    <row r="261" spans="1:4" x14ac:dyDescent="0.3">
      <c r="A261" s="592" t="s">
        <v>1057</v>
      </c>
      <c r="B261" s="76" t="s">
        <v>1526</v>
      </c>
      <c r="C261" s="487">
        <v>0</v>
      </c>
      <c r="D261" s="594" t="s">
        <v>1467</v>
      </c>
    </row>
    <row r="262" spans="1:4" ht="28.8" x14ac:dyDescent="0.3">
      <c r="A262" s="592" t="s">
        <v>1519</v>
      </c>
      <c r="B262" s="76" t="s">
        <v>1526</v>
      </c>
      <c r="C262" s="487">
        <v>0</v>
      </c>
      <c r="D262" s="594" t="s">
        <v>1467</v>
      </c>
    </row>
    <row r="263" spans="1:4" x14ac:dyDescent="0.3">
      <c r="A263" s="592" t="s">
        <v>1059</v>
      </c>
      <c r="B263" s="76" t="s">
        <v>1526</v>
      </c>
      <c r="C263" s="487">
        <v>0</v>
      </c>
      <c r="D263" s="594" t="s">
        <v>1467</v>
      </c>
    </row>
    <row r="264" spans="1:4" x14ac:dyDescent="0.3">
      <c r="A264" s="5" t="s">
        <v>1056</v>
      </c>
      <c r="B264" s="76" t="s">
        <v>1526</v>
      </c>
      <c r="C264" s="487">
        <v>0</v>
      </c>
      <c r="D264" s="594" t="s">
        <v>1467</v>
      </c>
    </row>
    <row r="265" spans="1:4" x14ac:dyDescent="0.3">
      <c r="A265" s="592" t="s">
        <v>1520</v>
      </c>
      <c r="B265" s="76" t="s">
        <v>1526</v>
      </c>
      <c r="C265" s="487">
        <v>0</v>
      </c>
      <c r="D265" s="594" t="s">
        <v>1467</v>
      </c>
    </row>
    <row r="266" spans="1:4" x14ac:dyDescent="0.3">
      <c r="A266" s="592" t="s">
        <v>1053</v>
      </c>
      <c r="B266" s="76" t="s">
        <v>1526</v>
      </c>
      <c r="C266" s="487">
        <v>0</v>
      </c>
      <c r="D266" s="594" t="s">
        <v>1465</v>
      </c>
    </row>
    <row r="267" spans="1:4" x14ac:dyDescent="0.3">
      <c r="A267" s="592" t="s">
        <v>1054</v>
      </c>
      <c r="B267" s="76" t="s">
        <v>1526</v>
      </c>
      <c r="C267" s="487">
        <f>SE6impollinazione!$E$53</f>
        <v>157.6283601321112</v>
      </c>
      <c r="D267" s="594" t="s">
        <v>1465</v>
      </c>
    </row>
    <row r="268" spans="1:4" x14ac:dyDescent="0.3">
      <c r="A268" s="592" t="s">
        <v>1055</v>
      </c>
      <c r="B268" s="76" t="s">
        <v>1526</v>
      </c>
      <c r="C268" s="487">
        <v>0</v>
      </c>
      <c r="D268" s="594" t="s">
        <v>1465</v>
      </c>
    </row>
    <row r="269" spans="1:4" x14ac:dyDescent="0.3">
      <c r="A269" s="592" t="s">
        <v>1057</v>
      </c>
      <c r="B269" s="76" t="s">
        <v>1526</v>
      </c>
      <c r="C269" s="487">
        <v>0</v>
      </c>
      <c r="D269" s="594" t="s">
        <v>1465</v>
      </c>
    </row>
    <row r="270" spans="1:4" ht="28.8" x14ac:dyDescent="0.3">
      <c r="A270" s="592" t="s">
        <v>1519</v>
      </c>
      <c r="B270" s="76" t="s">
        <v>1526</v>
      </c>
      <c r="C270" s="487">
        <v>0</v>
      </c>
      <c r="D270" s="594" t="s">
        <v>1465</v>
      </c>
    </row>
    <row r="271" spans="1:4" x14ac:dyDescent="0.3">
      <c r="A271" s="592" t="s">
        <v>1059</v>
      </c>
      <c r="B271" s="76" t="s">
        <v>1526</v>
      </c>
      <c r="C271" s="487">
        <v>0</v>
      </c>
      <c r="D271" s="594" t="s">
        <v>1465</v>
      </c>
    </row>
    <row r="272" spans="1:4" x14ac:dyDescent="0.3">
      <c r="A272" s="5" t="s">
        <v>1056</v>
      </c>
      <c r="B272" s="76" t="s">
        <v>1526</v>
      </c>
      <c r="C272" s="487">
        <v>0</v>
      </c>
      <c r="D272" s="594" t="s">
        <v>1465</v>
      </c>
    </row>
    <row r="273" spans="1:4" x14ac:dyDescent="0.3">
      <c r="A273" s="592" t="s">
        <v>1520</v>
      </c>
      <c r="B273" s="76" t="s">
        <v>1526</v>
      </c>
      <c r="C273" s="487">
        <v>0</v>
      </c>
      <c r="D273" s="594" t="s">
        <v>1465</v>
      </c>
    </row>
    <row r="274" spans="1:4" x14ac:dyDescent="0.3">
      <c r="A274" s="592" t="s">
        <v>1053</v>
      </c>
      <c r="B274" s="76" t="s">
        <v>1526</v>
      </c>
      <c r="C274" s="487">
        <v>0</v>
      </c>
      <c r="D274" s="594" t="s">
        <v>1466</v>
      </c>
    </row>
    <row r="275" spans="1:4" x14ac:dyDescent="0.3">
      <c r="A275" s="592" t="s">
        <v>1054</v>
      </c>
      <c r="B275" s="76" t="s">
        <v>1526</v>
      </c>
      <c r="C275" s="487" t="e">
        <f>SE6impollinazione!$D$53</f>
        <v>#REF!</v>
      </c>
      <c r="D275" s="594" t="s">
        <v>1466</v>
      </c>
    </row>
    <row r="276" spans="1:4" x14ac:dyDescent="0.3">
      <c r="A276" s="592" t="s">
        <v>1055</v>
      </c>
      <c r="B276" s="76" t="s">
        <v>1526</v>
      </c>
      <c r="C276" s="487">
        <v>0</v>
      </c>
      <c r="D276" s="594" t="s">
        <v>1466</v>
      </c>
    </row>
    <row r="277" spans="1:4" x14ac:dyDescent="0.3">
      <c r="A277" s="592" t="s">
        <v>1057</v>
      </c>
      <c r="B277" s="76" t="s">
        <v>1526</v>
      </c>
      <c r="C277" s="487">
        <v>0</v>
      </c>
      <c r="D277" s="594" t="s">
        <v>1466</v>
      </c>
    </row>
    <row r="278" spans="1:4" ht="28.8" x14ac:dyDescent="0.3">
      <c r="A278" s="592" t="s">
        <v>1519</v>
      </c>
      <c r="B278" s="76" t="s">
        <v>1526</v>
      </c>
      <c r="C278" s="487">
        <v>0</v>
      </c>
      <c r="D278" s="594" t="s">
        <v>1466</v>
      </c>
    </row>
    <row r="279" spans="1:4" x14ac:dyDescent="0.3">
      <c r="A279" s="592" t="s">
        <v>1059</v>
      </c>
      <c r="B279" s="76" t="s">
        <v>1526</v>
      </c>
      <c r="C279" s="487">
        <v>0</v>
      </c>
      <c r="D279" s="594" t="s">
        <v>1466</v>
      </c>
    </row>
    <row r="280" spans="1:4" x14ac:dyDescent="0.3">
      <c r="A280" s="5" t="s">
        <v>1056</v>
      </c>
      <c r="B280" s="76" t="s">
        <v>1526</v>
      </c>
      <c r="C280" s="487">
        <v>0</v>
      </c>
      <c r="D280" s="594" t="s">
        <v>1466</v>
      </c>
    </row>
    <row r="281" spans="1:4" x14ac:dyDescent="0.3">
      <c r="A281" s="609" t="s">
        <v>1520</v>
      </c>
      <c r="B281" s="616" t="s">
        <v>1526</v>
      </c>
      <c r="C281" s="811">
        <v>0</v>
      </c>
      <c r="D281" s="610" t="s">
        <v>1466</v>
      </c>
    </row>
    <row r="282" spans="1:4" x14ac:dyDescent="0.3">
      <c r="A282" s="592" t="s">
        <v>1053</v>
      </c>
      <c r="B282" s="616" t="s">
        <v>1526</v>
      </c>
      <c r="C282" s="487">
        <v>0</v>
      </c>
      <c r="D282" s="594" t="s">
        <v>1584</v>
      </c>
    </row>
    <row r="283" spans="1:4" x14ac:dyDescent="0.3">
      <c r="A283" s="592" t="s">
        <v>1054</v>
      </c>
      <c r="B283" s="616" t="s">
        <v>1526</v>
      </c>
      <c r="C283" s="487">
        <f>SE6impollinazione!$E$53</f>
        <v>157.6283601321112</v>
      </c>
      <c r="D283" s="594" t="s">
        <v>1584</v>
      </c>
    </row>
    <row r="284" spans="1:4" x14ac:dyDescent="0.3">
      <c r="A284" s="592" t="s">
        <v>1055</v>
      </c>
      <c r="B284" s="616" t="s">
        <v>1526</v>
      </c>
      <c r="C284" s="487">
        <v>0</v>
      </c>
      <c r="D284" s="594" t="s">
        <v>1584</v>
      </c>
    </row>
    <row r="285" spans="1:4" x14ac:dyDescent="0.3">
      <c r="A285" s="592" t="s">
        <v>1057</v>
      </c>
      <c r="B285" s="616" t="s">
        <v>1526</v>
      </c>
      <c r="C285" s="487">
        <v>0</v>
      </c>
      <c r="D285" s="594" t="s">
        <v>1584</v>
      </c>
    </row>
    <row r="286" spans="1:4" ht="28.8" x14ac:dyDescent="0.3">
      <c r="A286" s="592" t="s">
        <v>1519</v>
      </c>
      <c r="B286" s="616" t="s">
        <v>1526</v>
      </c>
      <c r="C286" s="487">
        <v>0</v>
      </c>
      <c r="D286" s="594" t="s">
        <v>1584</v>
      </c>
    </row>
    <row r="287" spans="1:4" x14ac:dyDescent="0.3">
      <c r="A287" s="592" t="s">
        <v>1059</v>
      </c>
      <c r="B287" s="616" t="s">
        <v>1526</v>
      </c>
      <c r="C287" s="487">
        <v>0</v>
      </c>
      <c r="D287" s="594" t="s">
        <v>1584</v>
      </c>
    </row>
    <row r="288" spans="1:4" x14ac:dyDescent="0.3">
      <c r="A288" s="5" t="s">
        <v>1056</v>
      </c>
      <c r="B288" s="616" t="s">
        <v>1526</v>
      </c>
      <c r="C288" s="487">
        <v>0</v>
      </c>
      <c r="D288" s="594" t="s">
        <v>1584</v>
      </c>
    </row>
    <row r="289" spans="1:6" ht="15" thickBot="1" x14ac:dyDescent="0.35">
      <c r="A289" s="596" t="s">
        <v>1520</v>
      </c>
      <c r="B289" s="616" t="s">
        <v>1526</v>
      </c>
      <c r="C289" s="487">
        <v>0</v>
      </c>
      <c r="D289" s="598" t="s">
        <v>1584</v>
      </c>
    </row>
    <row r="290" spans="1:6" x14ac:dyDescent="0.3">
      <c r="A290" s="589" t="s">
        <v>1053</v>
      </c>
      <c r="B290" s="321" t="s">
        <v>1530</v>
      </c>
      <c r="C290" s="590">
        <f>SE11ricreazione!C61</f>
        <v>172.17058618500656</v>
      </c>
      <c r="D290" s="603" t="s">
        <v>498</v>
      </c>
      <c r="F290" t="s">
        <v>2018</v>
      </c>
    </row>
    <row r="291" spans="1:6" x14ac:dyDescent="0.3">
      <c r="A291" s="592" t="s">
        <v>1054</v>
      </c>
      <c r="B291" s="76" t="s">
        <v>1530</v>
      </c>
      <c r="C291" s="593">
        <f>SE11ricreazione!D61</f>
        <v>66.058776723807739</v>
      </c>
      <c r="D291" s="604" t="s">
        <v>498</v>
      </c>
      <c r="F291" t="s">
        <v>1531</v>
      </c>
    </row>
    <row r="292" spans="1:6" x14ac:dyDescent="0.3">
      <c r="A292" s="592" t="s">
        <v>1055</v>
      </c>
      <c r="B292" s="76" t="s">
        <v>1530</v>
      </c>
      <c r="C292" s="605">
        <f>SE11ricreazione!E61</f>
        <v>154.91167326637881</v>
      </c>
      <c r="D292" s="604" t="s">
        <v>498</v>
      </c>
      <c r="F292" t="s">
        <v>1532</v>
      </c>
    </row>
    <row r="293" spans="1:6" x14ac:dyDescent="0.3">
      <c r="A293" s="592" t="s">
        <v>1057</v>
      </c>
      <c r="B293" s="76" t="s">
        <v>1530</v>
      </c>
      <c r="C293" s="605">
        <f>SE11ricreazione!F61</f>
        <v>0</v>
      </c>
      <c r="D293" s="604" t="s">
        <v>498</v>
      </c>
    </row>
    <row r="294" spans="1:6" ht="28.8" x14ac:dyDescent="0.3">
      <c r="A294" s="592" t="s">
        <v>1519</v>
      </c>
      <c r="B294" s="76" t="s">
        <v>1530</v>
      </c>
      <c r="C294" s="605">
        <f>SE11ricreazione!G61</f>
        <v>65.339757281984078</v>
      </c>
      <c r="D294" s="604" t="s">
        <v>498</v>
      </c>
    </row>
    <row r="295" spans="1:6" x14ac:dyDescent="0.3">
      <c r="A295" s="592" t="s">
        <v>1059</v>
      </c>
      <c r="B295" s="76" t="s">
        <v>1530</v>
      </c>
      <c r="C295" s="605">
        <f>SE11ricreazione!H61</f>
        <v>130.10043310984119</v>
      </c>
      <c r="D295" s="604" t="s">
        <v>498</v>
      </c>
    </row>
    <row r="296" spans="1:6" x14ac:dyDescent="0.3">
      <c r="A296" s="5" t="s">
        <v>1056</v>
      </c>
      <c r="B296" s="76" t="s">
        <v>1530</v>
      </c>
      <c r="C296" s="605">
        <f>SE11ricreazione!I61</f>
        <v>174.15241872934917</v>
      </c>
      <c r="D296" s="604" t="s">
        <v>498</v>
      </c>
    </row>
    <row r="297" spans="1:6" x14ac:dyDescent="0.3">
      <c r="A297" s="592" t="s">
        <v>1520</v>
      </c>
      <c r="B297" s="76" t="s">
        <v>1530</v>
      </c>
      <c r="C297" s="605">
        <f>SE11ricreazione!J61</f>
        <v>174.15241872934917</v>
      </c>
      <c r="D297" s="604" t="s">
        <v>498</v>
      </c>
    </row>
    <row r="298" spans="1:6" x14ac:dyDescent="0.3">
      <c r="A298" s="592" t="s">
        <v>1053</v>
      </c>
      <c r="B298" s="76" t="s">
        <v>1530</v>
      </c>
      <c r="C298" s="602">
        <f>SE11ricreazione!C62</f>
        <v>631.29214934502397</v>
      </c>
      <c r="D298" s="604" t="s">
        <v>1459</v>
      </c>
    </row>
    <row r="299" spans="1:6" x14ac:dyDescent="0.3">
      <c r="A299" s="592" t="s">
        <v>1054</v>
      </c>
      <c r="B299" s="76" t="s">
        <v>1530</v>
      </c>
      <c r="C299" s="593">
        <f>SE11ricreazione!D62</f>
        <v>242.21551465396172</v>
      </c>
      <c r="D299" s="604" t="s">
        <v>1459</v>
      </c>
    </row>
    <row r="300" spans="1:6" x14ac:dyDescent="0.3">
      <c r="A300" s="592" t="s">
        <v>1055</v>
      </c>
      <c r="B300" s="76" t="s">
        <v>1530</v>
      </c>
      <c r="C300" s="605">
        <f>SE11ricreazione!E62</f>
        <v>568.00946864338903</v>
      </c>
      <c r="D300" s="604" t="s">
        <v>1459</v>
      </c>
    </row>
    <row r="301" spans="1:6" x14ac:dyDescent="0.3">
      <c r="A301" s="592" t="s">
        <v>1057</v>
      </c>
      <c r="B301" s="76" t="s">
        <v>1530</v>
      </c>
      <c r="C301" s="605">
        <f>SE11ricreazione!F62</f>
        <v>0</v>
      </c>
      <c r="D301" s="604" t="s">
        <v>1459</v>
      </c>
    </row>
    <row r="302" spans="1:6" ht="28.8" x14ac:dyDescent="0.3">
      <c r="A302" s="592" t="s">
        <v>1519</v>
      </c>
      <c r="B302" s="76" t="s">
        <v>1530</v>
      </c>
      <c r="C302" s="605">
        <f>SE11ricreazione!G62</f>
        <v>239.57911003394162</v>
      </c>
      <c r="D302" s="604" t="s">
        <v>1459</v>
      </c>
    </row>
    <row r="303" spans="1:6" x14ac:dyDescent="0.3">
      <c r="A303" s="592" t="s">
        <v>1059</v>
      </c>
      <c r="B303" s="76" t="s">
        <v>1530</v>
      </c>
      <c r="C303" s="605">
        <f>SE11ricreazione!H62</f>
        <v>477.03492140275114</v>
      </c>
      <c r="D303" s="604" t="s">
        <v>1459</v>
      </c>
    </row>
    <row r="304" spans="1:6" x14ac:dyDescent="0.3">
      <c r="A304" s="5" t="s">
        <v>1056</v>
      </c>
      <c r="B304" s="76" t="s">
        <v>1530</v>
      </c>
      <c r="C304" s="605">
        <f>SE11ricreazione!I62</f>
        <v>638.55886867428035</v>
      </c>
      <c r="D304" s="604" t="s">
        <v>1459</v>
      </c>
    </row>
    <row r="305" spans="1:4" x14ac:dyDescent="0.3">
      <c r="A305" s="592" t="s">
        <v>1520</v>
      </c>
      <c r="B305" s="76" t="s">
        <v>1530</v>
      </c>
      <c r="C305" s="605">
        <f>SE11ricreazione!J62</f>
        <v>638.55886867428035</v>
      </c>
      <c r="D305" s="604" t="s">
        <v>1459</v>
      </c>
    </row>
    <row r="306" spans="1:4" x14ac:dyDescent="0.3">
      <c r="A306" s="592" t="s">
        <v>1053</v>
      </c>
      <c r="B306" s="76" t="s">
        <v>1530</v>
      </c>
      <c r="C306" s="602">
        <f>SE11ricreazione!C64</f>
        <v>379.41295844473666</v>
      </c>
      <c r="D306" s="594" t="s">
        <v>1464</v>
      </c>
    </row>
    <row r="307" spans="1:4" x14ac:dyDescent="0.3">
      <c r="A307" s="592" t="s">
        <v>1054</v>
      </c>
      <c r="B307" s="76" t="s">
        <v>1530</v>
      </c>
      <c r="C307" s="593">
        <f>SE11ricreazione!D64</f>
        <v>145.57397092839113</v>
      </c>
      <c r="D307" s="594" t="s">
        <v>1464</v>
      </c>
    </row>
    <row r="308" spans="1:4" x14ac:dyDescent="0.3">
      <c r="A308" s="592" t="s">
        <v>1055</v>
      </c>
      <c r="B308" s="76" t="s">
        <v>1530</v>
      </c>
      <c r="C308" s="605">
        <f>SE11ricreazione!E64</f>
        <v>341.37942812405703</v>
      </c>
      <c r="D308" s="594" t="s">
        <v>1464</v>
      </c>
    </row>
    <row r="309" spans="1:4" x14ac:dyDescent="0.3">
      <c r="A309" s="592" t="s">
        <v>1057</v>
      </c>
      <c r="B309" s="76" t="s">
        <v>1530</v>
      </c>
      <c r="C309" s="605">
        <f>SE11ricreazione!F64</f>
        <v>0</v>
      </c>
      <c r="D309" s="594" t="s">
        <v>1464</v>
      </c>
    </row>
    <row r="310" spans="1:4" ht="28.8" x14ac:dyDescent="0.3">
      <c r="A310" s="592" t="s">
        <v>1519</v>
      </c>
      <c r="B310" s="76" t="s">
        <v>1530</v>
      </c>
      <c r="C310" s="605">
        <f>SE11ricreazione!G64</f>
        <v>143.98946512140935</v>
      </c>
      <c r="D310" s="594" t="s">
        <v>1464</v>
      </c>
    </row>
    <row r="311" spans="1:4" x14ac:dyDescent="0.3">
      <c r="A311" s="592" t="s">
        <v>1059</v>
      </c>
      <c r="B311" s="76" t="s">
        <v>1530</v>
      </c>
      <c r="C311" s="605">
        <f>SE11ricreazione!H64</f>
        <v>286.70280629761299</v>
      </c>
      <c r="D311" s="594" t="s">
        <v>1464</v>
      </c>
    </row>
    <row r="312" spans="1:4" x14ac:dyDescent="0.3">
      <c r="A312" s="5" t="s">
        <v>1056</v>
      </c>
      <c r="B312" s="76" t="s">
        <v>1530</v>
      </c>
      <c r="C312" s="605">
        <f>SE11ricreazione!I64</f>
        <v>383.78033016282501</v>
      </c>
      <c r="D312" s="594" t="s">
        <v>1464</v>
      </c>
    </row>
    <row r="313" spans="1:4" x14ac:dyDescent="0.3">
      <c r="A313" s="592" t="s">
        <v>1520</v>
      </c>
      <c r="B313" s="76" t="s">
        <v>1530</v>
      </c>
      <c r="C313" s="605">
        <f>SE11ricreazione!J64</f>
        <v>383.78033016282501</v>
      </c>
      <c r="D313" s="594" t="s">
        <v>1464</v>
      </c>
    </row>
    <row r="314" spans="1:4" x14ac:dyDescent="0.3">
      <c r="A314" s="592" t="s">
        <v>1053</v>
      </c>
      <c r="B314" s="76" t="s">
        <v>1530</v>
      </c>
      <c r="C314" s="602">
        <f>SE11ricreazione!C67</f>
        <v>210.43071644834134</v>
      </c>
      <c r="D314" s="594" t="s">
        <v>1463</v>
      </c>
    </row>
    <row r="315" spans="1:4" x14ac:dyDescent="0.3">
      <c r="A315" s="592" t="s">
        <v>1054</v>
      </c>
      <c r="B315" s="76" t="s">
        <v>1530</v>
      </c>
      <c r="C315" s="593">
        <f>SE11ricreazione!D67</f>
        <v>80.738504884653906</v>
      </c>
      <c r="D315" s="594" t="s">
        <v>1463</v>
      </c>
    </row>
    <row r="316" spans="1:4" x14ac:dyDescent="0.3">
      <c r="A316" s="592" t="s">
        <v>1055</v>
      </c>
      <c r="B316" s="76" t="s">
        <v>1530</v>
      </c>
      <c r="C316" s="605">
        <f>SE11ricreazione!E67</f>
        <v>189.33648954779636</v>
      </c>
      <c r="D316" s="594" t="s">
        <v>1463</v>
      </c>
    </row>
    <row r="317" spans="1:4" x14ac:dyDescent="0.3">
      <c r="A317" s="592" t="s">
        <v>1057</v>
      </c>
      <c r="B317" s="76" t="s">
        <v>1530</v>
      </c>
      <c r="C317" s="605">
        <f>SE11ricreazione!F67</f>
        <v>0</v>
      </c>
      <c r="D317" s="594" t="s">
        <v>1463</v>
      </c>
    </row>
    <row r="318" spans="1:4" ht="28.8" x14ac:dyDescent="0.3">
      <c r="A318" s="592" t="s">
        <v>1519</v>
      </c>
      <c r="B318" s="76" t="s">
        <v>1530</v>
      </c>
      <c r="C318" s="605">
        <f>SE11ricreazione!G67</f>
        <v>79.859703344647201</v>
      </c>
      <c r="D318" s="594" t="s">
        <v>1463</v>
      </c>
    </row>
    <row r="319" spans="1:4" x14ac:dyDescent="0.3">
      <c r="A319" s="592" t="s">
        <v>1059</v>
      </c>
      <c r="B319" s="76" t="s">
        <v>1530</v>
      </c>
      <c r="C319" s="605">
        <f>SE11ricreazione!H67</f>
        <v>159.0116404675837</v>
      </c>
      <c r="D319" s="594" t="s">
        <v>1463</v>
      </c>
    </row>
    <row r="320" spans="1:4" x14ac:dyDescent="0.3">
      <c r="A320" s="5" t="s">
        <v>1056</v>
      </c>
      <c r="B320" s="76" t="s">
        <v>1530</v>
      </c>
      <c r="C320" s="605">
        <f>SE11ricreazione!I67</f>
        <v>212.85295622476008</v>
      </c>
      <c r="D320" s="594" t="s">
        <v>1463</v>
      </c>
    </row>
    <row r="321" spans="1:4" x14ac:dyDescent="0.3">
      <c r="A321" s="592" t="s">
        <v>1520</v>
      </c>
      <c r="B321" s="76" t="s">
        <v>1530</v>
      </c>
      <c r="C321" s="605">
        <f>SE11ricreazione!J67</f>
        <v>212.85295622476008</v>
      </c>
      <c r="D321" s="594" t="s">
        <v>1463</v>
      </c>
    </row>
    <row r="322" spans="1:4" x14ac:dyDescent="0.3">
      <c r="A322" s="592" t="s">
        <v>1053</v>
      </c>
      <c r="B322" s="76" t="s">
        <v>1530</v>
      </c>
      <c r="C322" s="602">
        <f>SE11ricreazione!C68</f>
        <v>392.16633519918156</v>
      </c>
      <c r="D322" s="594" t="s">
        <v>1468</v>
      </c>
    </row>
    <row r="323" spans="1:4" x14ac:dyDescent="0.3">
      <c r="A323" s="592" t="s">
        <v>1054</v>
      </c>
      <c r="B323" s="76" t="s">
        <v>1530</v>
      </c>
      <c r="C323" s="593">
        <f>SE11ricreazione!D68</f>
        <v>150.46721364867318</v>
      </c>
      <c r="D323" s="594" t="s">
        <v>1468</v>
      </c>
    </row>
    <row r="324" spans="1:4" x14ac:dyDescent="0.3">
      <c r="A324" s="592" t="s">
        <v>1055</v>
      </c>
      <c r="B324" s="76" t="s">
        <v>1530</v>
      </c>
      <c r="C324" s="605">
        <f>SE11ricreazione!E68</f>
        <v>352.85436688452955</v>
      </c>
      <c r="D324" s="594" t="s">
        <v>1468</v>
      </c>
    </row>
    <row r="325" spans="1:4" x14ac:dyDescent="0.3">
      <c r="A325" s="592" t="s">
        <v>1057</v>
      </c>
      <c r="B325" s="76" t="s">
        <v>1530</v>
      </c>
      <c r="C325" s="605">
        <f>SE11ricreazione!F68</f>
        <v>0</v>
      </c>
      <c r="D325" s="594" t="s">
        <v>1468</v>
      </c>
    </row>
    <row r="326" spans="1:4" ht="28.8" x14ac:dyDescent="0.3">
      <c r="A326" s="592" t="s">
        <v>1519</v>
      </c>
      <c r="B326" s="76" t="s">
        <v>1530</v>
      </c>
      <c r="C326" s="605">
        <f>SE11ricreazione!G68</f>
        <v>148.82944714229708</v>
      </c>
      <c r="D326" s="594" t="s">
        <v>1468</v>
      </c>
    </row>
    <row r="327" spans="1:4" x14ac:dyDescent="0.3">
      <c r="A327" s="592" t="s">
        <v>1059</v>
      </c>
      <c r="B327" s="76" t="s">
        <v>1530</v>
      </c>
      <c r="C327" s="605">
        <f>SE11ricreazione!H68</f>
        <v>296.33987541686054</v>
      </c>
      <c r="D327" s="594" t="s">
        <v>1468</v>
      </c>
    </row>
    <row r="328" spans="1:4" x14ac:dyDescent="0.3">
      <c r="A328" s="5" t="s">
        <v>1056</v>
      </c>
      <c r="B328" s="76" t="s">
        <v>1530</v>
      </c>
      <c r="C328" s="605">
        <f>SE11ricreazione!I68</f>
        <v>396.680509327962</v>
      </c>
      <c r="D328" s="594" t="s">
        <v>1468</v>
      </c>
    </row>
    <row r="329" spans="1:4" x14ac:dyDescent="0.3">
      <c r="A329" s="592" t="s">
        <v>1520</v>
      </c>
      <c r="B329" s="76" t="s">
        <v>1530</v>
      </c>
      <c r="C329" s="605">
        <f>SE11ricreazione!J68</f>
        <v>396.680509327962</v>
      </c>
      <c r="D329" s="594" t="s">
        <v>1468</v>
      </c>
    </row>
    <row r="330" spans="1:4" x14ac:dyDescent="0.3">
      <c r="A330" s="592" t="s">
        <v>1053</v>
      </c>
      <c r="B330" s="76" t="s">
        <v>1530</v>
      </c>
      <c r="C330" s="602">
        <f>SE11ricreazione!C69</f>
        <v>640.85718191085766</v>
      </c>
      <c r="D330" s="594" t="s">
        <v>1469</v>
      </c>
    </row>
    <row r="331" spans="1:4" x14ac:dyDescent="0.3">
      <c r="A331" s="592" t="s">
        <v>1054</v>
      </c>
      <c r="B331" s="76" t="s">
        <v>1530</v>
      </c>
      <c r="C331" s="593">
        <f>SE11ricreazione!D69</f>
        <v>245.88544669417325</v>
      </c>
      <c r="D331" s="594" t="s">
        <v>1469</v>
      </c>
    </row>
    <row r="332" spans="1:4" x14ac:dyDescent="0.3">
      <c r="A332" s="592" t="s">
        <v>1055</v>
      </c>
      <c r="B332" s="76" t="s">
        <v>1530</v>
      </c>
      <c r="C332" s="605">
        <f>SE11ricreazione!E69</f>
        <v>576.61567271374338</v>
      </c>
      <c r="D332" s="594" t="s">
        <v>1469</v>
      </c>
    </row>
    <row r="333" spans="1:4" x14ac:dyDescent="0.3">
      <c r="A333" s="592" t="s">
        <v>1057</v>
      </c>
      <c r="B333" s="76" t="s">
        <v>1530</v>
      </c>
      <c r="C333" s="605">
        <f>SE11ricreazione!F69</f>
        <v>0</v>
      </c>
      <c r="D333" s="594" t="s">
        <v>1469</v>
      </c>
    </row>
    <row r="334" spans="1:4" ht="28.8" x14ac:dyDescent="0.3">
      <c r="A334" s="592" t="s">
        <v>1519</v>
      </c>
      <c r="B334" s="76" t="s">
        <v>1530</v>
      </c>
      <c r="C334" s="605">
        <f>SE11ricreazione!G69</f>
        <v>243.20909654960741</v>
      </c>
      <c r="D334" s="594" t="s">
        <v>1469</v>
      </c>
    </row>
    <row r="335" spans="1:4" x14ac:dyDescent="0.3">
      <c r="A335" s="592" t="s">
        <v>1059</v>
      </c>
      <c r="B335" s="76" t="s">
        <v>1530</v>
      </c>
      <c r="C335" s="605">
        <f>SE11ricreazione!H69</f>
        <v>484.26272324218667</v>
      </c>
      <c r="D335" s="594" t="s">
        <v>1469</v>
      </c>
    </row>
    <row r="336" spans="1:4" x14ac:dyDescent="0.3">
      <c r="A336" s="5" t="s">
        <v>1056</v>
      </c>
      <c r="B336" s="76" t="s">
        <v>1530</v>
      </c>
      <c r="C336" s="605">
        <f>SE11ricreazione!I69</f>
        <v>648.23400304813299</v>
      </c>
      <c r="D336" s="594" t="s">
        <v>1469</v>
      </c>
    </row>
    <row r="337" spans="1:4" x14ac:dyDescent="0.3">
      <c r="A337" s="592" t="s">
        <v>1520</v>
      </c>
      <c r="B337" s="76" t="s">
        <v>1530</v>
      </c>
      <c r="C337" s="605">
        <f>SE11ricreazione!J69</f>
        <v>648.23400304813299</v>
      </c>
      <c r="D337" s="594" t="s">
        <v>1469</v>
      </c>
    </row>
    <row r="338" spans="1:4" x14ac:dyDescent="0.3">
      <c r="A338" s="592" t="s">
        <v>1053</v>
      </c>
      <c r="B338" s="76" t="s">
        <v>1530</v>
      </c>
      <c r="C338" s="602">
        <f>SE11ricreazione!C70</f>
        <v>1332.7278708394952</v>
      </c>
      <c r="D338" s="594" t="s">
        <v>1460</v>
      </c>
    </row>
    <row r="339" spans="1:4" x14ac:dyDescent="0.3">
      <c r="A339" s="592" t="s">
        <v>1054</v>
      </c>
      <c r="B339" s="76" t="s">
        <v>1530</v>
      </c>
      <c r="C339" s="593">
        <f>SE11ricreazione!D70</f>
        <v>511.34386426947475</v>
      </c>
      <c r="D339" s="594" t="s">
        <v>1460</v>
      </c>
    </row>
    <row r="340" spans="1:4" x14ac:dyDescent="0.3">
      <c r="A340" s="592" t="s">
        <v>1055</v>
      </c>
      <c r="B340" s="76" t="s">
        <v>1530</v>
      </c>
      <c r="C340" s="605">
        <f>SE11ricreazione!E70</f>
        <v>1199.1311004693769</v>
      </c>
      <c r="D340" s="594" t="s">
        <v>1460</v>
      </c>
    </row>
    <row r="341" spans="1:4" x14ac:dyDescent="0.3">
      <c r="A341" s="592" t="s">
        <v>1057</v>
      </c>
      <c r="B341" s="76" t="s">
        <v>1530</v>
      </c>
      <c r="C341" s="605">
        <f>SE11ricreazione!F70</f>
        <v>0</v>
      </c>
      <c r="D341" s="594" t="s">
        <v>1460</v>
      </c>
    </row>
    <row r="342" spans="1:4" ht="28.8" x14ac:dyDescent="0.3">
      <c r="A342" s="592" t="s">
        <v>1519</v>
      </c>
      <c r="B342" s="76" t="s">
        <v>1530</v>
      </c>
      <c r="C342" s="605">
        <f>SE11ricreazione!G70</f>
        <v>505.77812118276563</v>
      </c>
      <c r="D342" s="594" t="s">
        <v>1460</v>
      </c>
    </row>
    <row r="343" spans="1:4" x14ac:dyDescent="0.3">
      <c r="A343" s="592" t="s">
        <v>1059</v>
      </c>
      <c r="B343" s="76" t="s">
        <v>1530</v>
      </c>
      <c r="C343" s="605">
        <f>SE11ricreazione!H70</f>
        <v>1007.0737229613635</v>
      </c>
      <c r="D343" s="594" t="s">
        <v>1460</v>
      </c>
    </row>
    <row r="344" spans="1:4" x14ac:dyDescent="0.3">
      <c r="A344" s="5" t="s">
        <v>1056</v>
      </c>
      <c r="B344" s="76" t="s">
        <v>1530</v>
      </c>
      <c r="C344" s="605">
        <f>SE11ricreazione!I70</f>
        <v>1348.0687227568139</v>
      </c>
      <c r="D344" s="594" t="s">
        <v>1460</v>
      </c>
    </row>
    <row r="345" spans="1:4" x14ac:dyDescent="0.3">
      <c r="A345" s="592" t="s">
        <v>1520</v>
      </c>
      <c r="B345" s="76" t="s">
        <v>1530</v>
      </c>
      <c r="C345" s="605">
        <f>SE11ricreazione!J70</f>
        <v>1348.0687227568139</v>
      </c>
      <c r="D345" s="594" t="s">
        <v>1460</v>
      </c>
    </row>
    <row r="346" spans="1:4" x14ac:dyDescent="0.3">
      <c r="A346" s="592" t="s">
        <v>1053</v>
      </c>
      <c r="B346" s="76" t="s">
        <v>1530</v>
      </c>
      <c r="C346" s="602">
        <f>SE11ricreazione!C71</f>
        <v>844.91120998197664</v>
      </c>
      <c r="D346" s="594" t="s">
        <v>1461</v>
      </c>
    </row>
    <row r="347" spans="1:4" x14ac:dyDescent="0.3">
      <c r="A347" s="592" t="s">
        <v>1054</v>
      </c>
      <c r="B347" s="76" t="s">
        <v>1530</v>
      </c>
      <c r="C347" s="593">
        <f>SE11ricreazione!D71</f>
        <v>324.17733021868617</v>
      </c>
      <c r="D347" s="594" t="s">
        <v>1461</v>
      </c>
    </row>
    <row r="348" spans="1:4" x14ac:dyDescent="0.3">
      <c r="A348" s="592" t="s">
        <v>1055</v>
      </c>
      <c r="B348" s="76" t="s">
        <v>1530</v>
      </c>
      <c r="C348" s="605">
        <f>SE11ricreazione!E71</f>
        <v>760.21469288130356</v>
      </c>
      <c r="D348" s="594" t="s">
        <v>1461</v>
      </c>
    </row>
    <row r="349" spans="1:4" x14ac:dyDescent="0.3">
      <c r="A349" s="592" t="s">
        <v>1057</v>
      </c>
      <c r="B349" s="76" t="s">
        <v>1530</v>
      </c>
      <c r="C349" s="605">
        <f>SE11ricreazione!F71</f>
        <v>0</v>
      </c>
      <c r="D349" s="594" t="s">
        <v>1461</v>
      </c>
    </row>
    <row r="350" spans="1:4" ht="28.8" x14ac:dyDescent="0.3">
      <c r="A350" s="592" t="s">
        <v>1519</v>
      </c>
      <c r="B350" s="76" t="s">
        <v>1530</v>
      </c>
      <c r="C350" s="605">
        <f>SE11ricreazione!G71</f>
        <v>320.64880888381077</v>
      </c>
      <c r="D350" s="594" t="s">
        <v>1461</v>
      </c>
    </row>
    <row r="351" spans="1:4" x14ac:dyDescent="0.3">
      <c r="A351" s="592" t="s">
        <v>1059</v>
      </c>
      <c r="B351" s="76" t="s">
        <v>1530</v>
      </c>
      <c r="C351" s="605">
        <f>SE11ricreazione!H71</f>
        <v>638.45582915014666</v>
      </c>
      <c r="D351" s="594" t="s">
        <v>1461</v>
      </c>
    </row>
    <row r="352" spans="1:4" x14ac:dyDescent="0.3">
      <c r="A352" s="5" t="s">
        <v>1056</v>
      </c>
      <c r="B352" s="76" t="s">
        <v>1530</v>
      </c>
      <c r="C352" s="605">
        <f>SE11ricreazione!I71</f>
        <v>854.6368696903246</v>
      </c>
      <c r="D352" s="594" t="s">
        <v>1461</v>
      </c>
    </row>
    <row r="353" spans="1:4" x14ac:dyDescent="0.3">
      <c r="A353" s="592" t="s">
        <v>1520</v>
      </c>
      <c r="B353" s="76" t="s">
        <v>1530</v>
      </c>
      <c r="C353" s="605">
        <f>SE11ricreazione!J71</f>
        <v>854.6368696903246</v>
      </c>
      <c r="D353" s="594" t="s">
        <v>1461</v>
      </c>
    </row>
    <row r="354" spans="1:4" x14ac:dyDescent="0.3">
      <c r="A354" s="592" t="s">
        <v>1053</v>
      </c>
      <c r="B354" s="76" t="s">
        <v>1530</v>
      </c>
      <c r="C354" s="602">
        <f>SE11ricreazione!C63</f>
        <v>510.13507017779722</v>
      </c>
      <c r="D354" s="594" t="s">
        <v>1467</v>
      </c>
    </row>
    <row r="355" spans="1:4" x14ac:dyDescent="0.3">
      <c r="A355" s="592" t="s">
        <v>1054</v>
      </c>
      <c r="B355" s="76" t="s">
        <v>1530</v>
      </c>
      <c r="C355" s="593">
        <f>SE11ricreazione!D63</f>
        <v>195.72970881128219</v>
      </c>
      <c r="D355" s="594" t="s">
        <v>1467</v>
      </c>
    </row>
    <row r="356" spans="1:4" x14ac:dyDescent="0.3">
      <c r="A356" s="592" t="s">
        <v>1055</v>
      </c>
      <c r="B356" s="76" t="s">
        <v>1530</v>
      </c>
      <c r="C356" s="605">
        <f>SE11ricreazione!E63</f>
        <v>458.99755041890023</v>
      </c>
      <c r="D356" s="594" t="s">
        <v>1467</v>
      </c>
    </row>
    <row r="357" spans="1:4" x14ac:dyDescent="0.3">
      <c r="A357" s="592" t="s">
        <v>1057</v>
      </c>
      <c r="B357" s="76" t="s">
        <v>1530</v>
      </c>
      <c r="C357" s="605">
        <f>SE11ricreazione!F63</f>
        <v>0</v>
      </c>
      <c r="D357" s="594" t="s">
        <v>1467</v>
      </c>
    </row>
    <row r="358" spans="1:4" ht="28.8" x14ac:dyDescent="0.3">
      <c r="A358" s="592" t="s">
        <v>1519</v>
      </c>
      <c r="B358" s="76" t="s">
        <v>1530</v>
      </c>
      <c r="C358" s="605">
        <f>SE11ricreazione!G63</f>
        <v>193.59928083550838</v>
      </c>
      <c r="D358" s="594" t="s">
        <v>1467</v>
      </c>
    </row>
    <row r="359" spans="1:4" x14ac:dyDescent="0.3">
      <c r="A359" s="592" t="s">
        <v>1059</v>
      </c>
      <c r="B359" s="76" t="s">
        <v>1530</v>
      </c>
      <c r="C359" s="605">
        <f>SE11ricreazione!H63</f>
        <v>385.48276476989986</v>
      </c>
      <c r="D359" s="594" t="s">
        <v>1467</v>
      </c>
    </row>
    <row r="360" spans="1:4" x14ac:dyDescent="0.3">
      <c r="A360" s="5" t="s">
        <v>1056</v>
      </c>
      <c r="B360" s="76" t="s">
        <v>1530</v>
      </c>
      <c r="C360" s="605">
        <f>SE11ricreazione!I63</f>
        <v>516.00716660547903</v>
      </c>
      <c r="D360" s="594" t="s">
        <v>1467</v>
      </c>
    </row>
    <row r="361" spans="1:4" x14ac:dyDescent="0.3">
      <c r="A361" s="592" t="s">
        <v>1520</v>
      </c>
      <c r="B361" s="76" t="s">
        <v>1530</v>
      </c>
      <c r="C361" s="605">
        <f>SE11ricreazione!J63</f>
        <v>516.00716660547903</v>
      </c>
      <c r="D361" s="594" t="s">
        <v>1467</v>
      </c>
    </row>
    <row r="362" spans="1:4" x14ac:dyDescent="0.3">
      <c r="A362" s="592" t="s">
        <v>1053</v>
      </c>
      <c r="B362" s="76" t="s">
        <v>1530</v>
      </c>
      <c r="C362" s="602">
        <f>SE11ricreazione!C65</f>
        <v>1058.5302706189291</v>
      </c>
      <c r="D362" s="594" t="s">
        <v>1465</v>
      </c>
    </row>
    <row r="363" spans="1:4" x14ac:dyDescent="0.3">
      <c r="A363" s="592" t="s">
        <v>1054</v>
      </c>
      <c r="B363" s="76" t="s">
        <v>1530</v>
      </c>
      <c r="C363" s="593">
        <f>SE11ricreazione!D65</f>
        <v>406.13914578341058</v>
      </c>
      <c r="D363" s="594" t="s">
        <v>1465</v>
      </c>
    </row>
    <row r="364" spans="1:4" x14ac:dyDescent="0.3">
      <c r="A364" s="592" t="s">
        <v>1055</v>
      </c>
      <c r="B364" s="76" t="s">
        <v>1530</v>
      </c>
      <c r="C364" s="605">
        <f>SE11ricreazione!E65</f>
        <v>952.4199171192181</v>
      </c>
      <c r="D364" s="594" t="s">
        <v>1465</v>
      </c>
    </row>
    <row r="365" spans="1:4" x14ac:dyDescent="0.3">
      <c r="A365" s="592" t="s">
        <v>1057</v>
      </c>
      <c r="B365" s="76" t="s">
        <v>1530</v>
      </c>
      <c r="C365" s="605">
        <f>SE11ricreazione!F65</f>
        <v>0</v>
      </c>
      <c r="D365" s="594" t="s">
        <v>1465</v>
      </c>
    </row>
    <row r="366" spans="1:4" ht="28.8" x14ac:dyDescent="0.3">
      <c r="A366" s="592" t="s">
        <v>1519</v>
      </c>
      <c r="B366" s="76" t="s">
        <v>1530</v>
      </c>
      <c r="C366" s="605">
        <f>SE11ricreazione!G65</f>
        <v>401.71850773367987</v>
      </c>
      <c r="D366" s="594" t="s">
        <v>1465</v>
      </c>
    </row>
    <row r="367" spans="1:4" x14ac:dyDescent="0.3">
      <c r="A367" s="592" t="s">
        <v>1059</v>
      </c>
      <c r="B367" s="76" t="s">
        <v>1530</v>
      </c>
      <c r="C367" s="605">
        <f>SE11ricreazione!H65</f>
        <v>799.87673689754217</v>
      </c>
      <c r="D367" s="594" t="s">
        <v>1465</v>
      </c>
    </row>
    <row r="368" spans="1:4" x14ac:dyDescent="0.3">
      <c r="A368" s="5" t="s">
        <v>1056</v>
      </c>
      <c r="B368" s="76" t="s">
        <v>1530</v>
      </c>
      <c r="C368" s="605">
        <f>SE11ricreazione!I65</f>
        <v>1070.7148707063691</v>
      </c>
      <c r="D368" s="594" t="s">
        <v>1465</v>
      </c>
    </row>
    <row r="369" spans="1:4" x14ac:dyDescent="0.3">
      <c r="A369" s="592" t="s">
        <v>1520</v>
      </c>
      <c r="B369" s="76" t="s">
        <v>1530</v>
      </c>
      <c r="C369" s="605">
        <f>SE11ricreazione!J65</f>
        <v>1070.7148707063691</v>
      </c>
      <c r="D369" s="594" t="s">
        <v>1465</v>
      </c>
    </row>
    <row r="370" spans="1:4" x14ac:dyDescent="0.3">
      <c r="A370" s="592" t="s">
        <v>1053</v>
      </c>
      <c r="B370" s="76" t="s">
        <v>1530</v>
      </c>
      <c r="C370" s="602">
        <f>SE11ricreazione!C66</f>
        <v>510.13507017779722</v>
      </c>
      <c r="D370" s="594" t="s">
        <v>1466</v>
      </c>
    </row>
    <row r="371" spans="1:4" x14ac:dyDescent="0.3">
      <c r="A371" s="592" t="s">
        <v>1054</v>
      </c>
      <c r="B371" s="76" t="s">
        <v>1530</v>
      </c>
      <c r="C371" s="593">
        <f>SE11ricreazione!D66</f>
        <v>195.72970881128219</v>
      </c>
      <c r="D371" s="594" t="s">
        <v>1466</v>
      </c>
    </row>
    <row r="372" spans="1:4" x14ac:dyDescent="0.3">
      <c r="A372" s="592" t="s">
        <v>1055</v>
      </c>
      <c r="B372" s="76" t="s">
        <v>1530</v>
      </c>
      <c r="C372" s="605">
        <f>SE11ricreazione!E66</f>
        <v>458.99755041890023</v>
      </c>
      <c r="D372" s="594" t="s">
        <v>1466</v>
      </c>
    </row>
    <row r="373" spans="1:4" x14ac:dyDescent="0.3">
      <c r="A373" s="592" t="s">
        <v>1057</v>
      </c>
      <c r="B373" s="76" t="s">
        <v>1530</v>
      </c>
      <c r="C373" s="605">
        <f>SE11ricreazione!F66</f>
        <v>0</v>
      </c>
      <c r="D373" s="594" t="s">
        <v>1466</v>
      </c>
    </row>
    <row r="374" spans="1:4" ht="28.8" x14ac:dyDescent="0.3">
      <c r="A374" s="592" t="s">
        <v>1519</v>
      </c>
      <c r="B374" s="76" t="s">
        <v>1530</v>
      </c>
      <c r="C374" s="605">
        <f>SE11ricreazione!G66</f>
        <v>193.59928083550838</v>
      </c>
      <c r="D374" s="594" t="s">
        <v>1466</v>
      </c>
    </row>
    <row r="375" spans="1:4" x14ac:dyDescent="0.3">
      <c r="A375" s="592" t="s">
        <v>1059</v>
      </c>
      <c r="B375" s="76" t="s">
        <v>1530</v>
      </c>
      <c r="C375" s="605">
        <f>SE11ricreazione!H66</f>
        <v>385.48276476989986</v>
      </c>
      <c r="D375" s="594" t="s">
        <v>1466</v>
      </c>
    </row>
    <row r="376" spans="1:4" x14ac:dyDescent="0.3">
      <c r="A376" s="5" t="s">
        <v>1056</v>
      </c>
      <c r="B376" s="76" t="s">
        <v>1530</v>
      </c>
      <c r="C376" s="605">
        <f>SE11ricreazione!I66</f>
        <v>516.00716660547903</v>
      </c>
      <c r="D376" s="594" t="s">
        <v>1466</v>
      </c>
    </row>
    <row r="377" spans="1:4" x14ac:dyDescent="0.3">
      <c r="A377" s="609" t="s">
        <v>1520</v>
      </c>
      <c r="B377" s="616" t="s">
        <v>1530</v>
      </c>
      <c r="C377" s="812">
        <f>SE11ricreazione!J66</f>
        <v>516.00716660547903</v>
      </c>
      <c r="D377" s="610" t="s">
        <v>1466</v>
      </c>
    </row>
    <row r="378" spans="1:4" x14ac:dyDescent="0.3">
      <c r="A378" s="592" t="s">
        <v>1053</v>
      </c>
      <c r="B378" s="616" t="s">
        <v>1530</v>
      </c>
      <c r="C378" s="487">
        <f>SE11ricreazione!C$72</f>
        <v>535.64182368668708</v>
      </c>
      <c r="D378" s="594" t="s">
        <v>1584</v>
      </c>
    </row>
    <row r="379" spans="1:4" x14ac:dyDescent="0.3">
      <c r="A379" s="592" t="s">
        <v>1054</v>
      </c>
      <c r="B379" s="616" t="s">
        <v>1530</v>
      </c>
      <c r="C379" s="487">
        <f>SE11ricreazione!D$72</f>
        <v>205.51619425184631</v>
      </c>
      <c r="D379" s="594" t="s">
        <v>1584</v>
      </c>
    </row>
    <row r="380" spans="1:4" x14ac:dyDescent="0.3">
      <c r="A380" s="592" t="s">
        <v>1055</v>
      </c>
      <c r="B380" s="616" t="s">
        <v>1530</v>
      </c>
      <c r="C380" s="487">
        <f>SE11ricreazione!E$72</f>
        <v>481.94742793984528</v>
      </c>
      <c r="D380" s="594" t="s">
        <v>1584</v>
      </c>
    </row>
    <row r="381" spans="1:4" x14ac:dyDescent="0.3">
      <c r="A381" s="592" t="s">
        <v>1057</v>
      </c>
      <c r="B381" s="616" t="s">
        <v>1530</v>
      </c>
      <c r="C381" s="487">
        <f>SE11ricreazione!F$72</f>
        <v>0</v>
      </c>
      <c r="D381" s="594" t="s">
        <v>1584</v>
      </c>
    </row>
    <row r="382" spans="1:4" ht="28.8" x14ac:dyDescent="0.3">
      <c r="A382" s="592" t="s">
        <v>1519</v>
      </c>
      <c r="B382" s="616" t="s">
        <v>1530</v>
      </c>
      <c r="C382" s="487">
        <f>SE11ricreazione!G$72</f>
        <v>203.27924487728379</v>
      </c>
      <c r="D382" s="594" t="s">
        <v>1584</v>
      </c>
    </row>
    <row r="383" spans="1:4" x14ac:dyDescent="0.3">
      <c r="A383" s="592" t="s">
        <v>1059</v>
      </c>
      <c r="B383" s="616" t="s">
        <v>1530</v>
      </c>
      <c r="C383" s="487">
        <f>SE11ricreazione!H$72</f>
        <v>404.75690300839489</v>
      </c>
      <c r="D383" s="594" t="s">
        <v>1584</v>
      </c>
    </row>
    <row r="384" spans="1:4" x14ac:dyDescent="0.3">
      <c r="A384" s="5" t="s">
        <v>1056</v>
      </c>
      <c r="B384" s="616" t="s">
        <v>1530</v>
      </c>
      <c r="C384" s="487">
        <f>SE11ricreazione!I$72</f>
        <v>541.80752493575289</v>
      </c>
      <c r="D384" s="594" t="s">
        <v>1584</v>
      </c>
    </row>
    <row r="385" spans="1:7" ht="15" thickBot="1" x14ac:dyDescent="0.35">
      <c r="A385" s="596" t="s">
        <v>1520</v>
      </c>
      <c r="B385" s="618" t="s">
        <v>1530</v>
      </c>
      <c r="C385" s="762">
        <f>SE11ricreazione!J$72</f>
        <v>541.80752493575289</v>
      </c>
      <c r="D385" s="598" t="s">
        <v>1584</v>
      </c>
    </row>
    <row r="386" spans="1:7" x14ac:dyDescent="0.3">
      <c r="A386" s="607" t="s">
        <v>1053</v>
      </c>
      <c r="B386" s="760" t="s">
        <v>1533</v>
      </c>
      <c r="C386" s="602">
        <f>'SE7qualità aria'!E67</f>
        <v>367.49536535845533</v>
      </c>
      <c r="D386" s="608" t="s">
        <v>498</v>
      </c>
      <c r="F386" t="s">
        <v>2158</v>
      </c>
    </row>
    <row r="387" spans="1:7" x14ac:dyDescent="0.3">
      <c r="A387" s="592" t="s">
        <v>1054</v>
      </c>
      <c r="B387" s="76" t="s">
        <v>1533</v>
      </c>
      <c r="C387" s="593">
        <v>0</v>
      </c>
      <c r="D387" s="594" t="s">
        <v>498</v>
      </c>
      <c r="F387" t="s">
        <v>2159</v>
      </c>
    </row>
    <row r="388" spans="1:7" x14ac:dyDescent="0.3">
      <c r="A388" s="592" t="s">
        <v>1055</v>
      </c>
      <c r="B388" s="76" t="s">
        <v>1533</v>
      </c>
      <c r="C388" s="593">
        <v>0</v>
      </c>
      <c r="D388" s="594" t="s">
        <v>498</v>
      </c>
      <c r="F388" s="55"/>
      <c r="G388" s="55"/>
    </row>
    <row r="389" spans="1:7" x14ac:dyDescent="0.3">
      <c r="A389" s="592" t="s">
        <v>1057</v>
      </c>
      <c r="B389" s="76" t="s">
        <v>1533</v>
      </c>
      <c r="C389" s="593">
        <v>0</v>
      </c>
      <c r="D389" s="594" t="s">
        <v>498</v>
      </c>
    </row>
    <row r="390" spans="1:7" ht="28.8" x14ac:dyDescent="0.3">
      <c r="A390" s="592" t="s">
        <v>1519</v>
      </c>
      <c r="B390" s="76" t="s">
        <v>1533</v>
      </c>
      <c r="C390" s="593">
        <v>0</v>
      </c>
      <c r="D390" s="594" t="s">
        <v>498</v>
      </c>
    </row>
    <row r="391" spans="1:7" x14ac:dyDescent="0.3">
      <c r="A391" s="592" t="s">
        <v>1059</v>
      </c>
      <c r="B391" s="76" t="s">
        <v>1533</v>
      </c>
      <c r="C391" s="602">
        <f>'SE7qualità aria'!E67</f>
        <v>367.49536535845533</v>
      </c>
      <c r="D391" s="594" t="s">
        <v>498</v>
      </c>
    </row>
    <row r="392" spans="1:7" x14ac:dyDescent="0.3">
      <c r="A392" s="5" t="s">
        <v>1056</v>
      </c>
      <c r="B392" s="76" t="s">
        <v>1533</v>
      </c>
      <c r="C392" s="593">
        <v>0</v>
      </c>
      <c r="D392" s="594" t="s">
        <v>498</v>
      </c>
    </row>
    <row r="393" spans="1:7" x14ac:dyDescent="0.3">
      <c r="A393" s="592" t="s">
        <v>1520</v>
      </c>
      <c r="B393" s="76" t="s">
        <v>1533</v>
      </c>
      <c r="C393" s="593">
        <v>0</v>
      </c>
      <c r="D393" s="594" t="s">
        <v>498</v>
      </c>
    </row>
    <row r="394" spans="1:7" x14ac:dyDescent="0.3">
      <c r="A394" s="592" t="s">
        <v>1053</v>
      </c>
      <c r="B394" s="76" t="s">
        <v>1533</v>
      </c>
      <c r="C394" s="602">
        <f>'SE7qualità aria'!E58</f>
        <v>287.51441034876296</v>
      </c>
      <c r="D394" s="594" t="s">
        <v>1459</v>
      </c>
    </row>
    <row r="395" spans="1:7" x14ac:dyDescent="0.3">
      <c r="A395" s="592" t="s">
        <v>1054</v>
      </c>
      <c r="B395" s="76" t="s">
        <v>1533</v>
      </c>
      <c r="C395" s="593">
        <v>0</v>
      </c>
      <c r="D395" s="594" t="s">
        <v>1459</v>
      </c>
    </row>
    <row r="396" spans="1:7" x14ac:dyDescent="0.3">
      <c r="A396" s="592" t="s">
        <v>1055</v>
      </c>
      <c r="B396" s="76" t="s">
        <v>1533</v>
      </c>
      <c r="C396" s="593">
        <v>0</v>
      </c>
      <c r="D396" s="594" t="s">
        <v>1459</v>
      </c>
    </row>
    <row r="397" spans="1:7" x14ac:dyDescent="0.3">
      <c r="A397" s="592" t="s">
        <v>1057</v>
      </c>
      <c r="B397" s="76" t="s">
        <v>1533</v>
      </c>
      <c r="C397" s="593">
        <v>0</v>
      </c>
      <c r="D397" s="594" t="s">
        <v>1459</v>
      </c>
    </row>
    <row r="398" spans="1:7" ht="28.8" x14ac:dyDescent="0.3">
      <c r="A398" s="592" t="s">
        <v>1519</v>
      </c>
      <c r="B398" s="76" t="s">
        <v>1533</v>
      </c>
      <c r="C398" s="593">
        <v>0</v>
      </c>
      <c r="D398" s="594" t="s">
        <v>1459</v>
      </c>
    </row>
    <row r="399" spans="1:7" x14ac:dyDescent="0.3">
      <c r="A399" s="592" t="s">
        <v>1059</v>
      </c>
      <c r="B399" s="76" t="s">
        <v>1533</v>
      </c>
      <c r="C399" s="602">
        <f>'SE7qualità aria'!E58</f>
        <v>287.51441034876296</v>
      </c>
      <c r="D399" s="594" t="s">
        <v>1459</v>
      </c>
    </row>
    <row r="400" spans="1:7" x14ac:dyDescent="0.3">
      <c r="A400" s="5" t="s">
        <v>1056</v>
      </c>
      <c r="B400" s="76" t="s">
        <v>1533</v>
      </c>
      <c r="C400" s="593">
        <v>0</v>
      </c>
      <c r="D400" s="594" t="s">
        <v>1459</v>
      </c>
    </row>
    <row r="401" spans="1:4" x14ac:dyDescent="0.3">
      <c r="A401" s="592" t="s">
        <v>1520</v>
      </c>
      <c r="B401" s="76" t="s">
        <v>1533</v>
      </c>
      <c r="C401" s="593">
        <v>0</v>
      </c>
      <c r="D401" s="594" t="s">
        <v>1459</v>
      </c>
    </row>
    <row r="402" spans="1:4" x14ac:dyDescent="0.3">
      <c r="A402" s="592" t="s">
        <v>1053</v>
      </c>
      <c r="B402" s="76" t="s">
        <v>1533</v>
      </c>
      <c r="C402" s="487">
        <f>'SE7qualità aria'!E63</f>
        <v>306.49507308731177</v>
      </c>
      <c r="D402" s="594" t="s">
        <v>1464</v>
      </c>
    </row>
    <row r="403" spans="1:4" x14ac:dyDescent="0.3">
      <c r="A403" s="592" t="s">
        <v>1054</v>
      </c>
      <c r="B403" s="76" t="s">
        <v>1533</v>
      </c>
      <c r="C403" s="593">
        <v>0</v>
      </c>
      <c r="D403" s="594" t="s">
        <v>1464</v>
      </c>
    </row>
    <row r="404" spans="1:4" x14ac:dyDescent="0.3">
      <c r="A404" s="592" t="s">
        <v>1055</v>
      </c>
      <c r="B404" s="76" t="s">
        <v>1533</v>
      </c>
      <c r="C404" s="593">
        <v>0</v>
      </c>
      <c r="D404" s="594" t="s">
        <v>1464</v>
      </c>
    </row>
    <row r="405" spans="1:4" x14ac:dyDescent="0.3">
      <c r="A405" s="592" t="s">
        <v>1057</v>
      </c>
      <c r="B405" s="76" t="s">
        <v>1533</v>
      </c>
      <c r="C405" s="593">
        <v>0</v>
      </c>
      <c r="D405" s="594" t="s">
        <v>1464</v>
      </c>
    </row>
    <row r="406" spans="1:4" ht="28.8" x14ac:dyDescent="0.3">
      <c r="A406" s="592" t="s">
        <v>1519</v>
      </c>
      <c r="B406" s="76" t="s">
        <v>1533</v>
      </c>
      <c r="C406" s="593">
        <v>0</v>
      </c>
      <c r="D406" s="594" t="s">
        <v>1464</v>
      </c>
    </row>
    <row r="407" spans="1:4" x14ac:dyDescent="0.3">
      <c r="A407" s="592" t="s">
        <v>1059</v>
      </c>
      <c r="B407" s="76" t="s">
        <v>1533</v>
      </c>
      <c r="C407" s="487">
        <f>'SE7qualità aria'!E63</f>
        <v>306.49507308731177</v>
      </c>
      <c r="D407" s="594" t="s">
        <v>1464</v>
      </c>
    </row>
    <row r="408" spans="1:4" x14ac:dyDescent="0.3">
      <c r="A408" s="5" t="s">
        <v>1056</v>
      </c>
      <c r="B408" s="76" t="s">
        <v>1533</v>
      </c>
      <c r="C408" s="593">
        <v>0</v>
      </c>
      <c r="D408" s="594" t="s">
        <v>1464</v>
      </c>
    </row>
    <row r="409" spans="1:4" x14ac:dyDescent="0.3">
      <c r="A409" s="592" t="s">
        <v>1520</v>
      </c>
      <c r="B409" s="76" t="s">
        <v>1533</v>
      </c>
      <c r="C409" s="593">
        <v>0</v>
      </c>
      <c r="D409" s="594" t="s">
        <v>1464</v>
      </c>
    </row>
    <row r="410" spans="1:4" x14ac:dyDescent="0.3">
      <c r="A410" s="592" t="s">
        <v>1053</v>
      </c>
      <c r="B410" s="76" t="s">
        <v>1533</v>
      </c>
      <c r="C410" s="487">
        <f>'SE7qualità aria'!E64</f>
        <v>364.27190370882334</v>
      </c>
      <c r="D410" s="594" t="s">
        <v>1463</v>
      </c>
    </row>
    <row r="411" spans="1:4" x14ac:dyDescent="0.3">
      <c r="A411" s="592" t="s">
        <v>1054</v>
      </c>
      <c r="B411" s="76" t="s">
        <v>1533</v>
      </c>
      <c r="C411" s="593">
        <v>0</v>
      </c>
      <c r="D411" s="594" t="s">
        <v>1463</v>
      </c>
    </row>
    <row r="412" spans="1:4" x14ac:dyDescent="0.3">
      <c r="A412" s="592" t="s">
        <v>1055</v>
      </c>
      <c r="B412" s="76" t="s">
        <v>1533</v>
      </c>
      <c r="C412" s="593">
        <v>0</v>
      </c>
      <c r="D412" s="594" t="s">
        <v>1463</v>
      </c>
    </row>
    <row r="413" spans="1:4" x14ac:dyDescent="0.3">
      <c r="A413" s="592" t="s">
        <v>1057</v>
      </c>
      <c r="B413" s="76" t="s">
        <v>1533</v>
      </c>
      <c r="C413" s="593">
        <v>0</v>
      </c>
      <c r="D413" s="594" t="s">
        <v>1463</v>
      </c>
    </row>
    <row r="414" spans="1:4" ht="28.8" x14ac:dyDescent="0.3">
      <c r="A414" s="592" t="s">
        <v>1519</v>
      </c>
      <c r="B414" s="76" t="s">
        <v>1533</v>
      </c>
      <c r="C414" s="593">
        <v>0</v>
      </c>
      <c r="D414" s="594" t="s">
        <v>1463</v>
      </c>
    </row>
    <row r="415" spans="1:4" x14ac:dyDescent="0.3">
      <c r="A415" s="592" t="s">
        <v>1059</v>
      </c>
      <c r="B415" s="76" t="s">
        <v>1533</v>
      </c>
      <c r="C415" s="487">
        <f>'SE7qualità aria'!E64</f>
        <v>364.27190370882334</v>
      </c>
      <c r="D415" s="594" t="s">
        <v>1463</v>
      </c>
    </row>
    <row r="416" spans="1:4" x14ac:dyDescent="0.3">
      <c r="A416" s="5" t="s">
        <v>1056</v>
      </c>
      <c r="B416" s="76" t="s">
        <v>1533</v>
      </c>
      <c r="C416" s="593">
        <v>0</v>
      </c>
      <c r="D416" s="594" t="s">
        <v>1463</v>
      </c>
    </row>
    <row r="417" spans="1:4" x14ac:dyDescent="0.3">
      <c r="A417" s="592" t="s">
        <v>1520</v>
      </c>
      <c r="B417" s="76" t="s">
        <v>1533</v>
      </c>
      <c r="C417" s="593">
        <v>0</v>
      </c>
      <c r="D417" s="594" t="s">
        <v>1463</v>
      </c>
    </row>
    <row r="418" spans="1:4" x14ac:dyDescent="0.3">
      <c r="A418" s="592" t="s">
        <v>1053</v>
      </c>
      <c r="B418" s="76" t="s">
        <v>1533</v>
      </c>
      <c r="C418" s="487">
        <f>'SE7qualità aria'!E68</f>
        <v>382.40295859020046</v>
      </c>
      <c r="D418" s="594" t="s">
        <v>1468</v>
      </c>
    </row>
    <row r="419" spans="1:4" x14ac:dyDescent="0.3">
      <c r="A419" s="592" t="s">
        <v>1054</v>
      </c>
      <c r="B419" s="76" t="s">
        <v>1533</v>
      </c>
      <c r="C419" s="593">
        <v>0</v>
      </c>
      <c r="D419" s="594" t="s">
        <v>1468</v>
      </c>
    </row>
    <row r="420" spans="1:4" x14ac:dyDescent="0.3">
      <c r="A420" s="592" t="s">
        <v>1055</v>
      </c>
      <c r="B420" s="76" t="s">
        <v>1533</v>
      </c>
      <c r="C420" s="593">
        <v>0</v>
      </c>
      <c r="D420" s="594" t="s">
        <v>1468</v>
      </c>
    </row>
    <row r="421" spans="1:4" x14ac:dyDescent="0.3">
      <c r="A421" s="592" t="s">
        <v>1057</v>
      </c>
      <c r="B421" s="76" t="s">
        <v>1533</v>
      </c>
      <c r="C421" s="593">
        <v>0</v>
      </c>
      <c r="D421" s="594" t="s">
        <v>1468</v>
      </c>
    </row>
    <row r="422" spans="1:4" ht="28.8" x14ac:dyDescent="0.3">
      <c r="A422" s="592" t="s">
        <v>1519</v>
      </c>
      <c r="B422" s="76" t="s">
        <v>1533</v>
      </c>
      <c r="C422" s="593">
        <v>0</v>
      </c>
      <c r="D422" s="594" t="s">
        <v>1468</v>
      </c>
    </row>
    <row r="423" spans="1:4" x14ac:dyDescent="0.3">
      <c r="A423" s="592" t="s">
        <v>1059</v>
      </c>
      <c r="B423" s="76" t="s">
        <v>1533</v>
      </c>
      <c r="C423" s="487">
        <f>'SE7qualità aria'!E68</f>
        <v>382.40295859020046</v>
      </c>
      <c r="D423" s="594" t="s">
        <v>1468</v>
      </c>
    </row>
    <row r="424" spans="1:4" x14ac:dyDescent="0.3">
      <c r="A424" s="5" t="s">
        <v>1056</v>
      </c>
      <c r="B424" s="76" t="s">
        <v>1533</v>
      </c>
      <c r="C424" s="593">
        <v>0</v>
      </c>
      <c r="D424" s="594" t="s">
        <v>1468</v>
      </c>
    </row>
    <row r="425" spans="1:4" x14ac:dyDescent="0.3">
      <c r="A425" s="592" t="s">
        <v>1520</v>
      </c>
      <c r="B425" s="76" t="s">
        <v>1533</v>
      </c>
      <c r="C425" s="593">
        <v>0</v>
      </c>
      <c r="D425" s="594" t="s">
        <v>1468</v>
      </c>
    </row>
    <row r="426" spans="1:4" x14ac:dyDescent="0.3">
      <c r="A426" s="592" t="s">
        <v>1053</v>
      </c>
      <c r="B426" s="76" t="s">
        <v>1533</v>
      </c>
      <c r="C426" s="487">
        <f>'SE7qualità aria'!E66</f>
        <v>379.50954736418117</v>
      </c>
      <c r="D426" s="594" t="s">
        <v>1469</v>
      </c>
    </row>
    <row r="427" spans="1:4" x14ac:dyDescent="0.3">
      <c r="A427" s="592" t="s">
        <v>1054</v>
      </c>
      <c r="B427" s="76" t="s">
        <v>1533</v>
      </c>
      <c r="C427" s="593">
        <v>0</v>
      </c>
      <c r="D427" s="594" t="s">
        <v>1469</v>
      </c>
    </row>
    <row r="428" spans="1:4" x14ac:dyDescent="0.3">
      <c r="A428" s="592" t="s">
        <v>1055</v>
      </c>
      <c r="B428" s="76" t="s">
        <v>1533</v>
      </c>
      <c r="C428" s="593">
        <v>0</v>
      </c>
      <c r="D428" s="594" t="s">
        <v>1469</v>
      </c>
    </row>
    <row r="429" spans="1:4" x14ac:dyDescent="0.3">
      <c r="A429" s="592" t="s">
        <v>1057</v>
      </c>
      <c r="B429" s="76" t="s">
        <v>1533</v>
      </c>
      <c r="C429" s="593">
        <v>0</v>
      </c>
      <c r="D429" s="594" t="s">
        <v>1469</v>
      </c>
    </row>
    <row r="430" spans="1:4" ht="28.8" x14ac:dyDescent="0.3">
      <c r="A430" s="592" t="s">
        <v>1519</v>
      </c>
      <c r="B430" s="76" t="s">
        <v>1533</v>
      </c>
      <c r="C430" s="593">
        <v>0</v>
      </c>
      <c r="D430" s="594" t="s">
        <v>1469</v>
      </c>
    </row>
    <row r="431" spans="1:4" x14ac:dyDescent="0.3">
      <c r="A431" s="592" t="s">
        <v>1059</v>
      </c>
      <c r="B431" s="76" t="s">
        <v>1533</v>
      </c>
      <c r="C431" s="487">
        <f>'SE7qualità aria'!E66</f>
        <v>379.50954736418117</v>
      </c>
      <c r="D431" s="594" t="s">
        <v>1469</v>
      </c>
    </row>
    <row r="432" spans="1:4" x14ac:dyDescent="0.3">
      <c r="A432" s="5" t="s">
        <v>1056</v>
      </c>
      <c r="B432" s="76" t="s">
        <v>1533</v>
      </c>
      <c r="C432" s="593">
        <v>0</v>
      </c>
      <c r="D432" s="594" t="s">
        <v>1469</v>
      </c>
    </row>
    <row r="433" spans="1:4" x14ac:dyDescent="0.3">
      <c r="A433" s="592" t="s">
        <v>1520</v>
      </c>
      <c r="B433" s="76" t="s">
        <v>1533</v>
      </c>
      <c r="C433" s="593">
        <v>0</v>
      </c>
      <c r="D433" s="594" t="s">
        <v>1469</v>
      </c>
    </row>
    <row r="434" spans="1:4" x14ac:dyDescent="0.3">
      <c r="A434" s="592" t="s">
        <v>1053</v>
      </c>
      <c r="B434" s="76" t="s">
        <v>1533</v>
      </c>
      <c r="C434" s="487">
        <f>'SE7qualità aria'!E52</f>
        <v>238.24319049270338</v>
      </c>
      <c r="D434" s="594" t="s">
        <v>1460</v>
      </c>
    </row>
    <row r="435" spans="1:4" x14ac:dyDescent="0.3">
      <c r="A435" s="592" t="s">
        <v>1054</v>
      </c>
      <c r="B435" s="76" t="s">
        <v>1533</v>
      </c>
      <c r="C435" s="593">
        <v>0</v>
      </c>
      <c r="D435" s="594" t="s">
        <v>1460</v>
      </c>
    </row>
    <row r="436" spans="1:4" x14ac:dyDescent="0.3">
      <c r="A436" s="592" t="s">
        <v>1055</v>
      </c>
      <c r="B436" s="76" t="s">
        <v>1533</v>
      </c>
      <c r="C436" s="593">
        <v>0</v>
      </c>
      <c r="D436" s="594" t="s">
        <v>1460</v>
      </c>
    </row>
    <row r="437" spans="1:4" x14ac:dyDescent="0.3">
      <c r="A437" s="592" t="s">
        <v>1057</v>
      </c>
      <c r="B437" s="76" t="s">
        <v>1533</v>
      </c>
      <c r="C437" s="593">
        <v>0</v>
      </c>
      <c r="D437" s="594" t="s">
        <v>1460</v>
      </c>
    </row>
    <row r="438" spans="1:4" ht="28.8" x14ac:dyDescent="0.3">
      <c r="A438" s="592" t="s">
        <v>1519</v>
      </c>
      <c r="B438" s="76" t="s">
        <v>1533</v>
      </c>
      <c r="C438" s="593">
        <v>0</v>
      </c>
      <c r="D438" s="594" t="s">
        <v>1460</v>
      </c>
    </row>
    <row r="439" spans="1:4" x14ac:dyDescent="0.3">
      <c r="A439" s="592" t="s">
        <v>1059</v>
      </c>
      <c r="B439" s="76" t="s">
        <v>1533</v>
      </c>
      <c r="C439" s="487">
        <f>'SE7qualità aria'!E52</f>
        <v>238.24319049270338</v>
      </c>
      <c r="D439" s="594" t="s">
        <v>1460</v>
      </c>
    </row>
    <row r="440" spans="1:4" x14ac:dyDescent="0.3">
      <c r="A440" s="5" t="s">
        <v>1056</v>
      </c>
      <c r="B440" s="76" t="s">
        <v>1533</v>
      </c>
      <c r="C440" s="593">
        <v>0</v>
      </c>
      <c r="D440" s="594" t="s">
        <v>1460</v>
      </c>
    </row>
    <row r="441" spans="1:4" x14ac:dyDescent="0.3">
      <c r="A441" s="592" t="s">
        <v>1520</v>
      </c>
      <c r="B441" s="76" t="s">
        <v>1533</v>
      </c>
      <c r="C441" s="593">
        <v>0</v>
      </c>
      <c r="D441" s="594" t="s">
        <v>1460</v>
      </c>
    </row>
    <row r="442" spans="1:4" x14ac:dyDescent="0.3">
      <c r="A442" s="592" t="s">
        <v>1053</v>
      </c>
      <c r="B442" s="76" t="s">
        <v>1533</v>
      </c>
      <c r="C442" s="487">
        <f>'SE7qualità aria'!E55</f>
        <v>250.16130977414977</v>
      </c>
      <c r="D442" s="594" t="s">
        <v>1461</v>
      </c>
    </row>
    <row r="443" spans="1:4" x14ac:dyDescent="0.3">
      <c r="A443" s="592" t="s">
        <v>1054</v>
      </c>
      <c r="B443" s="76" t="s">
        <v>1533</v>
      </c>
      <c r="C443" s="593">
        <v>0</v>
      </c>
      <c r="D443" s="594" t="s">
        <v>1461</v>
      </c>
    </row>
    <row r="444" spans="1:4" x14ac:dyDescent="0.3">
      <c r="A444" s="592" t="s">
        <v>1055</v>
      </c>
      <c r="B444" s="76" t="s">
        <v>1533</v>
      </c>
      <c r="C444" s="593">
        <v>0</v>
      </c>
      <c r="D444" s="594" t="s">
        <v>1461</v>
      </c>
    </row>
    <row r="445" spans="1:4" x14ac:dyDescent="0.3">
      <c r="A445" s="592" t="s">
        <v>1057</v>
      </c>
      <c r="B445" s="76" t="s">
        <v>1533</v>
      </c>
      <c r="C445" s="593">
        <v>0</v>
      </c>
      <c r="D445" s="594" t="s">
        <v>1461</v>
      </c>
    </row>
    <row r="446" spans="1:4" ht="28.8" x14ac:dyDescent="0.3">
      <c r="A446" s="592" t="s">
        <v>1519</v>
      </c>
      <c r="B446" s="76" t="s">
        <v>1533</v>
      </c>
      <c r="C446" s="593">
        <v>0</v>
      </c>
      <c r="D446" s="594" t="s">
        <v>1461</v>
      </c>
    </row>
    <row r="447" spans="1:4" x14ac:dyDescent="0.3">
      <c r="A447" s="592" t="s">
        <v>1059</v>
      </c>
      <c r="B447" s="76" t="s">
        <v>1533</v>
      </c>
      <c r="C447" s="487">
        <f>'SE7qualità aria'!E55</f>
        <v>250.16130977414977</v>
      </c>
      <c r="D447" s="594" t="s">
        <v>1461</v>
      </c>
    </row>
    <row r="448" spans="1:4" x14ac:dyDescent="0.3">
      <c r="A448" s="5" t="s">
        <v>1056</v>
      </c>
      <c r="B448" s="76" t="s">
        <v>1533</v>
      </c>
      <c r="C448" s="593">
        <v>0</v>
      </c>
      <c r="D448" s="594" t="s">
        <v>1461</v>
      </c>
    </row>
    <row r="449" spans="1:4" x14ac:dyDescent="0.3">
      <c r="A449" s="592" t="s">
        <v>1520</v>
      </c>
      <c r="B449" s="76" t="s">
        <v>1533</v>
      </c>
      <c r="C449" s="593">
        <v>0</v>
      </c>
      <c r="D449" s="594" t="s">
        <v>1461</v>
      </c>
    </row>
    <row r="450" spans="1:4" x14ac:dyDescent="0.3">
      <c r="A450" s="592" t="s">
        <v>1053</v>
      </c>
      <c r="B450" s="76" t="s">
        <v>1533</v>
      </c>
      <c r="C450" s="487">
        <f>'SE7qualità aria'!E61</f>
        <v>208.10197027666305</v>
      </c>
      <c r="D450" s="594" t="s">
        <v>1467</v>
      </c>
    </row>
    <row r="451" spans="1:4" x14ac:dyDescent="0.3">
      <c r="A451" s="592" t="s">
        <v>1054</v>
      </c>
      <c r="B451" s="76" t="s">
        <v>1533</v>
      </c>
      <c r="C451" s="593">
        <v>0</v>
      </c>
      <c r="D451" s="594" t="s">
        <v>1467</v>
      </c>
    </row>
    <row r="452" spans="1:4" x14ac:dyDescent="0.3">
      <c r="A452" s="592" t="s">
        <v>1055</v>
      </c>
      <c r="B452" s="76" t="s">
        <v>1533</v>
      </c>
      <c r="C452" s="593">
        <v>0</v>
      </c>
      <c r="D452" s="594" t="s">
        <v>1467</v>
      </c>
    </row>
    <row r="453" spans="1:4" x14ac:dyDescent="0.3">
      <c r="A453" s="592" t="s">
        <v>1057</v>
      </c>
      <c r="B453" s="76" t="s">
        <v>1533</v>
      </c>
      <c r="C453" s="593">
        <v>0</v>
      </c>
      <c r="D453" s="594" t="s">
        <v>1467</v>
      </c>
    </row>
    <row r="454" spans="1:4" ht="28.8" x14ac:dyDescent="0.3">
      <c r="A454" s="592" t="s">
        <v>1519</v>
      </c>
      <c r="B454" s="76" t="s">
        <v>1533</v>
      </c>
      <c r="C454" s="593">
        <v>0</v>
      </c>
      <c r="D454" s="594" t="s">
        <v>1467</v>
      </c>
    </row>
    <row r="455" spans="1:4" x14ac:dyDescent="0.3">
      <c r="A455" s="592" t="s">
        <v>1059</v>
      </c>
      <c r="B455" s="76" t="s">
        <v>1533</v>
      </c>
      <c r="C455" s="487">
        <f>'SE7qualità aria'!E61</f>
        <v>208.10197027666305</v>
      </c>
      <c r="D455" s="594" t="s">
        <v>1467</v>
      </c>
    </row>
    <row r="456" spans="1:4" x14ac:dyDescent="0.3">
      <c r="A456" s="5" t="s">
        <v>1056</v>
      </c>
      <c r="B456" s="76" t="s">
        <v>1533</v>
      </c>
      <c r="C456" s="593">
        <v>0</v>
      </c>
      <c r="D456" s="594" t="s">
        <v>1467</v>
      </c>
    </row>
    <row r="457" spans="1:4" x14ac:dyDescent="0.3">
      <c r="A457" s="592" t="s">
        <v>1520</v>
      </c>
      <c r="B457" s="76" t="s">
        <v>1533</v>
      </c>
      <c r="C457" s="593">
        <v>0</v>
      </c>
      <c r="D457" s="594" t="s">
        <v>1467</v>
      </c>
    </row>
    <row r="458" spans="1:4" x14ac:dyDescent="0.3">
      <c r="A458" s="592" t="s">
        <v>1053</v>
      </c>
      <c r="B458" s="76" t="s">
        <v>1533</v>
      </c>
      <c r="C458" s="487">
        <f>'SE7qualità aria'!E62</f>
        <v>317.98114434927601</v>
      </c>
      <c r="D458" s="594" t="s">
        <v>1465</v>
      </c>
    </row>
    <row r="459" spans="1:4" x14ac:dyDescent="0.3">
      <c r="A459" s="592" t="s">
        <v>1054</v>
      </c>
      <c r="B459" s="76" t="s">
        <v>1533</v>
      </c>
      <c r="C459" s="593">
        <v>0</v>
      </c>
      <c r="D459" s="594" t="s">
        <v>1465</v>
      </c>
    </row>
    <row r="460" spans="1:4" x14ac:dyDescent="0.3">
      <c r="A460" s="592" t="s">
        <v>1055</v>
      </c>
      <c r="B460" s="76" t="s">
        <v>1533</v>
      </c>
      <c r="C460" s="593">
        <v>0</v>
      </c>
      <c r="D460" s="594" t="s">
        <v>1465</v>
      </c>
    </row>
    <row r="461" spans="1:4" x14ac:dyDescent="0.3">
      <c r="A461" s="592" t="s">
        <v>1057</v>
      </c>
      <c r="B461" s="76" t="s">
        <v>1533</v>
      </c>
      <c r="C461" s="593">
        <v>0</v>
      </c>
      <c r="D461" s="594" t="s">
        <v>1465</v>
      </c>
    </row>
    <row r="462" spans="1:4" ht="28.8" x14ac:dyDescent="0.3">
      <c r="A462" s="592" t="s">
        <v>1519</v>
      </c>
      <c r="B462" s="76" t="s">
        <v>1533</v>
      </c>
      <c r="C462" s="593">
        <v>0</v>
      </c>
      <c r="D462" s="594" t="s">
        <v>1465</v>
      </c>
    </row>
    <row r="463" spans="1:4" x14ac:dyDescent="0.3">
      <c r="A463" s="592" t="s">
        <v>1059</v>
      </c>
      <c r="B463" s="76" t="s">
        <v>1533</v>
      </c>
      <c r="C463" s="487">
        <f>'SE7qualità aria'!E62</f>
        <v>317.98114434927601</v>
      </c>
      <c r="D463" s="594" t="s">
        <v>1465</v>
      </c>
    </row>
    <row r="464" spans="1:4" x14ac:dyDescent="0.3">
      <c r="A464" s="5" t="s">
        <v>1056</v>
      </c>
      <c r="B464" s="76" t="s">
        <v>1533</v>
      </c>
      <c r="C464" s="593">
        <v>0</v>
      </c>
      <c r="D464" s="594" t="s">
        <v>1465</v>
      </c>
    </row>
    <row r="465" spans="1:4" x14ac:dyDescent="0.3">
      <c r="A465" s="592" t="s">
        <v>1520</v>
      </c>
      <c r="B465" s="76" t="s">
        <v>1533</v>
      </c>
      <c r="C465" s="593">
        <v>0</v>
      </c>
      <c r="D465" s="594" t="s">
        <v>1465</v>
      </c>
    </row>
    <row r="466" spans="1:4" x14ac:dyDescent="0.3">
      <c r="A466" s="592" t="s">
        <v>1053</v>
      </c>
      <c r="B466" s="76" t="s">
        <v>1533</v>
      </c>
      <c r="C466" s="487">
        <f>'SE7qualità aria'!E59</f>
        <v>373.35130176213522</v>
      </c>
      <c r="D466" s="594" t="s">
        <v>1466</v>
      </c>
    </row>
    <row r="467" spans="1:4" x14ac:dyDescent="0.3">
      <c r="A467" s="592" t="s">
        <v>1054</v>
      </c>
      <c r="B467" s="76" t="s">
        <v>1533</v>
      </c>
      <c r="C467" s="593">
        <v>0</v>
      </c>
      <c r="D467" s="594" t="s">
        <v>1466</v>
      </c>
    </row>
    <row r="468" spans="1:4" x14ac:dyDescent="0.3">
      <c r="A468" s="592" t="s">
        <v>1055</v>
      </c>
      <c r="B468" s="76" t="s">
        <v>1533</v>
      </c>
      <c r="C468" s="593">
        <v>0</v>
      </c>
      <c r="D468" s="594" t="s">
        <v>1466</v>
      </c>
    </row>
    <row r="469" spans="1:4" x14ac:dyDescent="0.3">
      <c r="A469" s="592" t="s">
        <v>1057</v>
      </c>
      <c r="B469" s="76" t="s">
        <v>1533</v>
      </c>
      <c r="C469" s="593">
        <v>0</v>
      </c>
      <c r="D469" s="594" t="s">
        <v>1466</v>
      </c>
    </row>
    <row r="470" spans="1:4" ht="28.8" x14ac:dyDescent="0.3">
      <c r="A470" s="592" t="s">
        <v>1519</v>
      </c>
      <c r="B470" s="76" t="s">
        <v>1533</v>
      </c>
      <c r="C470" s="593">
        <v>0</v>
      </c>
      <c r="D470" s="594" t="s">
        <v>1466</v>
      </c>
    </row>
    <row r="471" spans="1:4" x14ac:dyDescent="0.3">
      <c r="A471" s="592" t="s">
        <v>1059</v>
      </c>
      <c r="B471" s="76" t="s">
        <v>1533</v>
      </c>
      <c r="C471" s="487">
        <f>'SE7qualità aria'!E59</f>
        <v>373.35130176213522</v>
      </c>
      <c r="D471" s="594" t="s">
        <v>1466</v>
      </c>
    </row>
    <row r="472" spans="1:4" x14ac:dyDescent="0.3">
      <c r="A472" s="5" t="s">
        <v>1056</v>
      </c>
      <c r="B472" s="76" t="s">
        <v>1533</v>
      </c>
      <c r="C472" s="593">
        <v>0</v>
      </c>
      <c r="D472" s="594" t="s">
        <v>1466</v>
      </c>
    </row>
    <row r="473" spans="1:4" x14ac:dyDescent="0.3">
      <c r="A473" s="609" t="s">
        <v>1520</v>
      </c>
      <c r="B473" s="616" t="s">
        <v>1533</v>
      </c>
      <c r="C473" s="593">
        <v>0</v>
      </c>
      <c r="D473" s="610" t="s">
        <v>1466</v>
      </c>
    </row>
    <row r="474" spans="1:4" x14ac:dyDescent="0.3">
      <c r="A474" s="592" t="s">
        <v>1053</v>
      </c>
      <c r="B474" s="616" t="s">
        <v>1533</v>
      </c>
      <c r="C474" s="487">
        <f>'SE7qualità aria'!E50</f>
        <v>225.01903560087774</v>
      </c>
      <c r="D474" s="594" t="s">
        <v>1584</v>
      </c>
    </row>
    <row r="475" spans="1:4" x14ac:dyDescent="0.3">
      <c r="A475" s="592" t="s">
        <v>1054</v>
      </c>
      <c r="B475" s="616" t="s">
        <v>1533</v>
      </c>
      <c r="C475" s="593">
        <v>0</v>
      </c>
      <c r="D475" s="594" t="s">
        <v>1584</v>
      </c>
    </row>
    <row r="476" spans="1:4" x14ac:dyDescent="0.3">
      <c r="A476" s="592" t="s">
        <v>1055</v>
      </c>
      <c r="B476" s="616" t="s">
        <v>1533</v>
      </c>
      <c r="C476" s="593">
        <v>0</v>
      </c>
      <c r="D476" s="594" t="s">
        <v>1584</v>
      </c>
    </row>
    <row r="477" spans="1:4" x14ac:dyDescent="0.3">
      <c r="A477" s="592" t="s">
        <v>1057</v>
      </c>
      <c r="B477" s="616" t="s">
        <v>1533</v>
      </c>
      <c r="C477" s="593">
        <v>0</v>
      </c>
      <c r="D477" s="594" t="s">
        <v>1584</v>
      </c>
    </row>
    <row r="478" spans="1:4" ht="28.8" x14ac:dyDescent="0.3">
      <c r="A478" s="592" t="s">
        <v>1519</v>
      </c>
      <c r="B478" s="616" t="s">
        <v>1533</v>
      </c>
      <c r="C478" s="593">
        <v>0</v>
      </c>
      <c r="D478" s="594" t="s">
        <v>1584</v>
      </c>
    </row>
    <row r="479" spans="1:4" x14ac:dyDescent="0.3">
      <c r="A479" s="592" t="s">
        <v>1059</v>
      </c>
      <c r="B479" s="616" t="s">
        <v>1533</v>
      </c>
      <c r="C479" s="487">
        <f>'SE7qualità aria'!E50</f>
        <v>225.01903560087774</v>
      </c>
      <c r="D479" s="594" t="s">
        <v>1584</v>
      </c>
    </row>
    <row r="480" spans="1:4" x14ac:dyDescent="0.3">
      <c r="A480" s="5" t="s">
        <v>1056</v>
      </c>
      <c r="B480" s="616" t="s">
        <v>1533</v>
      </c>
      <c r="C480" s="593">
        <v>0</v>
      </c>
      <c r="D480" s="594" t="s">
        <v>1584</v>
      </c>
    </row>
    <row r="481" spans="1:9" ht="15" thickBot="1" x14ac:dyDescent="0.35">
      <c r="A481" s="596" t="s">
        <v>1520</v>
      </c>
      <c r="B481" s="616" t="s">
        <v>1533</v>
      </c>
      <c r="C481" s="593">
        <v>0</v>
      </c>
      <c r="D481" s="598" t="s">
        <v>1584</v>
      </c>
    </row>
    <row r="482" spans="1:9" ht="28.8" x14ac:dyDescent="0.3">
      <c r="A482" s="589" t="s">
        <v>1053</v>
      </c>
      <c r="B482" s="321" t="s">
        <v>1534</v>
      </c>
      <c r="C482" s="590">
        <f>'SE3 approvv idrico'!O74</f>
        <v>87.639037768526848</v>
      </c>
      <c r="D482" s="591" t="s">
        <v>498</v>
      </c>
      <c r="F482" t="s">
        <v>1535</v>
      </c>
    </row>
    <row r="483" spans="1:9" ht="28.8" x14ac:dyDescent="0.3">
      <c r="A483" s="592" t="s">
        <v>1054</v>
      </c>
      <c r="B483" s="76" t="s">
        <v>1534</v>
      </c>
      <c r="C483" s="593">
        <f>'SE3 approvv idrico'!P74</f>
        <v>33.787599842438773</v>
      </c>
      <c r="D483" s="594" t="s">
        <v>498</v>
      </c>
      <c r="F483" t="s">
        <v>1514</v>
      </c>
    </row>
    <row r="484" spans="1:9" ht="28.8" x14ac:dyDescent="0.3">
      <c r="A484" s="592" t="s">
        <v>1055</v>
      </c>
      <c r="B484" s="76" t="s">
        <v>1534</v>
      </c>
      <c r="C484" s="595">
        <f>'SE3 approvv idrico'!Q74</f>
        <v>128.59682132912295</v>
      </c>
      <c r="D484" s="594" t="s">
        <v>498</v>
      </c>
      <c r="F484" s="55" t="s">
        <v>2019</v>
      </c>
      <c r="G484" s="55"/>
      <c r="H484" s="55"/>
      <c r="I484" s="55"/>
    </row>
    <row r="485" spans="1:9" ht="28.8" x14ac:dyDescent="0.3">
      <c r="A485" s="592" t="s">
        <v>1057</v>
      </c>
      <c r="B485" s="76" t="s">
        <v>1534</v>
      </c>
      <c r="C485" s="595">
        <f>'SE3 approvv idrico'!R74</f>
        <v>0</v>
      </c>
      <c r="D485" s="594" t="s">
        <v>498</v>
      </c>
    </row>
    <row r="486" spans="1:9" ht="28.8" x14ac:dyDescent="0.3">
      <c r="A486" s="592" t="s">
        <v>1519</v>
      </c>
      <c r="B486" s="76" t="s">
        <v>1534</v>
      </c>
      <c r="C486" s="595">
        <f>'SE3 approvv idrico'!S74</f>
        <v>86.13441536551602</v>
      </c>
      <c r="D486" s="594" t="s">
        <v>498</v>
      </c>
    </row>
    <row r="487" spans="1:9" ht="28.8" x14ac:dyDescent="0.3">
      <c r="A487" s="592" t="s">
        <v>1059</v>
      </c>
      <c r="B487" s="76" t="s">
        <v>1534</v>
      </c>
      <c r="C487" s="595">
        <f>'SE3 approvv idrico'!T74</f>
        <v>106.4432820721279</v>
      </c>
      <c r="D487" s="594" t="s">
        <v>498</v>
      </c>
    </row>
    <row r="488" spans="1:9" ht="28.8" x14ac:dyDescent="0.3">
      <c r="A488" s="5" t="s">
        <v>1056</v>
      </c>
      <c r="B488" s="76" t="s">
        <v>1534</v>
      </c>
      <c r="C488" s="595">
        <f>'SE3 approvv idrico'!U74</f>
        <v>106.4432820721279</v>
      </c>
      <c r="D488" s="594" t="s">
        <v>498</v>
      </c>
    </row>
    <row r="489" spans="1:9" ht="28.8" x14ac:dyDescent="0.3">
      <c r="A489" s="592" t="s">
        <v>1520</v>
      </c>
      <c r="B489" s="76" t="s">
        <v>1534</v>
      </c>
      <c r="C489" s="595">
        <f>'SE3 approvv idrico'!V74</f>
        <v>151.62293503555244</v>
      </c>
      <c r="D489" s="594" t="s">
        <v>498</v>
      </c>
    </row>
    <row r="490" spans="1:9" ht="28.8" x14ac:dyDescent="0.3">
      <c r="A490" s="592" t="s">
        <v>1053</v>
      </c>
      <c r="B490" s="76" t="s">
        <v>1534</v>
      </c>
      <c r="C490" s="487">
        <f>'SE3 approvv idrico'!O65</f>
        <v>101.99777240970562</v>
      </c>
      <c r="D490" s="594" t="s">
        <v>1459</v>
      </c>
    </row>
    <row r="491" spans="1:9" ht="28.8" x14ac:dyDescent="0.3">
      <c r="A491" s="592" t="s">
        <v>1054</v>
      </c>
      <c r="B491" s="76" t="s">
        <v>1534</v>
      </c>
      <c r="C491" s="593">
        <f>'SE3 approvv idrico'!P65</f>
        <v>39.323342733424049</v>
      </c>
      <c r="D491" s="594" t="s">
        <v>1459</v>
      </c>
    </row>
    <row r="492" spans="1:9" ht="28.8" x14ac:dyDescent="0.3">
      <c r="A492" s="592" t="s">
        <v>1055</v>
      </c>
      <c r="B492" s="76" t="s">
        <v>1534</v>
      </c>
      <c r="C492" s="595">
        <f>'SE3 approvv idrico'!Q65</f>
        <v>149.66605805489485</v>
      </c>
      <c r="D492" s="594" t="s">
        <v>1459</v>
      </c>
    </row>
    <row r="493" spans="1:9" ht="28.8" x14ac:dyDescent="0.3">
      <c r="A493" s="592" t="s">
        <v>1057</v>
      </c>
      <c r="B493" s="76" t="s">
        <v>1534</v>
      </c>
      <c r="C493" s="595">
        <f>'SE3 approvv idrico'!R65</f>
        <v>0</v>
      </c>
      <c r="D493" s="594" t="s">
        <v>1459</v>
      </c>
    </row>
    <row r="494" spans="1:9" ht="28.8" x14ac:dyDescent="0.3">
      <c r="A494" s="592" t="s">
        <v>1519</v>
      </c>
      <c r="B494" s="76" t="s">
        <v>1534</v>
      </c>
      <c r="C494" s="595">
        <f>'SE3 approvv idrico'!S65</f>
        <v>100.24663345003124</v>
      </c>
      <c r="D494" s="594" t="s">
        <v>1459</v>
      </c>
    </row>
    <row r="495" spans="1:9" ht="28.8" x14ac:dyDescent="0.3">
      <c r="A495" s="592" t="s">
        <v>1059</v>
      </c>
      <c r="B495" s="76" t="s">
        <v>1534</v>
      </c>
      <c r="C495" s="595">
        <f>'SE3 approvv idrico'!T65</f>
        <v>123.8828943787649</v>
      </c>
      <c r="D495" s="594" t="s">
        <v>1459</v>
      </c>
    </row>
    <row r="496" spans="1:9" ht="28.8" x14ac:dyDescent="0.3">
      <c r="A496" s="5" t="s">
        <v>1056</v>
      </c>
      <c r="B496" s="76" t="s">
        <v>1534</v>
      </c>
      <c r="C496" s="595">
        <f>'SE3 approvv idrico'!U65</f>
        <v>123.8828943787649</v>
      </c>
      <c r="D496" s="594" t="s">
        <v>1459</v>
      </c>
    </row>
    <row r="497" spans="1:4" ht="28.8" x14ac:dyDescent="0.3">
      <c r="A497" s="592" t="s">
        <v>1520</v>
      </c>
      <c r="B497" s="76" t="s">
        <v>1534</v>
      </c>
      <c r="C497" s="595">
        <f>'SE3 approvv idrico'!V65</f>
        <v>176.4647583271591</v>
      </c>
      <c r="D497" s="594" t="s">
        <v>1459</v>
      </c>
    </row>
    <row r="498" spans="1:4" ht="28.8" x14ac:dyDescent="0.3">
      <c r="A498" s="592" t="s">
        <v>1053</v>
      </c>
      <c r="B498" s="76" t="s">
        <v>1534</v>
      </c>
      <c r="C498" s="487">
        <f>'SE3 approvv idrico'!O70</f>
        <v>104.29516995229423</v>
      </c>
      <c r="D498" s="594" t="s">
        <v>1464</v>
      </c>
    </row>
    <row r="499" spans="1:4" ht="28.8" x14ac:dyDescent="0.3">
      <c r="A499" s="592" t="s">
        <v>1054</v>
      </c>
      <c r="B499" s="76" t="s">
        <v>1534</v>
      </c>
      <c r="C499" s="593">
        <f>'SE3 approvv idrico'!P70</f>
        <v>40.209061595981694</v>
      </c>
      <c r="D499" s="594" t="s">
        <v>1464</v>
      </c>
    </row>
    <row r="500" spans="1:4" ht="28.8" x14ac:dyDescent="0.3">
      <c r="A500" s="592" t="s">
        <v>1055</v>
      </c>
      <c r="B500" s="76" t="s">
        <v>1534</v>
      </c>
      <c r="C500" s="595">
        <f>'SE3 approvv idrico'!Q70</f>
        <v>153.03713593101835</v>
      </c>
      <c r="D500" s="594" t="s">
        <v>1464</v>
      </c>
    </row>
    <row r="501" spans="1:4" ht="28.8" x14ac:dyDescent="0.3">
      <c r="A501" s="592" t="s">
        <v>1057</v>
      </c>
      <c r="B501" s="76" t="s">
        <v>1534</v>
      </c>
      <c r="C501" s="595">
        <v>0</v>
      </c>
      <c r="D501" s="594" t="s">
        <v>1464</v>
      </c>
    </row>
    <row r="502" spans="1:4" ht="28.8" x14ac:dyDescent="0.3">
      <c r="A502" s="592" t="s">
        <v>1519</v>
      </c>
      <c r="B502" s="76" t="s">
        <v>1534</v>
      </c>
      <c r="C502" s="595">
        <f>'SE3 approvv idrico'!S70</f>
        <v>102.50458834355369</v>
      </c>
      <c r="D502" s="594" t="s">
        <v>1464</v>
      </c>
    </row>
    <row r="503" spans="1:4" ht="28.8" x14ac:dyDescent="0.3">
      <c r="A503" s="592" t="s">
        <v>1059</v>
      </c>
      <c r="B503" s="76" t="s">
        <v>1534</v>
      </c>
      <c r="C503" s="595">
        <f>'SE3 approvv idrico'!T70</f>
        <v>126.67323234782684</v>
      </c>
      <c r="D503" s="594" t="s">
        <v>1464</v>
      </c>
    </row>
    <row r="504" spans="1:4" ht="28.8" x14ac:dyDescent="0.3">
      <c r="A504" s="5" t="s">
        <v>1056</v>
      </c>
      <c r="B504" s="76" t="s">
        <v>1534</v>
      </c>
      <c r="C504" s="595">
        <f>'SE3 approvv idrico'!U70</f>
        <v>126.67323234782684</v>
      </c>
      <c r="D504" s="594" t="s">
        <v>1464</v>
      </c>
    </row>
    <row r="505" spans="1:4" ht="28.8" x14ac:dyDescent="0.3">
      <c r="A505" s="592" t="s">
        <v>1520</v>
      </c>
      <c r="B505" s="76" t="s">
        <v>1534</v>
      </c>
      <c r="C505" s="595">
        <f>'SE3 approvv idrico'!V70</f>
        <v>180.43945005381622</v>
      </c>
      <c r="D505" s="594" t="s">
        <v>1464</v>
      </c>
    </row>
    <row r="506" spans="1:4" ht="28.8" x14ac:dyDescent="0.3">
      <c r="A506" s="592" t="s">
        <v>1053</v>
      </c>
      <c r="B506" s="76" t="s">
        <v>1534</v>
      </c>
      <c r="C506" s="487">
        <f>'SE3 approvv idrico'!O71</f>
        <v>103.74219170657815</v>
      </c>
      <c r="D506" s="594" t="s">
        <v>1463</v>
      </c>
    </row>
    <row r="507" spans="1:4" ht="28.8" x14ac:dyDescent="0.3">
      <c r="A507" s="592" t="s">
        <v>1054</v>
      </c>
      <c r="B507" s="76" t="s">
        <v>1534</v>
      </c>
      <c r="C507" s="593">
        <f>'SE3 approvv idrico'!P71</f>
        <v>39.995871125575384</v>
      </c>
      <c r="D507" s="594" t="s">
        <v>1463</v>
      </c>
    </row>
    <row r="508" spans="1:4" ht="28.8" x14ac:dyDescent="0.3">
      <c r="A508" s="592" t="s">
        <v>1055</v>
      </c>
      <c r="B508" s="76" t="s">
        <v>1534</v>
      </c>
      <c r="C508" s="595">
        <f>'SE3 approvv idrico'!Q71</f>
        <v>152.22572532595143</v>
      </c>
      <c r="D508" s="594" t="s">
        <v>1463</v>
      </c>
    </row>
    <row r="509" spans="1:4" ht="28.8" x14ac:dyDescent="0.3">
      <c r="A509" s="592" t="s">
        <v>1057</v>
      </c>
      <c r="B509" s="76" t="s">
        <v>1534</v>
      </c>
      <c r="C509" s="595">
        <v>0</v>
      </c>
      <c r="D509" s="594" t="s">
        <v>1463</v>
      </c>
    </row>
    <row r="510" spans="1:4" ht="28.8" x14ac:dyDescent="0.3">
      <c r="A510" s="592" t="s">
        <v>1519</v>
      </c>
      <c r="B510" s="76" t="s">
        <v>1534</v>
      </c>
      <c r="C510" s="595">
        <f>'SE3 approvv idrico'!S71</f>
        <v>101.96110385174073</v>
      </c>
      <c r="D510" s="594" t="s">
        <v>1463</v>
      </c>
    </row>
    <row r="511" spans="1:4" ht="28.8" x14ac:dyDescent="0.3">
      <c r="A511" s="592" t="s">
        <v>1059</v>
      </c>
      <c r="B511" s="76" t="s">
        <v>1534</v>
      </c>
      <c r="C511" s="595">
        <f>'SE3 approvv idrico'!T71</f>
        <v>126.00160448783171</v>
      </c>
      <c r="D511" s="594" t="s">
        <v>1463</v>
      </c>
    </row>
    <row r="512" spans="1:4" ht="28.8" x14ac:dyDescent="0.3">
      <c r="A512" s="5" t="s">
        <v>1056</v>
      </c>
      <c r="B512" s="76" t="s">
        <v>1534</v>
      </c>
      <c r="C512" s="595">
        <f>'SE3 approvv idrico'!U71</f>
        <v>126.00160448783171</v>
      </c>
      <c r="D512" s="594" t="s">
        <v>1463</v>
      </c>
    </row>
    <row r="513" spans="1:4" ht="28.8" x14ac:dyDescent="0.3">
      <c r="A513" s="592" t="s">
        <v>1520</v>
      </c>
      <c r="B513" s="76" t="s">
        <v>1534</v>
      </c>
      <c r="C513" s="595">
        <f>'SE3 approvv idrico'!V71</f>
        <v>179.48275099867899</v>
      </c>
      <c r="D513" s="594" t="s">
        <v>1463</v>
      </c>
    </row>
    <row r="514" spans="1:4" ht="28.8" x14ac:dyDescent="0.3">
      <c r="A514" s="592" t="s">
        <v>1053</v>
      </c>
      <c r="B514" s="76" t="s">
        <v>1534</v>
      </c>
      <c r="C514" s="487">
        <f>'SE3 approvv idrico'!O75</f>
        <v>96.934147942290863</v>
      </c>
      <c r="D514" s="594" t="s">
        <v>1468</v>
      </c>
    </row>
    <row r="515" spans="1:4" ht="28.8" x14ac:dyDescent="0.3">
      <c r="A515" s="592" t="s">
        <v>1054</v>
      </c>
      <c r="B515" s="76" t="s">
        <v>1534</v>
      </c>
      <c r="C515" s="593">
        <f>'SE3 approvv idrico'!P75</f>
        <v>37.371156566007755</v>
      </c>
      <c r="D515" s="594" t="s">
        <v>1468</v>
      </c>
    </row>
    <row r="516" spans="1:4" ht="28.8" x14ac:dyDescent="0.3">
      <c r="A516" s="592" t="s">
        <v>1055</v>
      </c>
      <c r="B516" s="76" t="s">
        <v>1534</v>
      </c>
      <c r="C516" s="595">
        <f>'SE3 approvv idrico'!Q75</f>
        <v>142.23596722443892</v>
      </c>
      <c r="D516" s="594" t="s">
        <v>1468</v>
      </c>
    </row>
    <row r="517" spans="1:4" ht="28.8" x14ac:dyDescent="0.3">
      <c r="A517" s="592" t="s">
        <v>1057</v>
      </c>
      <c r="B517" s="76" t="s">
        <v>1534</v>
      </c>
      <c r="C517" s="595">
        <v>0</v>
      </c>
      <c r="D517" s="594" t="s">
        <v>1468</v>
      </c>
    </row>
    <row r="518" spans="1:4" ht="28.8" x14ac:dyDescent="0.3">
      <c r="A518" s="592" t="s">
        <v>1519</v>
      </c>
      <c r="B518" s="76" t="s">
        <v>1534</v>
      </c>
      <c r="C518" s="595">
        <f>'SE3 approvv idrico'!S75</f>
        <v>95.269943332971039</v>
      </c>
      <c r="D518" s="594" t="s">
        <v>1468</v>
      </c>
    </row>
    <row r="519" spans="1:4" ht="28.8" x14ac:dyDescent="0.3">
      <c r="A519" s="592" t="s">
        <v>1059</v>
      </c>
      <c r="B519" s="76" t="s">
        <v>1534</v>
      </c>
      <c r="C519" s="595">
        <f>'SE3 approvv idrico'!T75</f>
        <v>117.73279482021042</v>
      </c>
      <c r="D519" s="594" t="s">
        <v>1468</v>
      </c>
    </row>
    <row r="520" spans="1:4" ht="28.8" x14ac:dyDescent="0.3">
      <c r="A520" s="5" t="s">
        <v>1056</v>
      </c>
      <c r="B520" s="76" t="s">
        <v>1534</v>
      </c>
      <c r="C520" s="595">
        <f>'SE3 approvv idrico'!U75</f>
        <v>117.73279482021042</v>
      </c>
      <c r="D520" s="594" t="s">
        <v>1468</v>
      </c>
    </row>
    <row r="521" spans="1:4" ht="28.8" x14ac:dyDescent="0.3">
      <c r="A521" s="592" t="s">
        <v>1520</v>
      </c>
      <c r="B521" s="76" t="s">
        <v>1534</v>
      </c>
      <c r="C521" s="595">
        <f>'SE3 approvv idrico'!V75</f>
        <v>167.704260457533</v>
      </c>
      <c r="D521" s="594" t="s">
        <v>1468</v>
      </c>
    </row>
    <row r="522" spans="1:4" ht="28.8" x14ac:dyDescent="0.3">
      <c r="A522" s="592" t="s">
        <v>1053</v>
      </c>
      <c r="B522" s="76" t="s">
        <v>1534</v>
      </c>
      <c r="C522" s="487">
        <f>'SE3 approvv idrico'!O73</f>
        <v>80.885757550312903</v>
      </c>
      <c r="D522" s="594" t="s">
        <v>1469</v>
      </c>
    </row>
    <row r="523" spans="1:4" ht="28.8" x14ac:dyDescent="0.3">
      <c r="A523" s="592" t="s">
        <v>1054</v>
      </c>
      <c r="B523" s="76" t="s">
        <v>1534</v>
      </c>
      <c r="C523" s="593">
        <f>'SE3 approvv idrico'!P73</f>
        <v>31.183998348780964</v>
      </c>
      <c r="D523" s="594" t="s">
        <v>1469</v>
      </c>
    </row>
    <row r="524" spans="1:4" ht="28.8" x14ac:dyDescent="0.3">
      <c r="A524" s="592" t="s">
        <v>1055</v>
      </c>
      <c r="B524" s="76" t="s">
        <v>1534</v>
      </c>
      <c r="C524" s="595">
        <f>'SE3 approvv idrico'!Q73</f>
        <v>118.68742031651807</v>
      </c>
      <c r="D524" s="594" t="s">
        <v>1469</v>
      </c>
    </row>
    <row r="525" spans="1:4" ht="28.8" x14ac:dyDescent="0.3">
      <c r="A525" s="592" t="s">
        <v>1057</v>
      </c>
      <c r="B525" s="76" t="s">
        <v>1534</v>
      </c>
      <c r="C525" s="595">
        <v>0</v>
      </c>
      <c r="D525" s="594" t="s">
        <v>1469</v>
      </c>
    </row>
    <row r="526" spans="1:4" ht="28.8" x14ac:dyDescent="0.3">
      <c r="A526" s="592" t="s">
        <v>1519</v>
      </c>
      <c r="B526" s="76" t="s">
        <v>1534</v>
      </c>
      <c r="C526" s="595">
        <f>'SE3 approvv idrico'!S73</f>
        <v>79.497078190138467</v>
      </c>
      <c r="D526" s="594" t="s">
        <v>1469</v>
      </c>
    </row>
    <row r="527" spans="1:4" ht="28.8" x14ac:dyDescent="0.3">
      <c r="A527" s="592" t="s">
        <v>1059</v>
      </c>
      <c r="B527" s="76" t="s">
        <v>1534</v>
      </c>
      <c r="C527" s="595">
        <f>'SE3 approvv idrico'!T73</f>
        <v>98.240986274699381</v>
      </c>
      <c r="D527" s="594" t="s">
        <v>1469</v>
      </c>
    </row>
    <row r="528" spans="1:4" ht="28.8" x14ac:dyDescent="0.3">
      <c r="A528" s="5" t="s">
        <v>1056</v>
      </c>
      <c r="B528" s="76" t="s">
        <v>1534</v>
      </c>
      <c r="C528" s="595">
        <f>'SE3 approvv idrico'!U73</f>
        <v>98.240986274699381</v>
      </c>
      <c r="D528" s="594" t="s">
        <v>1469</v>
      </c>
    </row>
    <row r="529" spans="1:4" ht="28.8" x14ac:dyDescent="0.3">
      <c r="A529" s="592" t="s">
        <v>1520</v>
      </c>
      <c r="B529" s="76" t="s">
        <v>1534</v>
      </c>
      <c r="C529" s="595">
        <f>'SE3 approvv idrico'!V73</f>
        <v>139.93919005300705</v>
      </c>
      <c r="D529" s="594" t="s">
        <v>1469</v>
      </c>
    </row>
    <row r="530" spans="1:4" ht="28.8" x14ac:dyDescent="0.3">
      <c r="A530" s="592" t="s">
        <v>1053</v>
      </c>
      <c r="B530" s="76" t="s">
        <v>1534</v>
      </c>
      <c r="C530" s="487">
        <f>'SE3 approvv idrico'!O60</f>
        <v>103.625986133203</v>
      </c>
      <c r="D530" s="594" t="s">
        <v>1460</v>
      </c>
    </row>
    <row r="531" spans="1:4" ht="28.8" x14ac:dyDescent="0.3">
      <c r="A531" s="592" t="s">
        <v>1054</v>
      </c>
      <c r="B531" s="76" t="s">
        <v>1534</v>
      </c>
      <c r="C531" s="593">
        <f>'SE3 approvv idrico'!P60</f>
        <v>39.95107022962042</v>
      </c>
      <c r="D531" s="594" t="s">
        <v>1460</v>
      </c>
    </row>
    <row r="532" spans="1:4" ht="28.8" x14ac:dyDescent="0.3">
      <c r="A532" s="592" t="s">
        <v>1055</v>
      </c>
      <c r="B532" s="76" t="s">
        <v>1534</v>
      </c>
      <c r="C532" s="595">
        <f>'SE3 approvv idrico'!Q60</f>
        <v>152.05521150314749</v>
      </c>
      <c r="D532" s="594" t="s">
        <v>1460</v>
      </c>
    </row>
    <row r="533" spans="1:4" ht="28.8" x14ac:dyDescent="0.3">
      <c r="A533" s="592" t="s">
        <v>1057</v>
      </c>
      <c r="B533" s="76" t="s">
        <v>1534</v>
      </c>
      <c r="C533" s="595">
        <v>0</v>
      </c>
      <c r="D533" s="594" t="s">
        <v>1460</v>
      </c>
    </row>
    <row r="534" spans="1:4" ht="28.8" x14ac:dyDescent="0.3">
      <c r="A534" s="592" t="s">
        <v>1519</v>
      </c>
      <c r="B534" s="76" t="s">
        <v>1534</v>
      </c>
      <c r="C534" s="595">
        <f>'SE3 approvv idrico'!S60</f>
        <v>101.84689334259161</v>
      </c>
      <c r="D534" s="594" t="s">
        <v>1460</v>
      </c>
    </row>
    <row r="535" spans="1:4" ht="28.8" x14ac:dyDescent="0.3">
      <c r="A535" s="592" t="s">
        <v>1059</v>
      </c>
      <c r="B535" s="76" t="s">
        <v>1534</v>
      </c>
      <c r="C535" s="595">
        <f>'SE3 approvv idrico'!T60</f>
        <v>125.8604652998617</v>
      </c>
      <c r="D535" s="594" t="s">
        <v>1460</v>
      </c>
    </row>
    <row r="536" spans="1:4" ht="28.8" x14ac:dyDescent="0.3">
      <c r="A536" s="5" t="s">
        <v>1056</v>
      </c>
      <c r="B536" s="76" t="s">
        <v>1534</v>
      </c>
      <c r="C536" s="595">
        <f>'SE3 approvv idrico'!U60</f>
        <v>125.8604652998617</v>
      </c>
      <c r="D536" s="594" t="s">
        <v>1460</v>
      </c>
    </row>
    <row r="537" spans="1:4" ht="28.8" x14ac:dyDescent="0.3">
      <c r="A537" s="592" t="s">
        <v>1520</v>
      </c>
      <c r="B537" s="76" t="s">
        <v>1534</v>
      </c>
      <c r="C537" s="595">
        <f>'SE3 approvv idrico'!V60</f>
        <v>179.28170554506315</v>
      </c>
      <c r="D537" s="594" t="s">
        <v>1460</v>
      </c>
    </row>
    <row r="538" spans="1:4" ht="28.8" x14ac:dyDescent="0.3">
      <c r="A538" s="592" t="s">
        <v>1053</v>
      </c>
      <c r="B538" s="76" t="s">
        <v>1534</v>
      </c>
      <c r="C538" s="487">
        <f>'SE3 approvv idrico'!O62</f>
        <v>116.69978098602701</v>
      </c>
      <c r="D538" s="594" t="s">
        <v>1461</v>
      </c>
    </row>
    <row r="539" spans="1:4" ht="28.8" x14ac:dyDescent="0.3">
      <c r="A539" s="592" t="s">
        <v>1054</v>
      </c>
      <c r="B539" s="76" t="s">
        <v>1534</v>
      </c>
      <c r="C539" s="593">
        <f>'SE3 approvv idrico'!P62</f>
        <v>44.991428500965903</v>
      </c>
      <c r="D539" s="594" t="s">
        <v>1461</v>
      </c>
    </row>
    <row r="540" spans="1:4" ht="28.8" x14ac:dyDescent="0.3">
      <c r="A540" s="592" t="s">
        <v>1055</v>
      </c>
      <c r="B540" s="76" t="s">
        <v>1534</v>
      </c>
      <c r="C540" s="595">
        <f>'SE3 approvv idrico'!Q62</f>
        <v>171.23899653308754</v>
      </c>
      <c r="D540" s="594" t="s">
        <v>1461</v>
      </c>
    </row>
    <row r="541" spans="1:4" ht="28.8" x14ac:dyDescent="0.3">
      <c r="A541" s="592" t="s">
        <v>1057</v>
      </c>
      <c r="B541" s="76" t="s">
        <v>1534</v>
      </c>
      <c r="C541" s="595">
        <v>0</v>
      </c>
      <c r="D541" s="594" t="s">
        <v>1461</v>
      </c>
    </row>
    <row r="542" spans="1:4" ht="28.8" x14ac:dyDescent="0.3">
      <c r="A542" s="592" t="s">
        <v>1519</v>
      </c>
      <c r="B542" s="76" t="s">
        <v>1534</v>
      </c>
      <c r="C542" s="595">
        <f>'SE3 approvv idrico'!S62</f>
        <v>114.69623200410186</v>
      </c>
      <c r="D542" s="594" t="s">
        <v>1461</v>
      </c>
    </row>
    <row r="543" spans="1:4" ht="28.8" x14ac:dyDescent="0.3">
      <c r="A543" s="592" t="s">
        <v>1059</v>
      </c>
      <c r="B543" s="76" t="s">
        <v>1534</v>
      </c>
      <c r="C543" s="595">
        <f>'SE3 approvv idrico'!T62</f>
        <v>141.73943509124433</v>
      </c>
      <c r="D543" s="594" t="s">
        <v>1461</v>
      </c>
    </row>
    <row r="544" spans="1:4" ht="28.8" x14ac:dyDescent="0.3">
      <c r="A544" s="5" t="s">
        <v>1056</v>
      </c>
      <c r="B544" s="76" t="s">
        <v>1534</v>
      </c>
      <c r="C544" s="595">
        <f>'SE3 approvv idrico'!U62</f>
        <v>141.73943509124433</v>
      </c>
      <c r="D544" s="594" t="s">
        <v>1461</v>
      </c>
    </row>
    <row r="545" spans="1:4" ht="28.8" x14ac:dyDescent="0.3">
      <c r="A545" s="592" t="s">
        <v>1520</v>
      </c>
      <c r="B545" s="76" t="s">
        <v>1534</v>
      </c>
      <c r="C545" s="595">
        <f>'SE3 approvv idrico'!V62</f>
        <v>201.90047451048144</v>
      </c>
      <c r="D545" s="594" t="s">
        <v>1461</v>
      </c>
    </row>
    <row r="546" spans="1:4" ht="28.8" x14ac:dyDescent="0.3">
      <c r="A546" s="592" t="s">
        <v>1053</v>
      </c>
      <c r="B546" s="76" t="s">
        <v>1534</v>
      </c>
      <c r="C546" s="487">
        <f>'SE3 approvv idrico'!O68</f>
        <v>101.30588175443766</v>
      </c>
      <c r="D546" s="594" t="s">
        <v>1467</v>
      </c>
    </row>
    <row r="547" spans="1:4" ht="28.8" x14ac:dyDescent="0.3">
      <c r="A547" s="592" t="s">
        <v>1054</v>
      </c>
      <c r="B547" s="76" t="s">
        <v>1534</v>
      </c>
      <c r="C547" s="593">
        <f>'SE3 approvv idrico'!P68</f>
        <v>39.056597169002622</v>
      </c>
      <c r="D547" s="594" t="s">
        <v>1467</v>
      </c>
    </row>
    <row r="548" spans="1:4" ht="28.8" x14ac:dyDescent="0.3">
      <c r="A548" s="592" t="s">
        <v>1055</v>
      </c>
      <c r="B548" s="76" t="s">
        <v>1534</v>
      </c>
      <c r="C548" s="595">
        <f>'SE3 approvv idrico'!Q68</f>
        <v>148.65081483406232</v>
      </c>
      <c r="D548" s="594" t="s">
        <v>1467</v>
      </c>
    </row>
    <row r="549" spans="1:4" ht="28.8" x14ac:dyDescent="0.3">
      <c r="A549" s="592" t="s">
        <v>1057</v>
      </c>
      <c r="B549" s="76" t="s">
        <v>1534</v>
      </c>
      <c r="C549" s="595">
        <f>'SE3 approvv idrico'!R68</f>
        <v>0</v>
      </c>
      <c r="D549" s="594" t="s">
        <v>1467</v>
      </c>
    </row>
    <row r="550" spans="1:4" ht="28.8" x14ac:dyDescent="0.3">
      <c r="A550" s="592" t="s">
        <v>1519</v>
      </c>
      <c r="B550" s="76" t="s">
        <v>1534</v>
      </c>
      <c r="C550" s="595">
        <f>'SE3 approvv idrico'!S68</f>
        <v>99.56662145302856</v>
      </c>
      <c r="D550" s="594" t="s">
        <v>1467</v>
      </c>
    </row>
    <row r="551" spans="1:4" ht="28.8" x14ac:dyDescent="0.3">
      <c r="A551" s="592" t="s">
        <v>1059</v>
      </c>
      <c r="B551" s="76" t="s">
        <v>1534</v>
      </c>
      <c r="C551" s="595">
        <f>'SE3 approvv idrico'!T68</f>
        <v>123.04254840901254</v>
      </c>
      <c r="D551" s="594" t="s">
        <v>1467</v>
      </c>
    </row>
    <row r="552" spans="1:4" ht="28.8" x14ac:dyDescent="0.3">
      <c r="A552" s="5" t="s">
        <v>1056</v>
      </c>
      <c r="B552" s="76" t="s">
        <v>1534</v>
      </c>
      <c r="C552" s="595">
        <f>'SE3 approvv idrico'!U68</f>
        <v>123.04254840901254</v>
      </c>
      <c r="D552" s="594" t="s">
        <v>1467</v>
      </c>
    </row>
    <row r="553" spans="1:4" ht="28.8" x14ac:dyDescent="0.3">
      <c r="A553" s="592" t="s">
        <v>1520</v>
      </c>
      <c r="B553" s="76" t="s">
        <v>1534</v>
      </c>
      <c r="C553" s="595">
        <f>'SE3 approvv idrico'!V68</f>
        <v>175.26772907459613</v>
      </c>
      <c r="D553" s="594" t="s">
        <v>1467</v>
      </c>
    </row>
    <row r="554" spans="1:4" ht="28.8" x14ac:dyDescent="0.3">
      <c r="A554" s="592" t="s">
        <v>1053</v>
      </c>
      <c r="B554" s="76" t="s">
        <v>1534</v>
      </c>
      <c r="C554" s="487">
        <f>'SE3 approvv idrico'!O69</f>
        <v>104.92561858026043</v>
      </c>
      <c r="D554" s="594" t="s">
        <v>1465</v>
      </c>
    </row>
    <row r="555" spans="1:4" ht="28.8" x14ac:dyDescent="0.3">
      <c r="A555" s="592" t="s">
        <v>1054</v>
      </c>
      <c r="B555" s="76" t="s">
        <v>1534</v>
      </c>
      <c r="C555" s="593">
        <f>'SE3 approvv idrico'!P69</f>
        <v>40.452119330357988</v>
      </c>
      <c r="D555" s="594" t="s">
        <v>1465</v>
      </c>
    </row>
    <row r="556" spans="1:4" ht="28.8" x14ac:dyDescent="0.3">
      <c r="A556" s="592" t="s">
        <v>1055</v>
      </c>
      <c r="B556" s="76" t="s">
        <v>1534</v>
      </c>
      <c r="C556" s="595">
        <f>'SE3 approvv idrico'!Q69</f>
        <v>153.96222241795459</v>
      </c>
      <c r="D556" s="594" t="s">
        <v>1465</v>
      </c>
    </row>
    <row r="557" spans="1:4" ht="28.8" x14ac:dyDescent="0.3">
      <c r="A557" s="592" t="s">
        <v>1057</v>
      </c>
      <c r="B557" s="76" t="s">
        <v>1534</v>
      </c>
      <c r="C557" s="595">
        <v>0</v>
      </c>
      <c r="D557" s="594" t="s">
        <v>1465</v>
      </c>
    </row>
    <row r="558" spans="1:4" ht="28.8" x14ac:dyDescent="0.3">
      <c r="A558" s="592" t="s">
        <v>1519</v>
      </c>
      <c r="B558" s="76" t="s">
        <v>1534</v>
      </c>
      <c r="C558" s="595">
        <f>'SE3 approvv idrico'!S69</f>
        <v>103.12421317479939</v>
      </c>
      <c r="D558" s="594" t="s">
        <v>1465</v>
      </c>
    </row>
    <row r="559" spans="1:4" ht="28.8" x14ac:dyDescent="0.3">
      <c r="A559" s="592" t="s">
        <v>1059</v>
      </c>
      <c r="B559" s="76" t="s">
        <v>1534</v>
      </c>
      <c r="C559" s="595">
        <f>'SE3 approvv idrico'!T69</f>
        <v>127.438952999802</v>
      </c>
      <c r="D559" s="594" t="s">
        <v>1465</v>
      </c>
    </row>
    <row r="560" spans="1:4" ht="28.8" x14ac:dyDescent="0.3">
      <c r="A560" s="5" t="s">
        <v>1056</v>
      </c>
      <c r="B560" s="76" t="s">
        <v>1534</v>
      </c>
      <c r="C560" s="595">
        <f>'SE3 approvv idrico'!U69</f>
        <v>127.438952999802</v>
      </c>
      <c r="D560" s="594" t="s">
        <v>1465</v>
      </c>
    </row>
    <row r="561" spans="1:4" ht="28.8" x14ac:dyDescent="0.3">
      <c r="A561" s="592" t="s">
        <v>1520</v>
      </c>
      <c r="B561" s="76" t="s">
        <v>1534</v>
      </c>
      <c r="C561" s="595">
        <f>'SE3 approvv idrico'!V69</f>
        <v>181.53017941136397</v>
      </c>
      <c r="D561" s="594" t="s">
        <v>1465</v>
      </c>
    </row>
    <row r="562" spans="1:4" ht="28.8" x14ac:dyDescent="0.3">
      <c r="A562" s="592" t="s">
        <v>1053</v>
      </c>
      <c r="B562" s="76" t="s">
        <v>1534</v>
      </c>
      <c r="C562" s="487">
        <f>'SE3 approvv idrico'!O66</f>
        <v>102.56945040286142</v>
      </c>
      <c r="D562" s="594" t="s">
        <v>1466</v>
      </c>
    </row>
    <row r="563" spans="1:4" ht="28.8" x14ac:dyDescent="0.3">
      <c r="A563" s="592" t="s">
        <v>1054</v>
      </c>
      <c r="B563" s="76" t="s">
        <v>1534</v>
      </c>
      <c r="C563" s="593">
        <f>'SE3 approvv idrico'!P66</f>
        <v>39.543742543409337</v>
      </c>
      <c r="D563" s="594" t="s">
        <v>1466</v>
      </c>
    </row>
    <row r="564" spans="1:4" ht="28.8" x14ac:dyDescent="0.3">
      <c r="A564" s="592" t="s">
        <v>1055</v>
      </c>
      <c r="B564" s="76" t="s">
        <v>1534</v>
      </c>
      <c r="C564" s="595">
        <f>'SE3 approvv idrico'!Q66</f>
        <v>150.50490766593029</v>
      </c>
      <c r="D564" s="594" t="s">
        <v>1466</v>
      </c>
    </row>
    <row r="565" spans="1:4" ht="28.8" x14ac:dyDescent="0.3">
      <c r="A565" s="592" t="s">
        <v>1057</v>
      </c>
      <c r="B565" s="76" t="s">
        <v>1534</v>
      </c>
      <c r="C565" s="595">
        <v>0</v>
      </c>
      <c r="D565" s="594" t="s">
        <v>1466</v>
      </c>
    </row>
    <row r="566" spans="1:4" ht="28.8" x14ac:dyDescent="0.3">
      <c r="A566" s="592" t="s">
        <v>1519</v>
      </c>
      <c r="B566" s="76" t="s">
        <v>1534</v>
      </c>
      <c r="C566" s="595">
        <f>'SE3 approvv idrico'!S66</f>
        <v>100.80849664446593</v>
      </c>
      <c r="D566" s="594" t="s">
        <v>1466</v>
      </c>
    </row>
    <row r="567" spans="1:4" ht="28.8" x14ac:dyDescent="0.3">
      <c r="A567" s="592" t="s">
        <v>1059</v>
      </c>
      <c r="B567" s="76" t="s">
        <v>1534</v>
      </c>
      <c r="C567" s="595">
        <f>'SE3 approvv idrico'!T66</f>
        <v>124.57723429199665</v>
      </c>
      <c r="D567" s="594" t="s">
        <v>1466</v>
      </c>
    </row>
    <row r="568" spans="1:4" ht="28.8" x14ac:dyDescent="0.3">
      <c r="A568" s="5" t="s">
        <v>1056</v>
      </c>
      <c r="B568" s="76" t="s">
        <v>1534</v>
      </c>
      <c r="C568" s="595">
        <f>'SE3 approvv idrico'!U66</f>
        <v>124.57723429199665</v>
      </c>
      <c r="D568" s="594" t="s">
        <v>1466</v>
      </c>
    </row>
    <row r="569" spans="1:4" ht="28.8" x14ac:dyDescent="0.3">
      <c r="A569" s="609" t="s">
        <v>1520</v>
      </c>
      <c r="B569" s="616" t="s">
        <v>1534</v>
      </c>
      <c r="C569" s="606">
        <f>'SE3 approvv idrico'!V66</f>
        <v>177.45380952425757</v>
      </c>
      <c r="D569" s="610" t="s">
        <v>1466</v>
      </c>
    </row>
    <row r="570" spans="1:4" ht="28.8" x14ac:dyDescent="0.3">
      <c r="A570" s="592" t="s">
        <v>1053</v>
      </c>
      <c r="B570" s="616" t="s">
        <v>1534</v>
      </c>
      <c r="C570" s="487">
        <f>'SE3 approvv idrico'!$O$58</f>
        <v>103.86507576118174</v>
      </c>
      <c r="D570" s="594" t="s">
        <v>1584</v>
      </c>
    </row>
    <row r="571" spans="1:4" ht="28.8" x14ac:dyDescent="0.3">
      <c r="A571" s="592" t="s">
        <v>1054</v>
      </c>
      <c r="B571" s="616" t="s">
        <v>1534</v>
      </c>
      <c r="C571" s="593">
        <f>'SE3 approvv idrico'!$P$58</f>
        <v>40.04324678566568</v>
      </c>
      <c r="D571" s="594" t="s">
        <v>1584</v>
      </c>
    </row>
    <row r="572" spans="1:4" ht="28.8" x14ac:dyDescent="0.3">
      <c r="A572" s="592" t="s">
        <v>1055</v>
      </c>
      <c r="B572" s="616" t="s">
        <v>1534</v>
      </c>
      <c r="C572" s="595">
        <f>'SE3 approvv idrico'!$Q$58</f>
        <v>152.4060387937441</v>
      </c>
      <c r="D572" s="594" t="s">
        <v>1584</v>
      </c>
    </row>
    <row r="573" spans="1:4" ht="28.8" x14ac:dyDescent="0.3">
      <c r="A573" s="592" t="s">
        <v>1057</v>
      </c>
      <c r="B573" s="616" t="s">
        <v>1534</v>
      </c>
      <c r="C573" s="595">
        <f>'SE3 approvv idrico'!$R$58</f>
        <v>0</v>
      </c>
      <c r="D573" s="594" t="s">
        <v>1584</v>
      </c>
    </row>
    <row r="574" spans="1:4" ht="28.8" x14ac:dyDescent="0.3">
      <c r="A574" s="592" t="s">
        <v>1519</v>
      </c>
      <c r="B574" s="616" t="s">
        <v>1534</v>
      </c>
      <c r="C574" s="595">
        <f>'SE3 approvv idrico'!$S$58</f>
        <v>102.08187818325474</v>
      </c>
      <c r="D574" s="594" t="s">
        <v>1584</v>
      </c>
    </row>
    <row r="575" spans="1:4" ht="28.8" x14ac:dyDescent="0.3">
      <c r="A575" s="592" t="s">
        <v>1059</v>
      </c>
      <c r="B575" s="616" t="s">
        <v>1534</v>
      </c>
      <c r="C575" s="595">
        <f>'SE3 approvv idrico'!$T$58</f>
        <v>126.15085512338621</v>
      </c>
      <c r="D575" s="594" t="s">
        <v>1584</v>
      </c>
    </row>
    <row r="576" spans="1:4" ht="28.8" x14ac:dyDescent="0.3">
      <c r="A576" s="5" t="s">
        <v>1056</v>
      </c>
      <c r="B576" s="616" t="s">
        <v>1534</v>
      </c>
      <c r="C576" s="595">
        <f>'SE3 approvv idrico'!$U$58</f>
        <v>126.15085512338621</v>
      </c>
      <c r="D576" s="594" t="s">
        <v>1584</v>
      </c>
    </row>
    <row r="577" spans="1:7" ht="29.4" thickBot="1" x14ac:dyDescent="0.35">
      <c r="A577" s="596" t="s">
        <v>1520</v>
      </c>
      <c r="B577" s="618" t="s">
        <v>1534</v>
      </c>
      <c r="C577" s="597">
        <f>'SE3 approvv idrico'!$V$58</f>
        <v>179.6953507887095</v>
      </c>
      <c r="D577" s="598" t="s">
        <v>1584</v>
      </c>
    </row>
    <row r="578" spans="1:7" ht="28.8" x14ac:dyDescent="0.3">
      <c r="A578" s="607" t="s">
        <v>1053</v>
      </c>
      <c r="B578" s="760" t="s">
        <v>1536</v>
      </c>
      <c r="C578" s="763">
        <v>0</v>
      </c>
      <c r="D578" s="608" t="s">
        <v>498</v>
      </c>
      <c r="F578" t="s">
        <v>1547</v>
      </c>
    </row>
    <row r="579" spans="1:7" ht="28.8" x14ac:dyDescent="0.3">
      <c r="A579" s="592" t="s">
        <v>1054</v>
      </c>
      <c r="B579" s="76" t="s">
        <v>1536</v>
      </c>
      <c r="C579" s="601">
        <v>0</v>
      </c>
      <c r="D579" s="594" t="s">
        <v>498</v>
      </c>
      <c r="F579" t="s">
        <v>1548</v>
      </c>
    </row>
    <row r="580" spans="1:7" ht="28.8" x14ac:dyDescent="0.3">
      <c r="A580" s="592" t="s">
        <v>1055</v>
      </c>
      <c r="B580" s="76" t="s">
        <v>1536</v>
      </c>
      <c r="C580" s="601">
        <v>0</v>
      </c>
      <c r="D580" s="594" t="s">
        <v>498</v>
      </c>
      <c r="F580" t="s">
        <v>1549</v>
      </c>
    </row>
    <row r="581" spans="1:7" ht="28.8" x14ac:dyDescent="0.3">
      <c r="A581" s="592" t="s">
        <v>1057</v>
      </c>
      <c r="B581" s="76" t="s">
        <v>1536</v>
      </c>
      <c r="C581" s="601">
        <v>0</v>
      </c>
      <c r="D581" s="594" t="s">
        <v>498</v>
      </c>
      <c r="F581" t="s">
        <v>2020</v>
      </c>
    </row>
    <row r="582" spans="1:7" ht="28.8" x14ac:dyDescent="0.3">
      <c r="A582" s="592" t="s">
        <v>1519</v>
      </c>
      <c r="B582" s="76" t="s">
        <v>1536</v>
      </c>
      <c r="C582" s="601">
        <f>'SE8 purificazione acqua'!A35</f>
        <v>837.73164672913742</v>
      </c>
      <c r="D582" s="594" t="s">
        <v>498</v>
      </c>
      <c r="F582" s="64"/>
      <c r="G582" s="64"/>
    </row>
    <row r="583" spans="1:7" ht="28.8" x14ac:dyDescent="0.3">
      <c r="A583" s="592" t="s">
        <v>1059</v>
      </c>
      <c r="B583" s="76" t="s">
        <v>1536</v>
      </c>
      <c r="C583" s="601">
        <v>0</v>
      </c>
      <c r="D583" s="594" t="s">
        <v>498</v>
      </c>
    </row>
    <row r="584" spans="1:7" ht="28.8" x14ac:dyDescent="0.3">
      <c r="A584" s="5" t="s">
        <v>1056</v>
      </c>
      <c r="B584" s="76" t="s">
        <v>1536</v>
      </c>
      <c r="C584" s="601">
        <v>0</v>
      </c>
      <c r="D584" s="594" t="s">
        <v>498</v>
      </c>
    </row>
    <row r="585" spans="1:7" ht="28.8" x14ac:dyDescent="0.3">
      <c r="A585" s="592" t="s">
        <v>1520</v>
      </c>
      <c r="B585" s="76" t="s">
        <v>1536</v>
      </c>
      <c r="C585" s="601">
        <v>0</v>
      </c>
      <c r="D585" s="594" t="s">
        <v>498</v>
      </c>
    </row>
    <row r="586" spans="1:7" ht="28.8" x14ac:dyDescent="0.3">
      <c r="A586" s="592" t="s">
        <v>1053</v>
      </c>
      <c r="B586" s="76" t="s">
        <v>1536</v>
      </c>
      <c r="C586" s="601">
        <v>0</v>
      </c>
      <c r="D586" s="594" t="s">
        <v>1459</v>
      </c>
    </row>
    <row r="587" spans="1:7" ht="28.8" x14ac:dyDescent="0.3">
      <c r="A587" s="592" t="s">
        <v>1054</v>
      </c>
      <c r="B587" s="76" t="s">
        <v>1536</v>
      </c>
      <c r="C587" s="601">
        <v>0</v>
      </c>
      <c r="D587" s="594" t="s">
        <v>1459</v>
      </c>
    </row>
    <row r="588" spans="1:7" ht="28.8" x14ac:dyDescent="0.3">
      <c r="A588" s="592" t="s">
        <v>1055</v>
      </c>
      <c r="B588" s="76" t="s">
        <v>1536</v>
      </c>
      <c r="C588" s="601">
        <v>0</v>
      </c>
      <c r="D588" s="594" t="s">
        <v>1459</v>
      </c>
    </row>
    <row r="589" spans="1:7" ht="28.8" x14ac:dyDescent="0.3">
      <c r="A589" s="592" t="s">
        <v>1057</v>
      </c>
      <c r="B589" s="76" t="s">
        <v>1536</v>
      </c>
      <c r="C589" s="601">
        <v>0</v>
      </c>
      <c r="D589" s="594" t="s">
        <v>1459</v>
      </c>
    </row>
    <row r="590" spans="1:7" ht="28.8" x14ac:dyDescent="0.3">
      <c r="A590" s="592" t="s">
        <v>1519</v>
      </c>
      <c r="B590" s="76" t="s">
        <v>1536</v>
      </c>
      <c r="C590" s="601">
        <f>'SE8 purificazione acqua'!A35</f>
        <v>837.73164672913742</v>
      </c>
      <c r="D590" s="594" t="s">
        <v>1459</v>
      </c>
    </row>
    <row r="591" spans="1:7" ht="28.8" x14ac:dyDescent="0.3">
      <c r="A591" s="592" t="s">
        <v>1059</v>
      </c>
      <c r="B591" s="76" t="s">
        <v>1536</v>
      </c>
      <c r="C591" s="601">
        <v>0</v>
      </c>
      <c r="D591" s="594" t="s">
        <v>1459</v>
      </c>
    </row>
    <row r="592" spans="1:7" ht="28.8" x14ac:dyDescent="0.3">
      <c r="A592" s="5" t="s">
        <v>1056</v>
      </c>
      <c r="B592" s="76" t="s">
        <v>1536</v>
      </c>
      <c r="C592" s="601">
        <v>0</v>
      </c>
      <c r="D592" s="594" t="s">
        <v>1459</v>
      </c>
    </row>
    <row r="593" spans="1:4" ht="28.8" x14ac:dyDescent="0.3">
      <c r="A593" s="592" t="s">
        <v>1520</v>
      </c>
      <c r="B593" s="76" t="s">
        <v>1536</v>
      </c>
      <c r="C593" s="601">
        <v>0</v>
      </c>
      <c r="D593" s="594" t="s">
        <v>1459</v>
      </c>
    </row>
    <row r="594" spans="1:4" ht="28.8" x14ac:dyDescent="0.3">
      <c r="A594" s="592" t="s">
        <v>1053</v>
      </c>
      <c r="B594" s="76" t="s">
        <v>1536</v>
      </c>
      <c r="C594" s="601">
        <v>0</v>
      </c>
      <c r="D594" s="594" t="s">
        <v>1464</v>
      </c>
    </row>
    <row r="595" spans="1:4" ht="28.8" x14ac:dyDescent="0.3">
      <c r="A595" s="592" t="s">
        <v>1054</v>
      </c>
      <c r="B595" s="76" t="s">
        <v>1536</v>
      </c>
      <c r="C595" s="601">
        <v>0</v>
      </c>
      <c r="D595" s="594" t="s">
        <v>1464</v>
      </c>
    </row>
    <row r="596" spans="1:4" ht="28.8" x14ac:dyDescent="0.3">
      <c r="A596" s="592" t="s">
        <v>1055</v>
      </c>
      <c r="B596" s="76" t="s">
        <v>1536</v>
      </c>
      <c r="C596" s="601">
        <v>0</v>
      </c>
      <c r="D596" s="594" t="s">
        <v>1464</v>
      </c>
    </row>
    <row r="597" spans="1:4" ht="28.8" x14ac:dyDescent="0.3">
      <c r="A597" s="592" t="s">
        <v>1057</v>
      </c>
      <c r="B597" s="76" t="s">
        <v>1536</v>
      </c>
      <c r="C597" s="601">
        <v>0</v>
      </c>
      <c r="D597" s="594" t="s">
        <v>1464</v>
      </c>
    </row>
    <row r="598" spans="1:4" ht="28.8" x14ac:dyDescent="0.3">
      <c r="A598" s="592" t="s">
        <v>1519</v>
      </c>
      <c r="B598" s="76" t="s">
        <v>1536</v>
      </c>
      <c r="C598" s="601">
        <f>'SE8 purificazione acqua'!A35</f>
        <v>837.73164672913742</v>
      </c>
      <c r="D598" s="594" t="s">
        <v>1464</v>
      </c>
    </row>
    <row r="599" spans="1:4" ht="28.8" x14ac:dyDescent="0.3">
      <c r="A599" s="592" t="s">
        <v>1059</v>
      </c>
      <c r="B599" s="76" t="s">
        <v>1536</v>
      </c>
      <c r="C599" s="601">
        <v>0</v>
      </c>
      <c r="D599" s="594" t="s">
        <v>1464</v>
      </c>
    </row>
    <row r="600" spans="1:4" ht="28.8" x14ac:dyDescent="0.3">
      <c r="A600" s="5" t="s">
        <v>1056</v>
      </c>
      <c r="B600" s="76" t="s">
        <v>1536</v>
      </c>
      <c r="C600" s="601">
        <v>0</v>
      </c>
      <c r="D600" s="594" t="s">
        <v>1464</v>
      </c>
    </row>
    <row r="601" spans="1:4" ht="28.8" x14ac:dyDescent="0.3">
      <c r="A601" s="592" t="s">
        <v>1520</v>
      </c>
      <c r="B601" s="76" t="s">
        <v>1536</v>
      </c>
      <c r="C601" s="601">
        <v>0</v>
      </c>
      <c r="D601" s="594" t="s">
        <v>1464</v>
      </c>
    </row>
    <row r="602" spans="1:4" ht="28.8" x14ac:dyDescent="0.3">
      <c r="A602" s="592" t="s">
        <v>1053</v>
      </c>
      <c r="B602" s="76" t="s">
        <v>1536</v>
      </c>
      <c r="C602" s="601">
        <v>0</v>
      </c>
      <c r="D602" s="594" t="s">
        <v>1463</v>
      </c>
    </row>
    <row r="603" spans="1:4" ht="28.8" x14ac:dyDescent="0.3">
      <c r="A603" s="592" t="s">
        <v>1054</v>
      </c>
      <c r="B603" s="76" t="s">
        <v>1536</v>
      </c>
      <c r="C603" s="601">
        <v>0</v>
      </c>
      <c r="D603" s="594" t="s">
        <v>1463</v>
      </c>
    </row>
    <row r="604" spans="1:4" ht="28.8" x14ac:dyDescent="0.3">
      <c r="A604" s="592" t="s">
        <v>1055</v>
      </c>
      <c r="B604" s="76" t="s">
        <v>1536</v>
      </c>
      <c r="C604" s="601">
        <v>0</v>
      </c>
      <c r="D604" s="594" t="s">
        <v>1463</v>
      </c>
    </row>
    <row r="605" spans="1:4" ht="28.8" x14ac:dyDescent="0.3">
      <c r="A605" s="592" t="s">
        <v>1057</v>
      </c>
      <c r="B605" s="76" t="s">
        <v>1536</v>
      </c>
      <c r="C605" s="601">
        <v>0</v>
      </c>
      <c r="D605" s="594" t="s">
        <v>1463</v>
      </c>
    </row>
    <row r="606" spans="1:4" ht="28.8" x14ac:dyDescent="0.3">
      <c r="A606" s="592" t="s">
        <v>1519</v>
      </c>
      <c r="B606" s="76" t="s">
        <v>1536</v>
      </c>
      <c r="C606" s="601">
        <f>'SE8 purificazione acqua'!A35</f>
        <v>837.73164672913742</v>
      </c>
      <c r="D606" s="594" t="s">
        <v>1463</v>
      </c>
    </row>
    <row r="607" spans="1:4" ht="28.8" x14ac:dyDescent="0.3">
      <c r="A607" s="592" t="s">
        <v>1059</v>
      </c>
      <c r="B607" s="76" t="s">
        <v>1536</v>
      </c>
      <c r="C607" s="601">
        <v>0</v>
      </c>
      <c r="D607" s="594" t="s">
        <v>1463</v>
      </c>
    </row>
    <row r="608" spans="1:4" ht="28.8" x14ac:dyDescent="0.3">
      <c r="A608" s="5" t="s">
        <v>1056</v>
      </c>
      <c r="B608" s="76" t="s">
        <v>1536</v>
      </c>
      <c r="C608" s="601">
        <v>0</v>
      </c>
      <c r="D608" s="594" t="s">
        <v>1463</v>
      </c>
    </row>
    <row r="609" spans="1:4" ht="28.8" x14ac:dyDescent="0.3">
      <c r="A609" s="592" t="s">
        <v>1520</v>
      </c>
      <c r="B609" s="76" t="s">
        <v>1536</v>
      </c>
      <c r="C609" s="601">
        <v>0</v>
      </c>
      <c r="D609" s="594" t="s">
        <v>1463</v>
      </c>
    </row>
    <row r="610" spans="1:4" ht="28.8" x14ac:dyDescent="0.3">
      <c r="A610" s="592" t="s">
        <v>1053</v>
      </c>
      <c r="B610" s="76" t="s">
        <v>1536</v>
      </c>
      <c r="C610" s="601">
        <v>0</v>
      </c>
      <c r="D610" s="594" t="s">
        <v>1468</v>
      </c>
    </row>
    <row r="611" spans="1:4" ht="28.8" x14ac:dyDescent="0.3">
      <c r="A611" s="592" t="s">
        <v>1054</v>
      </c>
      <c r="B611" s="76" t="s">
        <v>1536</v>
      </c>
      <c r="C611" s="601">
        <v>0</v>
      </c>
      <c r="D611" s="594" t="s">
        <v>1468</v>
      </c>
    </row>
    <row r="612" spans="1:4" ht="28.8" x14ac:dyDescent="0.3">
      <c r="A612" s="592" t="s">
        <v>1055</v>
      </c>
      <c r="B612" s="76" t="s">
        <v>1536</v>
      </c>
      <c r="C612" s="601">
        <v>0</v>
      </c>
      <c r="D612" s="594" t="s">
        <v>1468</v>
      </c>
    </row>
    <row r="613" spans="1:4" ht="28.8" x14ac:dyDescent="0.3">
      <c r="A613" s="592" t="s">
        <v>1057</v>
      </c>
      <c r="B613" s="76" t="s">
        <v>1536</v>
      </c>
      <c r="C613" s="601">
        <v>0</v>
      </c>
      <c r="D613" s="594" t="s">
        <v>1468</v>
      </c>
    </row>
    <row r="614" spans="1:4" ht="28.8" x14ac:dyDescent="0.3">
      <c r="A614" s="592" t="s">
        <v>1519</v>
      </c>
      <c r="B614" s="76" t="s">
        <v>1536</v>
      </c>
      <c r="C614" s="601">
        <f>'SE8 purificazione acqua'!A35</f>
        <v>837.73164672913742</v>
      </c>
      <c r="D614" s="594" t="s">
        <v>1468</v>
      </c>
    </row>
    <row r="615" spans="1:4" ht="28.8" x14ac:dyDescent="0.3">
      <c r="A615" s="592" t="s">
        <v>1059</v>
      </c>
      <c r="B615" s="76" t="s">
        <v>1536</v>
      </c>
      <c r="C615" s="601">
        <v>0</v>
      </c>
      <c r="D615" s="594" t="s">
        <v>1468</v>
      </c>
    </row>
    <row r="616" spans="1:4" ht="28.8" x14ac:dyDescent="0.3">
      <c r="A616" s="5" t="s">
        <v>1056</v>
      </c>
      <c r="B616" s="76" t="s">
        <v>1536</v>
      </c>
      <c r="C616" s="601">
        <v>0</v>
      </c>
      <c r="D616" s="594" t="s">
        <v>1468</v>
      </c>
    </row>
    <row r="617" spans="1:4" ht="28.8" x14ac:dyDescent="0.3">
      <c r="A617" s="592" t="s">
        <v>1520</v>
      </c>
      <c r="B617" s="76" t="s">
        <v>1536</v>
      </c>
      <c r="C617" s="601">
        <v>0</v>
      </c>
      <c r="D617" s="594" t="s">
        <v>1468</v>
      </c>
    </row>
    <row r="618" spans="1:4" ht="28.8" x14ac:dyDescent="0.3">
      <c r="A618" s="592" t="s">
        <v>1053</v>
      </c>
      <c r="B618" s="76" t="s">
        <v>1536</v>
      </c>
      <c r="C618" s="601">
        <v>0</v>
      </c>
      <c r="D618" s="594" t="s">
        <v>1469</v>
      </c>
    </row>
    <row r="619" spans="1:4" ht="28.8" x14ac:dyDescent="0.3">
      <c r="A619" s="592" t="s">
        <v>1054</v>
      </c>
      <c r="B619" s="76" t="s">
        <v>1536</v>
      </c>
      <c r="C619" s="601">
        <v>0</v>
      </c>
      <c r="D619" s="594" t="s">
        <v>1469</v>
      </c>
    </row>
    <row r="620" spans="1:4" ht="28.8" x14ac:dyDescent="0.3">
      <c r="A620" s="592" t="s">
        <v>1055</v>
      </c>
      <c r="B620" s="76" t="s">
        <v>1536</v>
      </c>
      <c r="C620" s="601">
        <v>0</v>
      </c>
      <c r="D620" s="594" t="s">
        <v>1469</v>
      </c>
    </row>
    <row r="621" spans="1:4" ht="28.8" x14ac:dyDescent="0.3">
      <c r="A621" s="592" t="s">
        <v>1057</v>
      </c>
      <c r="B621" s="76" t="s">
        <v>1536</v>
      </c>
      <c r="C621" s="601">
        <v>0</v>
      </c>
      <c r="D621" s="594" t="s">
        <v>1469</v>
      </c>
    </row>
    <row r="622" spans="1:4" ht="28.8" x14ac:dyDescent="0.3">
      <c r="A622" s="592" t="s">
        <v>1519</v>
      </c>
      <c r="B622" s="76" t="s">
        <v>1536</v>
      </c>
      <c r="C622" s="601">
        <f>'SE8 purificazione acqua'!A35</f>
        <v>837.73164672913742</v>
      </c>
      <c r="D622" s="594" t="s">
        <v>1469</v>
      </c>
    </row>
    <row r="623" spans="1:4" ht="28.8" x14ac:dyDescent="0.3">
      <c r="A623" s="592" t="s">
        <v>1059</v>
      </c>
      <c r="B623" s="76" t="s">
        <v>1536</v>
      </c>
      <c r="C623" s="601">
        <v>0</v>
      </c>
      <c r="D623" s="594" t="s">
        <v>1469</v>
      </c>
    </row>
    <row r="624" spans="1:4" ht="28.8" x14ac:dyDescent="0.3">
      <c r="A624" s="5" t="s">
        <v>1056</v>
      </c>
      <c r="B624" s="76" t="s">
        <v>1536</v>
      </c>
      <c r="C624" s="601">
        <v>0</v>
      </c>
      <c r="D624" s="594" t="s">
        <v>1469</v>
      </c>
    </row>
    <row r="625" spans="1:4" ht="28.8" x14ac:dyDescent="0.3">
      <c r="A625" s="592" t="s">
        <v>1520</v>
      </c>
      <c r="B625" s="76" t="s">
        <v>1536</v>
      </c>
      <c r="C625" s="601">
        <v>0</v>
      </c>
      <c r="D625" s="594" t="s">
        <v>1469</v>
      </c>
    </row>
    <row r="626" spans="1:4" ht="28.8" x14ac:dyDescent="0.3">
      <c r="A626" s="592" t="s">
        <v>1053</v>
      </c>
      <c r="B626" s="76" t="s">
        <v>1536</v>
      </c>
      <c r="C626" s="601">
        <v>0</v>
      </c>
      <c r="D626" s="594" t="s">
        <v>1460</v>
      </c>
    </row>
    <row r="627" spans="1:4" ht="28.8" x14ac:dyDescent="0.3">
      <c r="A627" s="592" t="s">
        <v>1054</v>
      </c>
      <c r="B627" s="76" t="s">
        <v>1536</v>
      </c>
      <c r="C627" s="601">
        <v>0</v>
      </c>
      <c r="D627" s="594" t="s">
        <v>1460</v>
      </c>
    </row>
    <row r="628" spans="1:4" ht="28.8" x14ac:dyDescent="0.3">
      <c r="A628" s="592" t="s">
        <v>1055</v>
      </c>
      <c r="B628" s="76" t="s">
        <v>1536</v>
      </c>
      <c r="C628" s="601">
        <v>0</v>
      </c>
      <c r="D628" s="594" t="s">
        <v>1460</v>
      </c>
    </row>
    <row r="629" spans="1:4" ht="28.8" x14ac:dyDescent="0.3">
      <c r="A629" s="592" t="s">
        <v>1057</v>
      </c>
      <c r="B629" s="76" t="s">
        <v>1536</v>
      </c>
      <c r="C629" s="601">
        <v>0</v>
      </c>
      <c r="D629" s="594" t="s">
        <v>1460</v>
      </c>
    </row>
    <row r="630" spans="1:4" ht="28.8" x14ac:dyDescent="0.3">
      <c r="A630" s="592" t="s">
        <v>1519</v>
      </c>
      <c r="B630" s="76" t="s">
        <v>1536</v>
      </c>
      <c r="C630" s="601">
        <f>'SE8 purificazione acqua'!A35</f>
        <v>837.73164672913742</v>
      </c>
      <c r="D630" s="594" t="s">
        <v>1460</v>
      </c>
    </row>
    <row r="631" spans="1:4" ht="28.8" x14ac:dyDescent="0.3">
      <c r="A631" s="592" t="s">
        <v>1059</v>
      </c>
      <c r="B631" s="76" t="s">
        <v>1536</v>
      </c>
      <c r="C631" s="601">
        <v>0</v>
      </c>
      <c r="D631" s="594" t="s">
        <v>1460</v>
      </c>
    </row>
    <row r="632" spans="1:4" ht="28.8" x14ac:dyDescent="0.3">
      <c r="A632" s="5" t="s">
        <v>1056</v>
      </c>
      <c r="B632" s="76" t="s">
        <v>1536</v>
      </c>
      <c r="C632" s="601">
        <v>0</v>
      </c>
      <c r="D632" s="594" t="s">
        <v>1460</v>
      </c>
    </row>
    <row r="633" spans="1:4" ht="28.8" x14ac:dyDescent="0.3">
      <c r="A633" s="592" t="s">
        <v>1520</v>
      </c>
      <c r="B633" s="76" t="s">
        <v>1536</v>
      </c>
      <c r="C633" s="601">
        <v>0</v>
      </c>
      <c r="D633" s="594" t="s">
        <v>1460</v>
      </c>
    </row>
    <row r="634" spans="1:4" ht="28.8" x14ac:dyDescent="0.3">
      <c r="A634" s="592" t="s">
        <v>1053</v>
      </c>
      <c r="B634" s="76" t="s">
        <v>1536</v>
      </c>
      <c r="C634" s="601">
        <v>0</v>
      </c>
      <c r="D634" s="594" t="s">
        <v>1461</v>
      </c>
    </row>
    <row r="635" spans="1:4" ht="28.8" x14ac:dyDescent="0.3">
      <c r="A635" s="592" t="s">
        <v>1054</v>
      </c>
      <c r="B635" s="76" t="s">
        <v>1536</v>
      </c>
      <c r="C635" s="601">
        <v>0</v>
      </c>
      <c r="D635" s="594" t="s">
        <v>1461</v>
      </c>
    </row>
    <row r="636" spans="1:4" ht="28.8" x14ac:dyDescent="0.3">
      <c r="A636" s="592" t="s">
        <v>1055</v>
      </c>
      <c r="B636" s="76" t="s">
        <v>1536</v>
      </c>
      <c r="C636" s="601">
        <v>0</v>
      </c>
      <c r="D636" s="594" t="s">
        <v>1461</v>
      </c>
    </row>
    <row r="637" spans="1:4" ht="28.8" x14ac:dyDescent="0.3">
      <c r="A637" s="592" t="s">
        <v>1057</v>
      </c>
      <c r="B637" s="76" t="s">
        <v>1536</v>
      </c>
      <c r="C637" s="601">
        <v>0</v>
      </c>
      <c r="D637" s="594" t="s">
        <v>1461</v>
      </c>
    </row>
    <row r="638" spans="1:4" ht="28.8" x14ac:dyDescent="0.3">
      <c r="A638" s="592" t="s">
        <v>1519</v>
      </c>
      <c r="B638" s="76" t="s">
        <v>1536</v>
      </c>
      <c r="C638" s="601">
        <f>'SE8 purificazione acqua'!A35</f>
        <v>837.73164672913742</v>
      </c>
      <c r="D638" s="594" t="s">
        <v>1461</v>
      </c>
    </row>
    <row r="639" spans="1:4" ht="28.8" x14ac:dyDescent="0.3">
      <c r="A639" s="592" t="s">
        <v>1059</v>
      </c>
      <c r="B639" s="76" t="s">
        <v>1536</v>
      </c>
      <c r="C639" s="601">
        <v>0</v>
      </c>
      <c r="D639" s="594" t="s">
        <v>1461</v>
      </c>
    </row>
    <row r="640" spans="1:4" ht="28.8" x14ac:dyDescent="0.3">
      <c r="A640" s="5" t="s">
        <v>1056</v>
      </c>
      <c r="B640" s="76" t="s">
        <v>1536</v>
      </c>
      <c r="C640" s="601">
        <v>0</v>
      </c>
      <c r="D640" s="594" t="s">
        <v>1461</v>
      </c>
    </row>
    <row r="641" spans="1:4" ht="28.8" x14ac:dyDescent="0.3">
      <c r="A641" s="592" t="s">
        <v>1520</v>
      </c>
      <c r="B641" s="76" t="s">
        <v>1536</v>
      </c>
      <c r="C641" s="601">
        <v>0</v>
      </c>
      <c r="D641" s="594" t="s">
        <v>1461</v>
      </c>
    </row>
    <row r="642" spans="1:4" ht="28.8" x14ac:dyDescent="0.3">
      <c r="A642" s="592" t="s">
        <v>1053</v>
      </c>
      <c r="B642" s="76" t="s">
        <v>1536</v>
      </c>
      <c r="C642" s="601">
        <v>0</v>
      </c>
      <c r="D642" s="594" t="s">
        <v>1467</v>
      </c>
    </row>
    <row r="643" spans="1:4" ht="28.8" x14ac:dyDescent="0.3">
      <c r="A643" s="592" t="s">
        <v>1054</v>
      </c>
      <c r="B643" s="76" t="s">
        <v>1536</v>
      </c>
      <c r="C643" s="601">
        <v>0</v>
      </c>
      <c r="D643" s="594" t="s">
        <v>1467</v>
      </c>
    </row>
    <row r="644" spans="1:4" ht="28.8" x14ac:dyDescent="0.3">
      <c r="A644" s="592" t="s">
        <v>1055</v>
      </c>
      <c r="B644" s="76" t="s">
        <v>1536</v>
      </c>
      <c r="C644" s="601">
        <v>0</v>
      </c>
      <c r="D644" s="594" t="s">
        <v>1467</v>
      </c>
    </row>
    <row r="645" spans="1:4" ht="28.8" x14ac:dyDescent="0.3">
      <c r="A645" s="592" t="s">
        <v>1057</v>
      </c>
      <c r="B645" s="76" t="s">
        <v>1536</v>
      </c>
      <c r="C645" s="601">
        <v>0</v>
      </c>
      <c r="D645" s="594" t="s">
        <v>1467</v>
      </c>
    </row>
    <row r="646" spans="1:4" ht="28.8" x14ac:dyDescent="0.3">
      <c r="A646" s="592" t="s">
        <v>1519</v>
      </c>
      <c r="B646" s="76" t="s">
        <v>1536</v>
      </c>
      <c r="C646" s="601">
        <f>'SE8 purificazione acqua'!A35</f>
        <v>837.73164672913742</v>
      </c>
      <c r="D646" s="594" t="s">
        <v>1467</v>
      </c>
    </row>
    <row r="647" spans="1:4" ht="28.8" x14ac:dyDescent="0.3">
      <c r="A647" s="592" t="s">
        <v>1059</v>
      </c>
      <c r="B647" s="76" t="s">
        <v>1536</v>
      </c>
      <c r="C647" s="601">
        <v>0</v>
      </c>
      <c r="D647" s="594" t="s">
        <v>1467</v>
      </c>
    </row>
    <row r="648" spans="1:4" ht="28.8" x14ac:dyDescent="0.3">
      <c r="A648" s="5" t="s">
        <v>1056</v>
      </c>
      <c r="B648" s="76" t="s">
        <v>1536</v>
      </c>
      <c r="C648" s="601">
        <v>0</v>
      </c>
      <c r="D648" s="594" t="s">
        <v>1467</v>
      </c>
    </row>
    <row r="649" spans="1:4" ht="28.8" x14ac:dyDescent="0.3">
      <c r="A649" s="592" t="s">
        <v>1520</v>
      </c>
      <c r="B649" s="76" t="s">
        <v>1536</v>
      </c>
      <c r="C649" s="601">
        <v>0</v>
      </c>
      <c r="D649" s="594" t="s">
        <v>1467</v>
      </c>
    </row>
    <row r="650" spans="1:4" ht="28.8" x14ac:dyDescent="0.3">
      <c r="A650" s="592" t="s">
        <v>1053</v>
      </c>
      <c r="B650" s="76" t="s">
        <v>1536</v>
      </c>
      <c r="C650" s="601">
        <v>0</v>
      </c>
      <c r="D650" s="594" t="s">
        <v>1465</v>
      </c>
    </row>
    <row r="651" spans="1:4" ht="28.8" x14ac:dyDescent="0.3">
      <c r="A651" s="592" t="s">
        <v>1054</v>
      </c>
      <c r="B651" s="76" t="s">
        <v>1536</v>
      </c>
      <c r="C651" s="601">
        <v>0</v>
      </c>
      <c r="D651" s="594" t="s">
        <v>1465</v>
      </c>
    </row>
    <row r="652" spans="1:4" ht="28.8" x14ac:dyDescent="0.3">
      <c r="A652" s="592" t="s">
        <v>1055</v>
      </c>
      <c r="B652" s="76" t="s">
        <v>1536</v>
      </c>
      <c r="C652" s="601">
        <v>0</v>
      </c>
      <c r="D652" s="594" t="s">
        <v>1465</v>
      </c>
    </row>
    <row r="653" spans="1:4" ht="28.8" x14ac:dyDescent="0.3">
      <c r="A653" s="592" t="s">
        <v>1057</v>
      </c>
      <c r="B653" s="76" t="s">
        <v>1536</v>
      </c>
      <c r="C653" s="601">
        <v>0</v>
      </c>
      <c r="D653" s="594" t="s">
        <v>1465</v>
      </c>
    </row>
    <row r="654" spans="1:4" ht="28.8" x14ac:dyDescent="0.3">
      <c r="A654" s="592" t="s">
        <v>1519</v>
      </c>
      <c r="B654" s="76" t="s">
        <v>1536</v>
      </c>
      <c r="C654" s="601">
        <f>'SE8 purificazione acqua'!A35</f>
        <v>837.73164672913742</v>
      </c>
      <c r="D654" s="594" t="s">
        <v>1465</v>
      </c>
    </row>
    <row r="655" spans="1:4" ht="28.8" x14ac:dyDescent="0.3">
      <c r="A655" s="592" t="s">
        <v>1059</v>
      </c>
      <c r="B655" s="76" t="s">
        <v>1536</v>
      </c>
      <c r="C655" s="601">
        <v>0</v>
      </c>
      <c r="D655" s="594" t="s">
        <v>1465</v>
      </c>
    </row>
    <row r="656" spans="1:4" ht="28.8" x14ac:dyDescent="0.3">
      <c r="A656" s="5" t="s">
        <v>1056</v>
      </c>
      <c r="B656" s="76" t="s">
        <v>1536</v>
      </c>
      <c r="C656" s="601">
        <v>0</v>
      </c>
      <c r="D656" s="594" t="s">
        <v>1465</v>
      </c>
    </row>
    <row r="657" spans="1:4" ht="28.8" x14ac:dyDescent="0.3">
      <c r="A657" s="592" t="s">
        <v>1520</v>
      </c>
      <c r="B657" s="76" t="s">
        <v>1536</v>
      </c>
      <c r="C657" s="601">
        <v>0</v>
      </c>
      <c r="D657" s="594" t="s">
        <v>1465</v>
      </c>
    </row>
    <row r="658" spans="1:4" ht="28.8" x14ac:dyDescent="0.3">
      <c r="A658" s="592" t="s">
        <v>1053</v>
      </c>
      <c r="B658" s="76" t="s">
        <v>1536</v>
      </c>
      <c r="C658" s="601">
        <v>0</v>
      </c>
      <c r="D658" s="594" t="s">
        <v>1466</v>
      </c>
    </row>
    <row r="659" spans="1:4" ht="28.8" x14ac:dyDescent="0.3">
      <c r="A659" s="592" t="s">
        <v>1054</v>
      </c>
      <c r="B659" s="76" t="s">
        <v>1536</v>
      </c>
      <c r="C659" s="601">
        <v>0</v>
      </c>
      <c r="D659" s="594" t="s">
        <v>1466</v>
      </c>
    </row>
    <row r="660" spans="1:4" ht="28.8" x14ac:dyDescent="0.3">
      <c r="A660" s="592" t="s">
        <v>1055</v>
      </c>
      <c r="B660" s="76" t="s">
        <v>1536</v>
      </c>
      <c r="C660" s="601">
        <v>0</v>
      </c>
      <c r="D660" s="594" t="s">
        <v>1466</v>
      </c>
    </row>
    <row r="661" spans="1:4" ht="28.8" x14ac:dyDescent="0.3">
      <c r="A661" s="592" t="s">
        <v>1057</v>
      </c>
      <c r="B661" s="76" t="s">
        <v>1536</v>
      </c>
      <c r="C661" s="601">
        <v>0</v>
      </c>
      <c r="D661" s="594" t="s">
        <v>1466</v>
      </c>
    </row>
    <row r="662" spans="1:4" ht="28.8" x14ac:dyDescent="0.3">
      <c r="A662" s="592" t="s">
        <v>1519</v>
      </c>
      <c r="B662" s="76" t="s">
        <v>1536</v>
      </c>
      <c r="C662" s="601">
        <f>'SE8 purificazione acqua'!A35</f>
        <v>837.73164672913742</v>
      </c>
      <c r="D662" s="594" t="s">
        <v>1466</v>
      </c>
    </row>
    <row r="663" spans="1:4" ht="28.8" x14ac:dyDescent="0.3">
      <c r="A663" s="592" t="s">
        <v>1059</v>
      </c>
      <c r="B663" s="76" t="s">
        <v>1536</v>
      </c>
      <c r="C663" s="601">
        <v>0</v>
      </c>
      <c r="D663" s="594" t="s">
        <v>1466</v>
      </c>
    </row>
    <row r="664" spans="1:4" ht="28.8" x14ac:dyDescent="0.3">
      <c r="A664" s="5" t="s">
        <v>1056</v>
      </c>
      <c r="B664" s="76" t="s">
        <v>1536</v>
      </c>
      <c r="C664" s="601">
        <v>0</v>
      </c>
      <c r="D664" s="594" t="s">
        <v>1466</v>
      </c>
    </row>
    <row r="665" spans="1:4" ht="28.8" x14ac:dyDescent="0.3">
      <c r="A665" s="609" t="s">
        <v>1520</v>
      </c>
      <c r="B665" s="616" t="s">
        <v>1536</v>
      </c>
      <c r="C665" s="617">
        <v>0</v>
      </c>
      <c r="D665" s="610" t="s">
        <v>1466</v>
      </c>
    </row>
    <row r="666" spans="1:4" ht="28.8" x14ac:dyDescent="0.3">
      <c r="A666" s="592" t="s">
        <v>1053</v>
      </c>
      <c r="B666" s="616" t="s">
        <v>1536</v>
      </c>
      <c r="C666" s="487">
        <v>0</v>
      </c>
      <c r="D666" s="594" t="s">
        <v>1584</v>
      </c>
    </row>
    <row r="667" spans="1:4" ht="28.8" x14ac:dyDescent="0.3">
      <c r="A667" s="592" t="s">
        <v>1054</v>
      </c>
      <c r="B667" s="616" t="s">
        <v>1536</v>
      </c>
      <c r="C667" s="593">
        <v>0</v>
      </c>
      <c r="D667" s="594" t="s">
        <v>1584</v>
      </c>
    </row>
    <row r="668" spans="1:4" ht="28.8" x14ac:dyDescent="0.3">
      <c r="A668" s="592" t="s">
        <v>1055</v>
      </c>
      <c r="B668" s="616" t="s">
        <v>1536</v>
      </c>
      <c r="C668" s="595">
        <v>0</v>
      </c>
      <c r="D668" s="594" t="s">
        <v>1584</v>
      </c>
    </row>
    <row r="669" spans="1:4" ht="28.8" x14ac:dyDescent="0.3">
      <c r="A669" s="592" t="s">
        <v>1057</v>
      </c>
      <c r="B669" s="616" t="s">
        <v>1536</v>
      </c>
      <c r="C669" s="595"/>
      <c r="D669" s="594" t="s">
        <v>1584</v>
      </c>
    </row>
    <row r="670" spans="1:4" ht="28.8" x14ac:dyDescent="0.3">
      <c r="A670" s="592" t="s">
        <v>1519</v>
      </c>
      <c r="B670" s="616" t="s">
        <v>1536</v>
      </c>
      <c r="C670" s="601">
        <f>'SE8 purificazione acqua'!A35</f>
        <v>837.73164672913742</v>
      </c>
      <c r="D670" s="594" t="s">
        <v>1584</v>
      </c>
    </row>
    <row r="671" spans="1:4" ht="28.8" x14ac:dyDescent="0.3">
      <c r="A671" s="592" t="s">
        <v>1059</v>
      </c>
      <c r="B671" s="616" t="s">
        <v>1536</v>
      </c>
      <c r="C671" s="595">
        <v>0</v>
      </c>
      <c r="D671" s="594" t="s">
        <v>1584</v>
      </c>
    </row>
    <row r="672" spans="1:4" ht="28.8" x14ac:dyDescent="0.3">
      <c r="A672" s="5" t="s">
        <v>1056</v>
      </c>
      <c r="B672" s="616" t="s">
        <v>1536</v>
      </c>
      <c r="C672" s="595">
        <v>0</v>
      </c>
      <c r="D672" s="594" t="s">
        <v>1584</v>
      </c>
    </row>
    <row r="673" spans="1:7" ht="29.4" thickBot="1" x14ac:dyDescent="0.35">
      <c r="A673" s="596" t="s">
        <v>1520</v>
      </c>
      <c r="B673" s="616" t="s">
        <v>1536</v>
      </c>
      <c r="C673" s="597">
        <v>0</v>
      </c>
      <c r="D673" s="598" t="s">
        <v>1584</v>
      </c>
    </row>
    <row r="674" spans="1:7" ht="28.8" x14ac:dyDescent="0.3">
      <c r="A674" s="589" t="s">
        <v>1053</v>
      </c>
      <c r="B674" s="321" t="s">
        <v>1538</v>
      </c>
      <c r="C674" s="590">
        <f>'SE9 mitig erosione'!C27</f>
        <v>587.71336030326358</v>
      </c>
      <c r="D674" s="591" t="s">
        <v>498</v>
      </c>
      <c r="F674" t="s">
        <v>1979</v>
      </c>
    </row>
    <row r="675" spans="1:7" ht="28.8" x14ac:dyDescent="0.3">
      <c r="A675" s="592" t="s">
        <v>1054</v>
      </c>
      <c r="B675" s="76" t="s">
        <v>1538</v>
      </c>
      <c r="C675" s="593">
        <f>'SE9 mitig erosione'!E96</f>
        <v>329.9717636393828</v>
      </c>
      <c r="D675" s="594" t="s">
        <v>498</v>
      </c>
      <c r="F675" t="s">
        <v>1558</v>
      </c>
    </row>
    <row r="676" spans="1:7" ht="28.8" x14ac:dyDescent="0.3">
      <c r="A676" s="592" t="s">
        <v>1055</v>
      </c>
      <c r="B676" s="76" t="s">
        <v>1538</v>
      </c>
      <c r="C676" s="595">
        <f>'SE9 mitig erosione'!E27</f>
        <v>508.76407755422417</v>
      </c>
      <c r="D676" s="594" t="s">
        <v>498</v>
      </c>
      <c r="F676" s="64" t="s">
        <v>2021</v>
      </c>
      <c r="G676" s="64"/>
    </row>
    <row r="677" spans="1:7" ht="28.8" x14ac:dyDescent="0.3">
      <c r="A677" s="592" t="s">
        <v>1057</v>
      </c>
      <c r="B677" s="76" t="s">
        <v>1538</v>
      </c>
      <c r="C677" s="595">
        <f>'SE9 mitig erosione'!F27</f>
        <v>0</v>
      </c>
      <c r="D677" s="594" t="s">
        <v>498</v>
      </c>
    </row>
    <row r="678" spans="1:7" ht="28.8" x14ac:dyDescent="0.3">
      <c r="A678" s="592" t="s">
        <v>1519</v>
      </c>
      <c r="B678" s="76" t="s">
        <v>1538</v>
      </c>
      <c r="C678" s="595" t="e">
        <f>'SE9 mitig erosione'!#REF!</f>
        <v>#REF!</v>
      </c>
      <c r="D678" s="594" t="s">
        <v>498</v>
      </c>
    </row>
    <row r="679" spans="1:7" ht="28.8" x14ac:dyDescent="0.3">
      <c r="A679" s="592" t="s">
        <v>1059</v>
      </c>
      <c r="B679" s="76" t="s">
        <v>1538</v>
      </c>
      <c r="C679" s="595">
        <f>'SE9 mitig erosione'!G27</f>
        <v>490.59393192728754</v>
      </c>
      <c r="D679" s="594" t="s">
        <v>498</v>
      </c>
    </row>
    <row r="680" spans="1:7" ht="28.8" x14ac:dyDescent="0.3">
      <c r="A680" s="5" t="s">
        <v>1056</v>
      </c>
      <c r="B680" s="76" t="s">
        <v>1538</v>
      </c>
      <c r="C680" s="595">
        <f>'SE9 mitig erosione'!H27</f>
        <v>0</v>
      </c>
      <c r="D680" s="594" t="s">
        <v>498</v>
      </c>
    </row>
    <row r="681" spans="1:7" ht="28.8" x14ac:dyDescent="0.3">
      <c r="A681" s="592" t="s">
        <v>1520</v>
      </c>
      <c r="B681" s="76" t="s">
        <v>1538</v>
      </c>
      <c r="C681" s="595">
        <f>'SE9 mitig erosione'!J27</f>
        <v>0</v>
      </c>
      <c r="D681" s="594" t="s">
        <v>498</v>
      </c>
    </row>
    <row r="682" spans="1:7" ht="28.8" x14ac:dyDescent="0.3">
      <c r="A682" s="592" t="s">
        <v>1053</v>
      </c>
      <c r="B682" s="76" t="s">
        <v>1538</v>
      </c>
      <c r="C682" s="602">
        <f t="shared" ref="C682:C689" si="0">C674</f>
        <v>587.71336030326358</v>
      </c>
      <c r="D682" s="594" t="s">
        <v>1459</v>
      </c>
    </row>
    <row r="683" spans="1:7" ht="28.8" x14ac:dyDescent="0.3">
      <c r="A683" s="592" t="s">
        <v>1054</v>
      </c>
      <c r="B683" s="76" t="s">
        <v>1538</v>
      </c>
      <c r="C683" s="593">
        <f>'SE9 mitig erosione'!E87</f>
        <v>322.97602997481692</v>
      </c>
      <c r="D683" s="594" t="s">
        <v>1459</v>
      </c>
    </row>
    <row r="684" spans="1:7" ht="28.8" x14ac:dyDescent="0.3">
      <c r="A684" s="592" t="s">
        <v>1055</v>
      </c>
      <c r="B684" s="76" t="s">
        <v>1538</v>
      </c>
      <c r="C684" s="595">
        <f t="shared" si="0"/>
        <v>508.76407755422417</v>
      </c>
      <c r="D684" s="594" t="s">
        <v>1459</v>
      </c>
    </row>
    <row r="685" spans="1:7" ht="28.8" x14ac:dyDescent="0.3">
      <c r="A685" s="592" t="s">
        <v>1057</v>
      </c>
      <c r="B685" s="76" t="s">
        <v>1538</v>
      </c>
      <c r="C685" s="595">
        <f t="shared" si="0"/>
        <v>0</v>
      </c>
      <c r="D685" s="594" t="s">
        <v>1459</v>
      </c>
    </row>
    <row r="686" spans="1:7" ht="28.8" x14ac:dyDescent="0.3">
      <c r="A686" s="592" t="s">
        <v>1519</v>
      </c>
      <c r="B686" s="76" t="s">
        <v>1538</v>
      </c>
      <c r="C686" s="595" t="e">
        <f t="shared" si="0"/>
        <v>#REF!</v>
      </c>
      <c r="D686" s="594" t="s">
        <v>1459</v>
      </c>
    </row>
    <row r="687" spans="1:7" ht="28.8" x14ac:dyDescent="0.3">
      <c r="A687" s="592" t="s">
        <v>1059</v>
      </c>
      <c r="B687" s="76" t="s">
        <v>1538</v>
      </c>
      <c r="C687" s="595">
        <f t="shared" si="0"/>
        <v>490.59393192728754</v>
      </c>
      <c r="D687" s="594" t="s">
        <v>1459</v>
      </c>
    </row>
    <row r="688" spans="1:7" ht="28.8" x14ac:dyDescent="0.3">
      <c r="A688" s="5" t="s">
        <v>1056</v>
      </c>
      <c r="B688" s="76" t="s">
        <v>1538</v>
      </c>
      <c r="C688" s="595">
        <f t="shared" si="0"/>
        <v>0</v>
      </c>
      <c r="D688" s="594" t="s">
        <v>1459</v>
      </c>
    </row>
    <row r="689" spans="1:4" ht="28.8" x14ac:dyDescent="0.3">
      <c r="A689" s="592" t="s">
        <v>1520</v>
      </c>
      <c r="B689" s="76" t="s">
        <v>1538</v>
      </c>
      <c r="C689" s="595">
        <f t="shared" si="0"/>
        <v>0</v>
      </c>
      <c r="D689" s="594" t="s">
        <v>1459</v>
      </c>
    </row>
    <row r="690" spans="1:4" ht="28.8" x14ac:dyDescent="0.3">
      <c r="A690" s="592" t="s">
        <v>1053</v>
      </c>
      <c r="B690" s="76" t="s">
        <v>1538</v>
      </c>
      <c r="C690" s="487">
        <f t="shared" ref="C690:C697" si="1">C674</f>
        <v>587.71336030326358</v>
      </c>
      <c r="D690" s="594" t="s">
        <v>1464</v>
      </c>
    </row>
    <row r="691" spans="1:4" ht="28.8" x14ac:dyDescent="0.3">
      <c r="A691" s="592" t="s">
        <v>1054</v>
      </c>
      <c r="B691" s="76" t="s">
        <v>1538</v>
      </c>
      <c r="C691" s="593">
        <f>'SE9 mitig erosione'!E92</f>
        <v>405.57466515938393</v>
      </c>
      <c r="D691" s="594" t="s">
        <v>1464</v>
      </c>
    </row>
    <row r="692" spans="1:4" ht="28.8" x14ac:dyDescent="0.3">
      <c r="A692" s="592" t="s">
        <v>1055</v>
      </c>
      <c r="B692" s="76" t="s">
        <v>1538</v>
      </c>
      <c r="C692" s="595">
        <f t="shared" si="1"/>
        <v>508.76407755422417</v>
      </c>
      <c r="D692" s="594" t="s">
        <v>1464</v>
      </c>
    </row>
    <row r="693" spans="1:4" ht="28.8" x14ac:dyDescent="0.3">
      <c r="A693" s="592" t="s">
        <v>1057</v>
      </c>
      <c r="B693" s="76" t="s">
        <v>1538</v>
      </c>
      <c r="C693" s="595">
        <f t="shared" si="1"/>
        <v>0</v>
      </c>
      <c r="D693" s="594" t="s">
        <v>1464</v>
      </c>
    </row>
    <row r="694" spans="1:4" ht="28.8" x14ac:dyDescent="0.3">
      <c r="A694" s="592" t="s">
        <v>1519</v>
      </c>
      <c r="B694" s="76" t="s">
        <v>1538</v>
      </c>
      <c r="C694" s="595" t="e">
        <f t="shared" si="1"/>
        <v>#REF!</v>
      </c>
      <c r="D694" s="594" t="s">
        <v>1464</v>
      </c>
    </row>
    <row r="695" spans="1:4" ht="28.8" x14ac:dyDescent="0.3">
      <c r="A695" s="592" t="s">
        <v>1059</v>
      </c>
      <c r="B695" s="76" t="s">
        <v>1538</v>
      </c>
      <c r="C695" s="595">
        <f t="shared" si="1"/>
        <v>490.59393192728754</v>
      </c>
      <c r="D695" s="594" t="s">
        <v>1464</v>
      </c>
    </row>
    <row r="696" spans="1:4" ht="28.8" x14ac:dyDescent="0.3">
      <c r="A696" s="5" t="s">
        <v>1056</v>
      </c>
      <c r="B696" s="76" t="s">
        <v>1538</v>
      </c>
      <c r="C696" s="595">
        <f t="shared" si="1"/>
        <v>0</v>
      </c>
      <c r="D696" s="594" t="s">
        <v>1464</v>
      </c>
    </row>
    <row r="697" spans="1:4" ht="28.8" x14ac:dyDescent="0.3">
      <c r="A697" s="592" t="s">
        <v>1520</v>
      </c>
      <c r="B697" s="76" t="s">
        <v>1538</v>
      </c>
      <c r="C697" s="595">
        <f t="shared" si="1"/>
        <v>0</v>
      </c>
      <c r="D697" s="594" t="s">
        <v>1464</v>
      </c>
    </row>
    <row r="698" spans="1:4" ht="28.8" x14ac:dyDescent="0.3">
      <c r="A698" s="592" t="s">
        <v>1053</v>
      </c>
      <c r="B698" s="76" t="s">
        <v>1538</v>
      </c>
      <c r="C698" s="487">
        <f t="shared" ref="C698:C705" si="2">C674</f>
        <v>587.71336030326358</v>
      </c>
      <c r="D698" s="594" t="s">
        <v>1463</v>
      </c>
    </row>
    <row r="699" spans="1:4" ht="28.8" x14ac:dyDescent="0.3">
      <c r="A699" s="592" t="s">
        <v>1054</v>
      </c>
      <c r="B699" s="76" t="s">
        <v>1538</v>
      </c>
      <c r="C699" s="593">
        <f>'SE9 mitig erosione'!E93</f>
        <v>350.51097260717597</v>
      </c>
      <c r="D699" s="594" t="s">
        <v>1463</v>
      </c>
    </row>
    <row r="700" spans="1:4" ht="28.8" x14ac:dyDescent="0.3">
      <c r="A700" s="592" t="s">
        <v>1055</v>
      </c>
      <c r="B700" s="76" t="s">
        <v>1538</v>
      </c>
      <c r="C700" s="595">
        <f t="shared" si="2"/>
        <v>508.76407755422417</v>
      </c>
      <c r="D700" s="594" t="s">
        <v>1463</v>
      </c>
    </row>
    <row r="701" spans="1:4" ht="28.8" x14ac:dyDescent="0.3">
      <c r="A701" s="592" t="s">
        <v>1057</v>
      </c>
      <c r="B701" s="76" t="s">
        <v>1538</v>
      </c>
      <c r="C701" s="595">
        <f t="shared" si="2"/>
        <v>0</v>
      </c>
      <c r="D701" s="594" t="s">
        <v>1463</v>
      </c>
    </row>
    <row r="702" spans="1:4" ht="28.8" x14ac:dyDescent="0.3">
      <c r="A702" s="592" t="s">
        <v>1519</v>
      </c>
      <c r="B702" s="76" t="s">
        <v>1538</v>
      </c>
      <c r="C702" s="595" t="e">
        <f t="shared" si="2"/>
        <v>#REF!</v>
      </c>
      <c r="D702" s="594" t="s">
        <v>1463</v>
      </c>
    </row>
    <row r="703" spans="1:4" ht="28.8" x14ac:dyDescent="0.3">
      <c r="A703" s="592" t="s">
        <v>1059</v>
      </c>
      <c r="B703" s="76" t="s">
        <v>1538</v>
      </c>
      <c r="C703" s="595">
        <f t="shared" si="2"/>
        <v>490.59393192728754</v>
      </c>
      <c r="D703" s="594" t="s">
        <v>1463</v>
      </c>
    </row>
    <row r="704" spans="1:4" ht="28.8" x14ac:dyDescent="0.3">
      <c r="A704" s="5" t="s">
        <v>1056</v>
      </c>
      <c r="B704" s="76" t="s">
        <v>1538</v>
      </c>
      <c r="C704" s="595">
        <f t="shared" si="2"/>
        <v>0</v>
      </c>
      <c r="D704" s="594" t="s">
        <v>1463</v>
      </c>
    </row>
    <row r="705" spans="1:4" ht="28.8" x14ac:dyDescent="0.3">
      <c r="A705" s="592" t="s">
        <v>1520</v>
      </c>
      <c r="B705" s="76" t="s">
        <v>1538</v>
      </c>
      <c r="C705" s="595">
        <f t="shared" si="2"/>
        <v>0</v>
      </c>
      <c r="D705" s="594" t="s">
        <v>1463</v>
      </c>
    </row>
    <row r="706" spans="1:4" ht="28.8" x14ac:dyDescent="0.3">
      <c r="A706" s="592" t="s">
        <v>1053</v>
      </c>
      <c r="B706" s="76" t="s">
        <v>1538</v>
      </c>
      <c r="C706" s="487">
        <f t="shared" ref="C706:C713" si="3">C674</f>
        <v>587.71336030326358</v>
      </c>
      <c r="D706" s="594" t="s">
        <v>1468</v>
      </c>
    </row>
    <row r="707" spans="1:4" ht="28.8" x14ac:dyDescent="0.3">
      <c r="A707" s="592" t="s">
        <v>1054</v>
      </c>
      <c r="B707" s="76" t="s">
        <v>1538</v>
      </c>
      <c r="C707" s="593">
        <f>'SE9 mitig erosione'!E97</f>
        <v>481.67035042632432</v>
      </c>
      <c r="D707" s="594" t="s">
        <v>1468</v>
      </c>
    </row>
    <row r="708" spans="1:4" ht="28.8" x14ac:dyDescent="0.3">
      <c r="A708" s="592" t="s">
        <v>1055</v>
      </c>
      <c r="B708" s="76" t="s">
        <v>1538</v>
      </c>
      <c r="C708" s="595">
        <f t="shared" si="3"/>
        <v>508.76407755422417</v>
      </c>
      <c r="D708" s="594" t="s">
        <v>1468</v>
      </c>
    </row>
    <row r="709" spans="1:4" ht="28.8" x14ac:dyDescent="0.3">
      <c r="A709" s="592" t="s">
        <v>1057</v>
      </c>
      <c r="B709" s="76" t="s">
        <v>1538</v>
      </c>
      <c r="C709" s="595">
        <f t="shared" si="3"/>
        <v>0</v>
      </c>
      <c r="D709" s="594" t="s">
        <v>1468</v>
      </c>
    </row>
    <row r="710" spans="1:4" ht="28.8" x14ac:dyDescent="0.3">
      <c r="A710" s="592" t="s">
        <v>1519</v>
      </c>
      <c r="B710" s="76" t="s">
        <v>1538</v>
      </c>
      <c r="C710" s="595" t="e">
        <f t="shared" si="3"/>
        <v>#REF!</v>
      </c>
      <c r="D710" s="594" t="s">
        <v>1468</v>
      </c>
    </row>
    <row r="711" spans="1:4" ht="28.8" x14ac:dyDescent="0.3">
      <c r="A711" s="592" t="s">
        <v>1059</v>
      </c>
      <c r="B711" s="76" t="s">
        <v>1538</v>
      </c>
      <c r="C711" s="595">
        <f t="shared" si="3"/>
        <v>490.59393192728754</v>
      </c>
      <c r="D711" s="594" t="s">
        <v>1468</v>
      </c>
    </row>
    <row r="712" spans="1:4" ht="28.8" x14ac:dyDescent="0.3">
      <c r="A712" s="5" t="s">
        <v>1056</v>
      </c>
      <c r="B712" s="76" t="s">
        <v>1538</v>
      </c>
      <c r="C712" s="595">
        <f t="shared" si="3"/>
        <v>0</v>
      </c>
      <c r="D712" s="594" t="s">
        <v>1468</v>
      </c>
    </row>
    <row r="713" spans="1:4" ht="28.8" x14ac:dyDescent="0.3">
      <c r="A713" s="592" t="s">
        <v>1520</v>
      </c>
      <c r="B713" s="76" t="s">
        <v>1538</v>
      </c>
      <c r="C713" s="595">
        <f t="shared" si="3"/>
        <v>0</v>
      </c>
      <c r="D713" s="594" t="s">
        <v>1468</v>
      </c>
    </row>
    <row r="714" spans="1:4" ht="28.8" x14ac:dyDescent="0.3">
      <c r="A714" s="592" t="s">
        <v>1053</v>
      </c>
      <c r="B714" s="76" t="s">
        <v>1538</v>
      </c>
      <c r="C714" s="487">
        <f t="shared" ref="C714:C721" si="4">C674</f>
        <v>587.71336030326358</v>
      </c>
      <c r="D714" s="594" t="s">
        <v>1469</v>
      </c>
    </row>
    <row r="715" spans="1:4" ht="28.8" x14ac:dyDescent="0.3">
      <c r="A715" s="592" t="s">
        <v>1054</v>
      </c>
      <c r="B715" s="76" t="s">
        <v>1538</v>
      </c>
      <c r="C715" s="593">
        <f>'SE9 mitig erosione'!E95</f>
        <v>353.22080084725172</v>
      </c>
      <c r="D715" s="594" t="s">
        <v>1469</v>
      </c>
    </row>
    <row r="716" spans="1:4" ht="28.8" x14ac:dyDescent="0.3">
      <c r="A716" s="592" t="s">
        <v>1055</v>
      </c>
      <c r="B716" s="76" t="s">
        <v>1538</v>
      </c>
      <c r="C716" s="595">
        <f t="shared" si="4"/>
        <v>508.76407755422417</v>
      </c>
      <c r="D716" s="594" t="s">
        <v>1469</v>
      </c>
    </row>
    <row r="717" spans="1:4" ht="28.8" x14ac:dyDescent="0.3">
      <c r="A717" s="592" t="s">
        <v>1057</v>
      </c>
      <c r="B717" s="76" t="s">
        <v>1538</v>
      </c>
      <c r="C717" s="595">
        <f t="shared" si="4"/>
        <v>0</v>
      </c>
      <c r="D717" s="594" t="s">
        <v>1469</v>
      </c>
    </row>
    <row r="718" spans="1:4" ht="28.8" x14ac:dyDescent="0.3">
      <c r="A718" s="592" t="s">
        <v>1519</v>
      </c>
      <c r="B718" s="76" t="s">
        <v>1538</v>
      </c>
      <c r="C718" s="595" t="e">
        <f t="shared" si="4"/>
        <v>#REF!</v>
      </c>
      <c r="D718" s="594" t="s">
        <v>1469</v>
      </c>
    </row>
    <row r="719" spans="1:4" ht="28.8" x14ac:dyDescent="0.3">
      <c r="A719" s="592" t="s">
        <v>1059</v>
      </c>
      <c r="B719" s="76" t="s">
        <v>1538</v>
      </c>
      <c r="C719" s="595">
        <f t="shared" si="4"/>
        <v>490.59393192728754</v>
      </c>
      <c r="D719" s="594" t="s">
        <v>1469</v>
      </c>
    </row>
    <row r="720" spans="1:4" ht="28.8" x14ac:dyDescent="0.3">
      <c r="A720" s="5" t="s">
        <v>1056</v>
      </c>
      <c r="B720" s="76" t="s">
        <v>1538</v>
      </c>
      <c r="C720" s="595">
        <f t="shared" si="4"/>
        <v>0</v>
      </c>
      <c r="D720" s="594" t="s">
        <v>1469</v>
      </c>
    </row>
    <row r="721" spans="1:4" ht="28.8" x14ac:dyDescent="0.3">
      <c r="A721" s="592" t="s">
        <v>1520</v>
      </c>
      <c r="B721" s="76" t="s">
        <v>1538</v>
      </c>
      <c r="C721" s="595">
        <f t="shared" si="4"/>
        <v>0</v>
      </c>
      <c r="D721" s="594" t="s">
        <v>1469</v>
      </c>
    </row>
    <row r="722" spans="1:4" ht="28.8" x14ac:dyDescent="0.3">
      <c r="A722" s="592" t="s">
        <v>1053</v>
      </c>
      <c r="B722" s="76" t="s">
        <v>1538</v>
      </c>
      <c r="C722" s="487">
        <f t="shared" ref="C722:C729" si="5">C674</f>
        <v>587.71336030326358</v>
      </c>
      <c r="D722" s="594" t="s">
        <v>1460</v>
      </c>
    </row>
    <row r="723" spans="1:4" ht="28.8" x14ac:dyDescent="0.3">
      <c r="A723" s="592" t="s">
        <v>1054</v>
      </c>
      <c r="B723" s="76" t="s">
        <v>1538</v>
      </c>
      <c r="C723" s="593">
        <f>'SE9 mitig erosione'!E82</f>
        <v>409.45850980546351</v>
      </c>
      <c r="D723" s="594" t="s">
        <v>1460</v>
      </c>
    </row>
    <row r="724" spans="1:4" ht="28.8" x14ac:dyDescent="0.3">
      <c r="A724" s="592" t="s">
        <v>1055</v>
      </c>
      <c r="B724" s="76" t="s">
        <v>1538</v>
      </c>
      <c r="C724" s="595">
        <f t="shared" si="5"/>
        <v>508.76407755422417</v>
      </c>
      <c r="D724" s="594" t="s">
        <v>1460</v>
      </c>
    </row>
    <row r="725" spans="1:4" ht="28.8" x14ac:dyDescent="0.3">
      <c r="A725" s="592" t="s">
        <v>1057</v>
      </c>
      <c r="B725" s="76" t="s">
        <v>1538</v>
      </c>
      <c r="C725" s="595">
        <f t="shared" si="5"/>
        <v>0</v>
      </c>
      <c r="D725" s="594" t="s">
        <v>1460</v>
      </c>
    </row>
    <row r="726" spans="1:4" ht="28.8" x14ac:dyDescent="0.3">
      <c r="A726" s="592" t="s">
        <v>1519</v>
      </c>
      <c r="B726" s="76" t="s">
        <v>1538</v>
      </c>
      <c r="C726" s="595" t="e">
        <f t="shared" si="5"/>
        <v>#REF!</v>
      </c>
      <c r="D726" s="594" t="s">
        <v>1460</v>
      </c>
    </row>
    <row r="727" spans="1:4" ht="28.8" x14ac:dyDescent="0.3">
      <c r="A727" s="592" t="s">
        <v>1059</v>
      </c>
      <c r="B727" s="76" t="s">
        <v>1538</v>
      </c>
      <c r="C727" s="595">
        <f t="shared" si="5"/>
        <v>490.59393192728754</v>
      </c>
      <c r="D727" s="594" t="s">
        <v>1460</v>
      </c>
    </row>
    <row r="728" spans="1:4" ht="28.8" x14ac:dyDescent="0.3">
      <c r="A728" s="5" t="s">
        <v>1056</v>
      </c>
      <c r="B728" s="76" t="s">
        <v>1538</v>
      </c>
      <c r="C728" s="595">
        <f t="shared" si="5"/>
        <v>0</v>
      </c>
      <c r="D728" s="594" t="s">
        <v>1460</v>
      </c>
    </row>
    <row r="729" spans="1:4" ht="28.8" x14ac:dyDescent="0.3">
      <c r="A729" s="592" t="s">
        <v>1520</v>
      </c>
      <c r="B729" s="76" t="s">
        <v>1538</v>
      </c>
      <c r="C729" s="595">
        <f t="shared" si="5"/>
        <v>0</v>
      </c>
      <c r="D729" s="594" t="s">
        <v>1460</v>
      </c>
    </row>
    <row r="730" spans="1:4" ht="28.8" x14ac:dyDescent="0.3">
      <c r="A730" s="592" t="s">
        <v>1053</v>
      </c>
      <c r="B730" s="76" t="s">
        <v>1538</v>
      </c>
      <c r="C730" s="487">
        <f t="shared" ref="C730:C737" si="6">C674</f>
        <v>587.71336030326358</v>
      </c>
      <c r="D730" s="594" t="s">
        <v>1461</v>
      </c>
    </row>
    <row r="731" spans="1:4" ht="28.8" x14ac:dyDescent="0.3">
      <c r="A731" s="592" t="s">
        <v>1054</v>
      </c>
      <c r="B731" s="76" t="s">
        <v>1538</v>
      </c>
      <c r="C731" s="593">
        <f>'SE9 mitig erosione'!E84</f>
        <v>204.7666335772457</v>
      </c>
      <c r="D731" s="594" t="s">
        <v>1461</v>
      </c>
    </row>
    <row r="732" spans="1:4" ht="28.8" x14ac:dyDescent="0.3">
      <c r="A732" s="592" t="s">
        <v>1055</v>
      </c>
      <c r="B732" s="76" t="s">
        <v>1538</v>
      </c>
      <c r="C732" s="595">
        <f t="shared" si="6"/>
        <v>508.76407755422417</v>
      </c>
      <c r="D732" s="594" t="s">
        <v>1461</v>
      </c>
    </row>
    <row r="733" spans="1:4" ht="28.8" x14ac:dyDescent="0.3">
      <c r="A733" s="592" t="s">
        <v>1057</v>
      </c>
      <c r="B733" s="76" t="s">
        <v>1538</v>
      </c>
      <c r="C733" s="595">
        <f t="shared" si="6"/>
        <v>0</v>
      </c>
      <c r="D733" s="594" t="s">
        <v>1461</v>
      </c>
    </row>
    <row r="734" spans="1:4" ht="28.8" x14ac:dyDescent="0.3">
      <c r="A734" s="592" t="s">
        <v>1519</v>
      </c>
      <c r="B734" s="76" t="s">
        <v>1538</v>
      </c>
      <c r="C734" s="595" t="e">
        <f t="shared" si="6"/>
        <v>#REF!</v>
      </c>
      <c r="D734" s="594" t="s">
        <v>1461</v>
      </c>
    </row>
    <row r="735" spans="1:4" ht="28.8" x14ac:dyDescent="0.3">
      <c r="A735" s="592" t="s">
        <v>1059</v>
      </c>
      <c r="B735" s="76" t="s">
        <v>1538</v>
      </c>
      <c r="C735" s="595">
        <f t="shared" si="6"/>
        <v>490.59393192728754</v>
      </c>
      <c r="D735" s="594" t="s">
        <v>1461</v>
      </c>
    </row>
    <row r="736" spans="1:4" ht="28.8" x14ac:dyDescent="0.3">
      <c r="A736" s="5" t="s">
        <v>1056</v>
      </c>
      <c r="B736" s="76" t="s">
        <v>1538</v>
      </c>
      <c r="C736" s="595">
        <f t="shared" si="6"/>
        <v>0</v>
      </c>
      <c r="D736" s="594" t="s">
        <v>1461</v>
      </c>
    </row>
    <row r="737" spans="1:4" ht="28.8" x14ac:dyDescent="0.3">
      <c r="A737" s="592" t="s">
        <v>1520</v>
      </c>
      <c r="B737" s="76" t="s">
        <v>1538</v>
      </c>
      <c r="C737" s="595">
        <f t="shared" si="6"/>
        <v>0</v>
      </c>
      <c r="D737" s="594" t="s">
        <v>1461</v>
      </c>
    </row>
    <row r="738" spans="1:4" ht="28.8" x14ac:dyDescent="0.3">
      <c r="A738" s="592" t="s">
        <v>1053</v>
      </c>
      <c r="B738" s="76" t="s">
        <v>1538</v>
      </c>
      <c r="C738" s="487">
        <f t="shared" ref="C738:C745" si="7">C674</f>
        <v>587.71336030326358</v>
      </c>
      <c r="D738" s="594" t="s">
        <v>1467</v>
      </c>
    </row>
    <row r="739" spans="1:4" ht="28.8" x14ac:dyDescent="0.3">
      <c r="A739" s="592" t="s">
        <v>1054</v>
      </c>
      <c r="B739" s="76" t="s">
        <v>1538</v>
      </c>
      <c r="C739" s="593">
        <f>'SE9 mitig erosione'!E90</f>
        <v>247.21559332349875</v>
      </c>
      <c r="D739" s="594" t="s">
        <v>1467</v>
      </c>
    </row>
    <row r="740" spans="1:4" ht="28.8" x14ac:dyDescent="0.3">
      <c r="A740" s="592" t="s">
        <v>1055</v>
      </c>
      <c r="B740" s="76" t="s">
        <v>1538</v>
      </c>
      <c r="C740" s="595">
        <f t="shared" si="7"/>
        <v>508.76407755422417</v>
      </c>
      <c r="D740" s="594" t="s">
        <v>1467</v>
      </c>
    </row>
    <row r="741" spans="1:4" ht="28.8" x14ac:dyDescent="0.3">
      <c r="A741" s="592" t="s">
        <v>1057</v>
      </c>
      <c r="B741" s="76" t="s">
        <v>1538</v>
      </c>
      <c r="C741" s="595">
        <f t="shared" si="7"/>
        <v>0</v>
      </c>
      <c r="D741" s="594" t="s">
        <v>1467</v>
      </c>
    </row>
    <row r="742" spans="1:4" ht="28.8" x14ac:dyDescent="0.3">
      <c r="A742" s="592" t="s">
        <v>1519</v>
      </c>
      <c r="B742" s="76" t="s">
        <v>1538</v>
      </c>
      <c r="C742" s="595" t="e">
        <f t="shared" si="7"/>
        <v>#REF!</v>
      </c>
      <c r="D742" s="594" t="s">
        <v>1467</v>
      </c>
    </row>
    <row r="743" spans="1:4" ht="28.8" x14ac:dyDescent="0.3">
      <c r="A743" s="592" t="s">
        <v>1059</v>
      </c>
      <c r="B743" s="76" t="s">
        <v>1538</v>
      </c>
      <c r="C743" s="595">
        <f t="shared" si="7"/>
        <v>490.59393192728754</v>
      </c>
      <c r="D743" s="594" t="s">
        <v>1467</v>
      </c>
    </row>
    <row r="744" spans="1:4" ht="28.8" x14ac:dyDescent="0.3">
      <c r="A744" s="5" t="s">
        <v>1056</v>
      </c>
      <c r="B744" s="76" t="s">
        <v>1538</v>
      </c>
      <c r="C744" s="595">
        <f t="shared" si="7"/>
        <v>0</v>
      </c>
      <c r="D744" s="594" t="s">
        <v>1467</v>
      </c>
    </row>
    <row r="745" spans="1:4" ht="28.8" x14ac:dyDescent="0.3">
      <c r="A745" s="592" t="s">
        <v>1520</v>
      </c>
      <c r="B745" s="76" t="s">
        <v>1538</v>
      </c>
      <c r="C745" s="595">
        <f t="shared" si="7"/>
        <v>0</v>
      </c>
      <c r="D745" s="594" t="s">
        <v>1467</v>
      </c>
    </row>
    <row r="746" spans="1:4" ht="28.8" x14ac:dyDescent="0.3">
      <c r="A746" s="592" t="s">
        <v>1053</v>
      </c>
      <c r="B746" s="76" t="s">
        <v>1538</v>
      </c>
      <c r="C746" s="487">
        <f t="shared" ref="C746:C753" si="8">C674</f>
        <v>587.71336030326358</v>
      </c>
      <c r="D746" s="594" t="s">
        <v>1465</v>
      </c>
    </row>
    <row r="747" spans="1:4" ht="28.8" x14ac:dyDescent="0.3">
      <c r="A747" s="592" t="s">
        <v>1054</v>
      </c>
      <c r="B747" s="76" t="s">
        <v>1538</v>
      </c>
      <c r="C747" s="593">
        <f>'SE9 mitig erosione'!E91</f>
        <v>494.77400412771954</v>
      </c>
      <c r="D747" s="594" t="s">
        <v>1465</v>
      </c>
    </row>
    <row r="748" spans="1:4" ht="28.8" x14ac:dyDescent="0.3">
      <c r="A748" s="592" t="s">
        <v>1055</v>
      </c>
      <c r="B748" s="76" t="s">
        <v>1538</v>
      </c>
      <c r="C748" s="595">
        <f t="shared" si="8"/>
        <v>508.76407755422417</v>
      </c>
      <c r="D748" s="594" t="s">
        <v>1465</v>
      </c>
    </row>
    <row r="749" spans="1:4" ht="28.8" x14ac:dyDescent="0.3">
      <c r="A749" s="592" t="s">
        <v>1057</v>
      </c>
      <c r="B749" s="76" t="s">
        <v>1538</v>
      </c>
      <c r="C749" s="595">
        <f t="shared" si="8"/>
        <v>0</v>
      </c>
      <c r="D749" s="594" t="s">
        <v>1465</v>
      </c>
    </row>
    <row r="750" spans="1:4" ht="28.8" x14ac:dyDescent="0.3">
      <c r="A750" s="592" t="s">
        <v>1519</v>
      </c>
      <c r="B750" s="76" t="s">
        <v>1538</v>
      </c>
      <c r="C750" s="595" t="e">
        <f t="shared" si="8"/>
        <v>#REF!</v>
      </c>
      <c r="D750" s="594" t="s">
        <v>1465</v>
      </c>
    </row>
    <row r="751" spans="1:4" ht="28.8" x14ac:dyDescent="0.3">
      <c r="A751" s="592" t="s">
        <v>1059</v>
      </c>
      <c r="B751" s="76" t="s">
        <v>1538</v>
      </c>
      <c r="C751" s="595">
        <f t="shared" si="8"/>
        <v>490.59393192728754</v>
      </c>
      <c r="D751" s="594" t="s">
        <v>1465</v>
      </c>
    </row>
    <row r="752" spans="1:4" ht="28.8" x14ac:dyDescent="0.3">
      <c r="A752" s="5" t="s">
        <v>1056</v>
      </c>
      <c r="B752" s="76" t="s">
        <v>1538</v>
      </c>
      <c r="C752" s="595">
        <f t="shared" si="8"/>
        <v>0</v>
      </c>
      <c r="D752" s="594" t="s">
        <v>1465</v>
      </c>
    </row>
    <row r="753" spans="1:4" ht="28.8" x14ac:dyDescent="0.3">
      <c r="A753" s="592" t="s">
        <v>1520</v>
      </c>
      <c r="B753" s="76" t="s">
        <v>1538</v>
      </c>
      <c r="C753" s="595">
        <f t="shared" si="8"/>
        <v>0</v>
      </c>
      <c r="D753" s="594" t="s">
        <v>1465</v>
      </c>
    </row>
    <row r="754" spans="1:4" ht="28.8" x14ac:dyDescent="0.3">
      <c r="A754" s="592" t="s">
        <v>1053</v>
      </c>
      <c r="B754" s="76" t="s">
        <v>1538</v>
      </c>
      <c r="C754" s="487">
        <f t="shared" ref="C754:C761" si="9">C674</f>
        <v>587.71336030326358</v>
      </c>
      <c r="D754" s="594" t="s">
        <v>1466</v>
      </c>
    </row>
    <row r="755" spans="1:4" ht="28.8" x14ac:dyDescent="0.3">
      <c r="A755" s="592" t="s">
        <v>1054</v>
      </c>
      <c r="B755" s="76" t="s">
        <v>1538</v>
      </c>
      <c r="C755" s="593">
        <f>'SE9 mitig erosione'!E88</f>
        <v>349.39016051496253</v>
      </c>
      <c r="D755" s="594" t="s">
        <v>1466</v>
      </c>
    </row>
    <row r="756" spans="1:4" ht="28.8" x14ac:dyDescent="0.3">
      <c r="A756" s="592" t="s">
        <v>1055</v>
      </c>
      <c r="B756" s="76" t="s">
        <v>1538</v>
      </c>
      <c r="C756" s="595">
        <f t="shared" si="9"/>
        <v>508.76407755422417</v>
      </c>
      <c r="D756" s="594" t="s">
        <v>1466</v>
      </c>
    </row>
    <row r="757" spans="1:4" ht="28.8" x14ac:dyDescent="0.3">
      <c r="A757" s="592" t="s">
        <v>1057</v>
      </c>
      <c r="B757" s="76" t="s">
        <v>1538</v>
      </c>
      <c r="C757" s="595">
        <f t="shared" si="9"/>
        <v>0</v>
      </c>
      <c r="D757" s="594" t="s">
        <v>1466</v>
      </c>
    </row>
    <row r="758" spans="1:4" ht="28.8" x14ac:dyDescent="0.3">
      <c r="A758" s="592" t="s">
        <v>1519</v>
      </c>
      <c r="B758" s="76" t="s">
        <v>1538</v>
      </c>
      <c r="C758" s="595" t="e">
        <f t="shared" si="9"/>
        <v>#REF!</v>
      </c>
      <c r="D758" s="594" t="s">
        <v>1466</v>
      </c>
    </row>
    <row r="759" spans="1:4" ht="28.8" x14ac:dyDescent="0.3">
      <c r="A759" s="592" t="s">
        <v>1059</v>
      </c>
      <c r="B759" s="76" t="s">
        <v>1538</v>
      </c>
      <c r="C759" s="595">
        <f t="shared" si="9"/>
        <v>490.59393192728754</v>
      </c>
      <c r="D759" s="594" t="s">
        <v>1466</v>
      </c>
    </row>
    <row r="760" spans="1:4" ht="28.8" x14ac:dyDescent="0.3">
      <c r="A760" s="5" t="s">
        <v>1056</v>
      </c>
      <c r="B760" s="76" t="s">
        <v>1538</v>
      </c>
      <c r="C760" s="595">
        <f t="shared" si="9"/>
        <v>0</v>
      </c>
      <c r="D760" s="594" t="s">
        <v>1466</v>
      </c>
    </row>
    <row r="761" spans="1:4" ht="28.8" x14ac:dyDescent="0.3">
      <c r="A761" s="609" t="s">
        <v>1520</v>
      </c>
      <c r="B761" s="616" t="s">
        <v>1538</v>
      </c>
      <c r="C761" s="606">
        <f t="shared" si="9"/>
        <v>0</v>
      </c>
      <c r="D761" s="610" t="s">
        <v>1466</v>
      </c>
    </row>
    <row r="762" spans="1:4" ht="28.8" x14ac:dyDescent="0.3">
      <c r="A762" s="592" t="s">
        <v>1053</v>
      </c>
      <c r="B762" s="616" t="s">
        <v>1538</v>
      </c>
      <c r="C762" s="487">
        <f>C674</f>
        <v>587.71336030326358</v>
      </c>
      <c r="D762" s="594" t="s">
        <v>1584</v>
      </c>
    </row>
    <row r="763" spans="1:4" ht="28.8" x14ac:dyDescent="0.3">
      <c r="A763" s="592" t="s">
        <v>1054</v>
      </c>
      <c r="B763" s="616" t="s">
        <v>1538</v>
      </c>
      <c r="C763" s="593">
        <f>'SE9 mitig erosione'!E80</f>
        <v>360.30922396848797</v>
      </c>
      <c r="D763" s="594" t="s">
        <v>1584</v>
      </c>
    </row>
    <row r="764" spans="1:4" ht="28.8" x14ac:dyDescent="0.3">
      <c r="A764" s="592" t="s">
        <v>1055</v>
      </c>
      <c r="B764" s="616" t="s">
        <v>1538</v>
      </c>
      <c r="C764" s="595">
        <f>C676</f>
        <v>508.76407755422417</v>
      </c>
      <c r="D764" s="594" t="s">
        <v>1584</v>
      </c>
    </row>
    <row r="765" spans="1:4" ht="28.8" x14ac:dyDescent="0.3">
      <c r="A765" s="592" t="s">
        <v>1057</v>
      </c>
      <c r="B765" s="616" t="s">
        <v>1538</v>
      </c>
      <c r="C765" s="595">
        <v>0</v>
      </c>
      <c r="D765" s="594" t="s">
        <v>1584</v>
      </c>
    </row>
    <row r="766" spans="1:4" ht="28.8" x14ac:dyDescent="0.3">
      <c r="A766" s="592" t="s">
        <v>1519</v>
      </c>
      <c r="B766" s="616" t="s">
        <v>1538</v>
      </c>
      <c r="C766" s="595">
        <v>0</v>
      </c>
      <c r="D766" s="594" t="s">
        <v>1584</v>
      </c>
    </row>
    <row r="767" spans="1:4" ht="28.8" x14ac:dyDescent="0.3">
      <c r="A767" s="592" t="s">
        <v>1059</v>
      </c>
      <c r="B767" s="616" t="s">
        <v>1538</v>
      </c>
      <c r="C767" s="595">
        <f>C679</f>
        <v>490.59393192728754</v>
      </c>
      <c r="D767" s="594" t="s">
        <v>1584</v>
      </c>
    </row>
    <row r="768" spans="1:4" ht="28.8" x14ac:dyDescent="0.3">
      <c r="A768" s="5" t="s">
        <v>1056</v>
      </c>
      <c r="B768" s="616" t="s">
        <v>1538</v>
      </c>
      <c r="C768" s="595">
        <f>C680</f>
        <v>0</v>
      </c>
      <c r="D768" s="594" t="s">
        <v>1584</v>
      </c>
    </row>
    <row r="769" spans="1:4" ht="29.4" thickBot="1" x14ac:dyDescent="0.35">
      <c r="A769" s="596" t="s">
        <v>1520</v>
      </c>
      <c r="B769" s="618" t="s">
        <v>1538</v>
      </c>
      <c r="C769" s="597">
        <f>C681</f>
        <v>0</v>
      </c>
      <c r="D769" s="598" t="s">
        <v>1584</v>
      </c>
    </row>
  </sheetData>
  <hyperlinks>
    <hyperlink ref="J101" r:id="rId1" xr:uid="{84AA043E-7CD3-4402-BC46-7F38A8D2EF07}"/>
  </hyperlinks>
  <pageMargins left="0.7" right="0.7" top="0.75" bottom="0.75" header="0.3" footer="0.3"/>
  <pageSetup paperSize="9" orientation="portrait" horizontalDpi="300" verticalDpi="3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9D805-0A76-4B5E-892C-C0EC5F9F60D4}">
  <sheetPr>
    <tabColor rgb="FF00B050"/>
  </sheetPr>
  <dimension ref="A1:B26"/>
  <sheetViews>
    <sheetView topLeftCell="A4" workbookViewId="0">
      <selection activeCell="A17" sqref="A17"/>
    </sheetView>
  </sheetViews>
  <sheetFormatPr defaultRowHeight="14.4" x14ac:dyDescent="0.3"/>
  <cols>
    <col min="1" max="1" width="43.5546875" customWidth="1"/>
    <col min="2" max="2" width="34.33203125" style="481" customWidth="1"/>
  </cols>
  <sheetData>
    <row r="1" spans="1:2" s="19" customFormat="1" x14ac:dyDescent="0.3">
      <c r="A1" s="32" t="s">
        <v>493</v>
      </c>
      <c r="B1" s="86" t="s">
        <v>1052</v>
      </c>
    </row>
    <row r="2" spans="1:2" ht="28.8" x14ac:dyDescent="0.3">
      <c r="A2" s="482" t="s">
        <v>500</v>
      </c>
      <c r="B2" s="482" t="s">
        <v>1053</v>
      </c>
    </row>
    <row r="3" spans="1:2" x14ac:dyDescent="0.3">
      <c r="A3" s="482" t="s">
        <v>506</v>
      </c>
      <c r="B3" s="482" t="s">
        <v>1053</v>
      </c>
    </row>
    <row r="4" spans="1:2" x14ac:dyDescent="0.3">
      <c r="A4" s="482" t="s">
        <v>511</v>
      </c>
      <c r="B4" s="482" t="s">
        <v>1054</v>
      </c>
    </row>
    <row r="5" spans="1:2" x14ac:dyDescent="0.3">
      <c r="A5" s="482" t="s">
        <v>506</v>
      </c>
      <c r="B5" s="482" t="s">
        <v>1053</v>
      </c>
    </row>
    <row r="6" spans="1:2" ht="28.8" x14ac:dyDescent="0.3">
      <c r="A6" s="482" t="s">
        <v>524</v>
      </c>
      <c r="B6" s="482" t="s">
        <v>1054</v>
      </c>
    </row>
    <row r="7" spans="1:2" x14ac:dyDescent="0.3">
      <c r="A7" s="482" t="s">
        <v>528</v>
      </c>
      <c r="B7" s="482" t="s">
        <v>1054</v>
      </c>
    </row>
    <row r="8" spans="1:2" x14ac:dyDescent="0.3">
      <c r="A8" s="482" t="s">
        <v>511</v>
      </c>
      <c r="B8" s="482" t="s">
        <v>1054</v>
      </c>
    </row>
    <row r="9" spans="1:2" x14ac:dyDescent="0.3">
      <c r="A9" s="482" t="s">
        <v>557</v>
      </c>
      <c r="B9" s="482" t="s">
        <v>1055</v>
      </c>
    </row>
    <row r="10" spans="1:2" x14ac:dyDescent="0.3">
      <c r="A10" s="482" t="s">
        <v>563</v>
      </c>
      <c r="B10" s="482" t="s">
        <v>1053</v>
      </c>
    </row>
    <row r="11" spans="1:2" ht="27.75" customHeight="1" x14ac:dyDescent="0.3">
      <c r="A11" s="482" t="s">
        <v>568</v>
      </c>
      <c r="B11" s="482" t="s">
        <v>1054</v>
      </c>
    </row>
    <row r="12" spans="1:2" x14ac:dyDescent="0.3">
      <c r="A12" s="482" t="s">
        <v>575</v>
      </c>
      <c r="B12" s="482" t="s">
        <v>1054</v>
      </c>
    </row>
    <row r="13" spans="1:2" x14ac:dyDescent="0.3">
      <c r="A13" s="482" t="s">
        <v>563</v>
      </c>
      <c r="B13" s="482" t="s">
        <v>1053</v>
      </c>
    </row>
    <row r="14" spans="1:2" x14ac:dyDescent="0.3">
      <c r="A14" s="482" t="s">
        <v>598</v>
      </c>
      <c r="B14" s="482" t="s">
        <v>1056</v>
      </c>
    </row>
    <row r="15" spans="1:2" x14ac:dyDescent="0.3">
      <c r="A15" s="482" t="s">
        <v>641</v>
      </c>
      <c r="B15" s="482" t="s">
        <v>1057</v>
      </c>
    </row>
    <row r="16" spans="1:2" x14ac:dyDescent="0.3">
      <c r="A16" s="482" t="s">
        <v>557</v>
      </c>
      <c r="B16" s="482" t="s">
        <v>1055</v>
      </c>
    </row>
    <row r="17" spans="1:2" x14ac:dyDescent="0.3">
      <c r="A17" s="912" t="s">
        <v>670</v>
      </c>
      <c r="B17" s="912" t="s">
        <v>1055</v>
      </c>
    </row>
    <row r="18" spans="1:2" x14ac:dyDescent="0.3">
      <c r="A18" s="482" t="s">
        <v>680</v>
      </c>
      <c r="B18" s="482" t="s">
        <v>1054</v>
      </c>
    </row>
    <row r="19" spans="1:2" x14ac:dyDescent="0.3">
      <c r="A19" s="482" t="s">
        <v>506</v>
      </c>
      <c r="B19" s="482" t="s">
        <v>1053</v>
      </c>
    </row>
    <row r="20" spans="1:2" ht="28.8" x14ac:dyDescent="0.3">
      <c r="A20" s="482" t="s">
        <v>735</v>
      </c>
      <c r="B20" s="482" t="s">
        <v>1057</v>
      </c>
    </row>
    <row r="21" spans="1:2" x14ac:dyDescent="0.3">
      <c r="A21" s="482" t="s">
        <v>867</v>
      </c>
      <c r="B21" s="482" t="s">
        <v>1053</v>
      </c>
    </row>
    <row r="22" spans="1:2" x14ac:dyDescent="0.3">
      <c r="A22" s="482" t="s">
        <v>563</v>
      </c>
      <c r="B22" s="482" t="s">
        <v>1053</v>
      </c>
    </row>
    <row r="23" spans="1:2" x14ac:dyDescent="0.3">
      <c r="A23" s="912" t="s">
        <v>945</v>
      </c>
      <c r="B23" s="912" t="s">
        <v>1057</v>
      </c>
    </row>
    <row r="24" spans="1:2" ht="30" customHeight="1" x14ac:dyDescent="0.3">
      <c r="A24" s="482" t="s">
        <v>953</v>
      </c>
      <c r="B24" s="482" t="s">
        <v>1058</v>
      </c>
    </row>
    <row r="25" spans="1:2" x14ac:dyDescent="0.3">
      <c r="A25" s="482" t="s">
        <v>983</v>
      </c>
      <c r="B25" s="482" t="s">
        <v>1059</v>
      </c>
    </row>
    <row r="26" spans="1:2" x14ac:dyDescent="0.3">
      <c r="A26" s="482" t="s">
        <v>867</v>
      </c>
      <c r="B26" s="482" t="s">
        <v>1053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959E-9A23-48F3-AAD5-01D7334C841C}">
  <dimension ref="A1:I47"/>
  <sheetViews>
    <sheetView workbookViewId="0">
      <selection activeCell="H12" sqref="H12"/>
    </sheetView>
  </sheetViews>
  <sheetFormatPr defaultColWidth="8.88671875" defaultRowHeight="14.4" x14ac:dyDescent="0.3"/>
  <cols>
    <col min="1" max="1" width="13.88671875" style="91" customWidth="1"/>
    <col min="2" max="2" width="25.6640625" style="91" customWidth="1"/>
    <col min="3" max="3" width="34.33203125" style="91" customWidth="1"/>
    <col min="4" max="4" width="18" style="91" customWidth="1"/>
    <col min="5" max="5" width="8.88671875" style="91"/>
    <col min="6" max="6" width="31.6640625" style="91" customWidth="1"/>
    <col min="7" max="7" width="14" style="91" bestFit="1" customWidth="1"/>
    <col min="8" max="8" width="10.33203125" style="91" bestFit="1" customWidth="1"/>
    <col min="9" max="16384" width="8.88671875" style="91"/>
  </cols>
  <sheetData>
    <row r="1" spans="1:9" ht="31.2" x14ac:dyDescent="0.3">
      <c r="A1" s="913" t="s">
        <v>2160</v>
      </c>
    </row>
    <row r="2" spans="1:9" ht="15" thickBot="1" x14ac:dyDescent="0.35">
      <c r="A2" s="91" t="s">
        <v>2161</v>
      </c>
    </row>
    <row r="3" spans="1:9" ht="28.8" x14ac:dyDescent="0.3">
      <c r="A3" s="914" t="s">
        <v>2162</v>
      </c>
      <c r="B3" s="915" t="s">
        <v>2163</v>
      </c>
      <c r="C3" s="915" t="s">
        <v>2164</v>
      </c>
      <c r="D3" s="916" t="s">
        <v>2165</v>
      </c>
      <c r="F3" s="137" t="s">
        <v>2166</v>
      </c>
      <c r="G3" s="137" t="s">
        <v>136</v>
      </c>
      <c r="H3" s="137" t="s">
        <v>138</v>
      </c>
      <c r="I3" s="560" t="s">
        <v>2167</v>
      </c>
    </row>
    <row r="4" spans="1:9" ht="14.25" customHeight="1" x14ac:dyDescent="0.3">
      <c r="A4" s="1173" t="s">
        <v>2168</v>
      </c>
      <c r="B4" s="1174" t="s">
        <v>2169</v>
      </c>
      <c r="C4" s="917" t="s">
        <v>2170</v>
      </c>
      <c r="D4" s="1175" t="s">
        <v>1057</v>
      </c>
      <c r="E4" s="954">
        <v>1</v>
      </c>
      <c r="F4" s="954" t="s">
        <v>1480</v>
      </c>
      <c r="G4" s="955">
        <v>1679832.1475520656</v>
      </c>
      <c r="H4" s="956">
        <v>16798.321475520657</v>
      </c>
      <c r="I4" s="957">
        <v>5.4808577551503569E-2</v>
      </c>
    </row>
    <row r="5" spans="1:9" ht="14.25" customHeight="1" x14ac:dyDescent="0.3">
      <c r="A5" s="1173"/>
      <c r="B5" s="1174"/>
      <c r="C5" s="917" t="s">
        <v>2171</v>
      </c>
      <c r="D5" s="1175"/>
      <c r="E5" s="954">
        <v>2</v>
      </c>
      <c r="F5" s="954" t="s">
        <v>1478</v>
      </c>
      <c r="G5" s="955">
        <v>15340911.538337827</v>
      </c>
      <c r="H5" s="956">
        <v>153409.11538337826</v>
      </c>
      <c r="I5" s="957">
        <v>0.50053425932169449</v>
      </c>
    </row>
    <row r="6" spans="1:9" ht="14.25" customHeight="1" x14ac:dyDescent="0.3">
      <c r="A6" s="1173"/>
      <c r="B6" s="1174" t="s">
        <v>2172</v>
      </c>
      <c r="C6" s="917" t="s">
        <v>2173</v>
      </c>
      <c r="D6" s="1175"/>
      <c r="E6" s="954">
        <v>3</v>
      </c>
      <c r="F6" s="954" t="s">
        <v>1479</v>
      </c>
      <c r="G6" s="955">
        <v>1224189.3885476366</v>
      </c>
      <c r="H6" s="956">
        <v>12241.893885476366</v>
      </c>
      <c r="I6" s="957">
        <v>3.9942132990916139E-2</v>
      </c>
    </row>
    <row r="7" spans="1:9" ht="14.25" customHeight="1" x14ac:dyDescent="0.3">
      <c r="A7" s="1173"/>
      <c r="B7" s="1174"/>
      <c r="C7" s="917" t="s">
        <v>2174</v>
      </c>
      <c r="D7" s="1175"/>
      <c r="E7" s="954">
        <v>4</v>
      </c>
      <c r="F7" s="954" t="s">
        <v>2175</v>
      </c>
      <c r="G7" s="955">
        <v>9122514.7205924671</v>
      </c>
      <c r="H7" s="956">
        <v>91225.147205924673</v>
      </c>
      <c r="I7" s="957">
        <v>0.2976440570308993</v>
      </c>
    </row>
    <row r="8" spans="1:9" ht="14.25" customHeight="1" x14ac:dyDescent="0.3">
      <c r="A8" s="1173"/>
      <c r="B8" s="1174"/>
      <c r="C8" s="917" t="s">
        <v>2176</v>
      </c>
      <c r="D8" s="1175"/>
      <c r="E8" s="954">
        <v>5</v>
      </c>
      <c r="F8" s="954" t="s">
        <v>2177</v>
      </c>
      <c r="G8" s="955">
        <v>1186347.866064837</v>
      </c>
      <c r="H8" s="956">
        <v>11863.47866064837</v>
      </c>
      <c r="I8" s="957">
        <v>3.8707462001503372E-2</v>
      </c>
    </row>
    <row r="9" spans="1:9" ht="14.25" customHeight="1" x14ac:dyDescent="0.3">
      <c r="A9" s="1173"/>
      <c r="B9" s="1174"/>
      <c r="C9" s="917" t="s">
        <v>2178</v>
      </c>
      <c r="D9" s="1175"/>
      <c r="E9" s="954">
        <v>6</v>
      </c>
      <c r="F9" s="954" t="s">
        <v>2179</v>
      </c>
      <c r="G9" s="955">
        <v>1701462.3430516238</v>
      </c>
      <c r="H9" s="956">
        <v>17014.623430516236</v>
      </c>
      <c r="I9" s="957">
        <v>5.551431487723537E-2</v>
      </c>
    </row>
    <row r="10" spans="1:9" ht="14.25" customHeight="1" x14ac:dyDescent="0.3">
      <c r="A10" s="1173"/>
      <c r="B10" s="1174" t="s">
        <v>2180</v>
      </c>
      <c r="C10" s="917" t="s">
        <v>2181</v>
      </c>
      <c r="D10" s="1175"/>
      <c r="E10" s="954">
        <v>7</v>
      </c>
      <c r="F10" s="954" t="s">
        <v>2182</v>
      </c>
      <c r="G10" s="955">
        <v>19460.683751206601</v>
      </c>
      <c r="H10" s="956">
        <v>194.60683751206602</v>
      </c>
      <c r="I10" s="957">
        <v>6.3495176951912282E-4</v>
      </c>
    </row>
    <row r="11" spans="1:9" ht="14.25" customHeight="1" x14ac:dyDescent="0.3">
      <c r="A11" s="1173"/>
      <c r="B11" s="1174"/>
      <c r="C11" s="917" t="s">
        <v>2183</v>
      </c>
      <c r="D11" s="1175"/>
      <c r="E11" s="954">
        <v>8</v>
      </c>
      <c r="F11" s="954" t="s">
        <v>2184</v>
      </c>
      <c r="G11" s="955">
        <v>149859.244969794</v>
      </c>
      <c r="H11" s="956">
        <v>1498.5924496979401</v>
      </c>
      <c r="I11" s="957">
        <v>4.8895195044968915E-3</v>
      </c>
    </row>
    <row r="12" spans="1:9" ht="14.25" customHeight="1" x14ac:dyDescent="0.3">
      <c r="A12" s="1173"/>
      <c r="B12" s="1174"/>
      <c r="C12" s="917" t="s">
        <v>2185</v>
      </c>
      <c r="D12" s="1175"/>
      <c r="E12" s="954">
        <v>9</v>
      </c>
      <c r="F12" s="954" t="s">
        <v>2186</v>
      </c>
      <c r="G12" s="955">
        <v>224496.03686892425</v>
      </c>
      <c r="H12" s="956">
        <v>2244.9603686892424</v>
      </c>
      <c r="I12" s="957">
        <v>7.3247249522317356E-3</v>
      </c>
    </row>
    <row r="13" spans="1:9" ht="14.25" customHeight="1" x14ac:dyDescent="0.3">
      <c r="A13" s="1173"/>
      <c r="B13" s="1174" t="s">
        <v>2187</v>
      </c>
      <c r="C13" s="920" t="s">
        <v>2188</v>
      </c>
      <c r="D13" s="1175"/>
      <c r="E13" s="91">
        <v>10</v>
      </c>
      <c r="F13" s="91" t="s">
        <v>2189</v>
      </c>
      <c r="G13" s="918">
        <v>15720664.181258999</v>
      </c>
      <c r="H13" s="136">
        <v>157206.64181258998</v>
      </c>
      <c r="I13" s="919"/>
    </row>
    <row r="14" spans="1:9" ht="14.25" customHeight="1" x14ac:dyDescent="0.3">
      <c r="A14" s="1173"/>
      <c r="B14" s="1174"/>
      <c r="C14" s="920" t="s">
        <v>2190</v>
      </c>
      <c r="D14" s="1175"/>
      <c r="F14" s="137" t="s">
        <v>137</v>
      </c>
      <c r="G14" s="921">
        <v>46369738.150995374</v>
      </c>
      <c r="H14" s="564">
        <v>463697.38150995376</v>
      </c>
      <c r="I14" s="919"/>
    </row>
    <row r="15" spans="1:9" ht="14.25" customHeight="1" x14ac:dyDescent="0.3">
      <c r="A15" s="1173" t="s">
        <v>2191</v>
      </c>
      <c r="B15" s="1174" t="s">
        <v>2192</v>
      </c>
      <c r="C15" s="917" t="s">
        <v>2193</v>
      </c>
      <c r="D15" s="1183" t="s">
        <v>1054</v>
      </c>
      <c r="F15" s="958" t="s">
        <v>2194</v>
      </c>
      <c r="G15" s="959">
        <v>30649073.969736379</v>
      </c>
      <c r="H15" s="960">
        <v>306490.73969736381</v>
      </c>
      <c r="I15" s="919">
        <v>1</v>
      </c>
    </row>
    <row r="16" spans="1:9" ht="14.25" customHeight="1" x14ac:dyDescent="0.3">
      <c r="A16" s="1173"/>
      <c r="B16" s="1174"/>
      <c r="C16" s="917" t="s">
        <v>2195</v>
      </c>
      <c r="D16" s="1183"/>
      <c r="F16" s="961" t="s">
        <v>2313</v>
      </c>
    </row>
    <row r="17" spans="1:9" ht="14.25" customHeight="1" x14ac:dyDescent="0.3">
      <c r="A17" s="1173"/>
      <c r="B17" s="1174"/>
      <c r="C17" s="917" t="s">
        <v>2196</v>
      </c>
      <c r="D17" s="1183"/>
      <c r="F17" s="91" t="s">
        <v>2250</v>
      </c>
      <c r="H17" s="558">
        <v>10627.862798086095</v>
      </c>
      <c r="I17" s="938">
        <v>3.4675967073524952E-2</v>
      </c>
    </row>
    <row r="18" spans="1:9" ht="14.25" customHeight="1" x14ac:dyDescent="0.3">
      <c r="A18" s="1173"/>
      <c r="B18" s="1174" t="s">
        <v>2197</v>
      </c>
      <c r="C18" s="917" t="s">
        <v>2198</v>
      </c>
      <c r="D18" s="1183"/>
      <c r="F18" s="91" t="s">
        <v>2251</v>
      </c>
      <c r="H18" s="558">
        <v>6386.7606324302114</v>
      </c>
      <c r="I18" s="938">
        <v>2.0838347803710643E-2</v>
      </c>
    </row>
    <row r="19" spans="1:9" ht="14.25" customHeight="1" x14ac:dyDescent="0.3">
      <c r="A19" s="1173"/>
      <c r="B19" s="1174"/>
      <c r="C19" s="917" t="s">
        <v>2199</v>
      </c>
      <c r="D19" s="1183"/>
      <c r="F19" s="91" t="s">
        <v>12</v>
      </c>
      <c r="H19" s="558">
        <v>17014.623430516305</v>
      </c>
      <c r="I19" s="938">
        <v>5.5514314877235599E-2</v>
      </c>
    </row>
    <row r="20" spans="1:9" ht="14.25" customHeight="1" x14ac:dyDescent="0.3">
      <c r="A20" s="1173"/>
      <c r="B20" s="1174"/>
      <c r="C20" s="917" t="s">
        <v>2200</v>
      </c>
      <c r="D20" s="1183"/>
      <c r="F20" s="91" t="s">
        <v>2350</v>
      </c>
      <c r="G20" s="558">
        <v>11521.7</v>
      </c>
      <c r="H20" s="563">
        <f>G20/100</f>
        <v>115.21700000000001</v>
      </c>
    </row>
    <row r="21" spans="1:9" ht="14.25" customHeight="1" x14ac:dyDescent="0.3">
      <c r="A21" s="1173"/>
      <c r="B21" s="917" t="s">
        <v>2201</v>
      </c>
      <c r="C21" s="922" t="s">
        <v>2202</v>
      </c>
      <c r="D21" s="923" t="s">
        <v>1055</v>
      </c>
      <c r="F21" s="91" t="s">
        <v>2351</v>
      </c>
      <c r="G21" s="136">
        <f>G4-G20</f>
        <v>1668310.4475520656</v>
      </c>
      <c r="H21" s="1041">
        <f>G21/100</f>
        <v>16683.104475520657</v>
      </c>
    </row>
    <row r="22" spans="1:9" ht="14.25" customHeight="1" x14ac:dyDescent="0.3">
      <c r="A22" s="1173"/>
      <c r="B22" s="1174" t="s">
        <v>2203</v>
      </c>
      <c r="C22" s="917" t="s">
        <v>2204</v>
      </c>
      <c r="D22" s="1183" t="s">
        <v>1054</v>
      </c>
    </row>
    <row r="23" spans="1:9" ht="14.25" customHeight="1" x14ac:dyDescent="0.3">
      <c r="A23" s="1173"/>
      <c r="B23" s="1174"/>
      <c r="C23" s="917" t="s">
        <v>2205</v>
      </c>
      <c r="D23" s="1183"/>
    </row>
    <row r="24" spans="1:9" ht="14.25" customHeight="1" x14ac:dyDescent="0.3">
      <c r="A24" s="1173"/>
      <c r="B24" s="1174"/>
      <c r="C24" s="917" t="s">
        <v>2206</v>
      </c>
      <c r="D24" s="1183"/>
    </row>
    <row r="25" spans="1:9" ht="14.25" customHeight="1" x14ac:dyDescent="0.3">
      <c r="A25" s="1173"/>
      <c r="B25" s="1174"/>
      <c r="C25" s="917" t="s">
        <v>2207</v>
      </c>
      <c r="D25" s="1183"/>
    </row>
    <row r="26" spans="1:9" ht="14.25" customHeight="1" x14ac:dyDescent="0.3">
      <c r="A26" s="1173" t="s">
        <v>2208</v>
      </c>
      <c r="B26" s="1179" t="s">
        <v>2209</v>
      </c>
      <c r="C26" s="917" t="s">
        <v>2210</v>
      </c>
      <c r="D26" s="1182" t="s">
        <v>1053</v>
      </c>
    </row>
    <row r="27" spans="1:9" ht="14.25" customHeight="1" x14ac:dyDescent="0.3">
      <c r="A27" s="1173"/>
      <c r="B27" s="1180"/>
      <c r="C27" s="917" t="s">
        <v>2211</v>
      </c>
      <c r="D27" s="1182"/>
    </row>
    <row r="28" spans="1:9" ht="14.25" customHeight="1" x14ac:dyDescent="0.3">
      <c r="A28" s="1173"/>
      <c r="B28" s="1181"/>
      <c r="C28" s="917" t="s">
        <v>2212</v>
      </c>
      <c r="D28" s="1182"/>
    </row>
    <row r="29" spans="1:9" ht="14.25" customHeight="1" x14ac:dyDescent="0.3">
      <c r="A29" s="1173"/>
      <c r="B29" s="1174" t="s">
        <v>2213</v>
      </c>
      <c r="C29" s="922" t="s">
        <v>2214</v>
      </c>
      <c r="D29" s="923" t="s">
        <v>1055</v>
      </c>
    </row>
    <row r="30" spans="1:9" ht="14.25" customHeight="1" x14ac:dyDescent="0.3">
      <c r="A30" s="1173"/>
      <c r="B30" s="1174"/>
      <c r="C30" s="917" t="s">
        <v>2215</v>
      </c>
      <c r="D30" s="1175" t="s">
        <v>1059</v>
      </c>
    </row>
    <row r="31" spans="1:9" ht="14.25" customHeight="1" x14ac:dyDescent="0.3">
      <c r="A31" s="1173"/>
      <c r="B31" s="1174"/>
      <c r="C31" s="917" t="s">
        <v>2216</v>
      </c>
      <c r="D31" s="1175"/>
    </row>
    <row r="32" spans="1:9" ht="27.75" customHeight="1" x14ac:dyDescent="0.3">
      <c r="A32" s="1173"/>
      <c r="B32" s="1174"/>
      <c r="C32" s="922" t="s">
        <v>2217</v>
      </c>
      <c r="D32" s="924" t="s">
        <v>1053</v>
      </c>
    </row>
    <row r="33" spans="1:4" ht="14.25" customHeight="1" x14ac:dyDescent="0.3">
      <c r="A33" s="1173"/>
      <c r="B33" s="1174" t="s">
        <v>2218</v>
      </c>
      <c r="C33" s="917" t="s">
        <v>2219</v>
      </c>
      <c r="D33" s="1175" t="s">
        <v>1382</v>
      </c>
    </row>
    <row r="34" spans="1:4" ht="14.25" customHeight="1" x14ac:dyDescent="0.3">
      <c r="A34" s="1173"/>
      <c r="B34" s="1174"/>
      <c r="C34" s="917" t="s">
        <v>2220</v>
      </c>
      <c r="D34" s="1175"/>
    </row>
    <row r="35" spans="1:4" ht="14.25" customHeight="1" x14ac:dyDescent="0.3">
      <c r="A35" s="1173"/>
      <c r="B35" s="1174"/>
      <c r="C35" s="917" t="s">
        <v>2221</v>
      </c>
      <c r="D35" s="1175"/>
    </row>
    <row r="36" spans="1:4" ht="14.25" customHeight="1" x14ac:dyDescent="0.3">
      <c r="A36" s="1173"/>
      <c r="B36" s="1174"/>
      <c r="C36" s="917" t="s">
        <v>2222</v>
      </c>
      <c r="D36" s="1175"/>
    </row>
    <row r="37" spans="1:4" ht="14.25" customHeight="1" x14ac:dyDescent="0.3">
      <c r="A37" s="1173"/>
      <c r="B37" s="1174"/>
      <c r="C37" s="917" t="s">
        <v>2223</v>
      </c>
      <c r="D37" s="1175"/>
    </row>
    <row r="38" spans="1:4" ht="14.25" customHeight="1" x14ac:dyDescent="0.3">
      <c r="A38" s="1173" t="s">
        <v>2224</v>
      </c>
      <c r="B38" s="1174" t="s">
        <v>2225</v>
      </c>
      <c r="C38" s="917" t="s">
        <v>2226</v>
      </c>
      <c r="D38" s="1175" t="s">
        <v>1388</v>
      </c>
    </row>
    <row r="39" spans="1:4" ht="14.25" customHeight="1" x14ac:dyDescent="0.3">
      <c r="A39" s="1173"/>
      <c r="B39" s="1174"/>
      <c r="C39" s="917" t="s">
        <v>2227</v>
      </c>
      <c r="D39" s="1175"/>
    </row>
    <row r="40" spans="1:4" ht="14.25" customHeight="1" x14ac:dyDescent="0.3">
      <c r="A40" s="1173"/>
      <c r="B40" s="1174" t="s">
        <v>2228</v>
      </c>
      <c r="C40" s="917" t="s">
        <v>2229</v>
      </c>
      <c r="D40" s="1176" t="s">
        <v>1519</v>
      </c>
    </row>
    <row r="41" spans="1:4" ht="14.25" customHeight="1" x14ac:dyDescent="0.3">
      <c r="A41" s="1173"/>
      <c r="B41" s="1174"/>
      <c r="C41" s="922" t="s">
        <v>2230</v>
      </c>
      <c r="D41" s="1176"/>
    </row>
    <row r="42" spans="1:4" ht="14.25" customHeight="1" x14ac:dyDescent="0.3">
      <c r="A42" s="1173"/>
      <c r="B42" s="1174"/>
      <c r="C42" s="917" t="s">
        <v>2231</v>
      </c>
      <c r="D42" s="1176"/>
    </row>
    <row r="43" spans="1:4" ht="14.25" customHeight="1" x14ac:dyDescent="0.3">
      <c r="A43" s="1173" t="s">
        <v>2232</v>
      </c>
      <c r="B43" s="1174" t="s">
        <v>2233</v>
      </c>
      <c r="C43" s="917" t="s">
        <v>2234</v>
      </c>
      <c r="D43" s="1175" t="s">
        <v>2235</v>
      </c>
    </row>
    <row r="44" spans="1:4" ht="14.25" customHeight="1" x14ac:dyDescent="0.3">
      <c r="A44" s="1173"/>
      <c r="B44" s="1174"/>
      <c r="C44" s="917" t="s">
        <v>2236</v>
      </c>
      <c r="D44" s="1175"/>
    </row>
    <row r="45" spans="1:4" ht="14.25" customHeight="1" x14ac:dyDescent="0.3">
      <c r="A45" s="1173"/>
      <c r="B45" s="1174" t="s">
        <v>2237</v>
      </c>
      <c r="C45" s="922" t="s">
        <v>2238</v>
      </c>
      <c r="D45" s="1176" t="s">
        <v>1519</v>
      </c>
    </row>
    <row r="46" spans="1:4" ht="14.25" customHeight="1" x14ac:dyDescent="0.3">
      <c r="A46" s="1173"/>
      <c r="B46" s="1174"/>
      <c r="C46" s="917" t="s">
        <v>2239</v>
      </c>
      <c r="D46" s="1176"/>
    </row>
    <row r="47" spans="1:4" ht="14.25" customHeight="1" thickBot="1" x14ac:dyDescent="0.35">
      <c r="A47" s="1177"/>
      <c r="B47" s="1178"/>
      <c r="C47" s="925" t="s">
        <v>2240</v>
      </c>
      <c r="D47" s="926" t="s">
        <v>2241</v>
      </c>
    </row>
  </sheetData>
  <mergeCells count="29">
    <mergeCell ref="A4:A14"/>
    <mergeCell ref="B4:B5"/>
    <mergeCell ref="D4:D14"/>
    <mergeCell ref="B6:B9"/>
    <mergeCell ref="B10:B12"/>
    <mergeCell ref="B13:B14"/>
    <mergeCell ref="A15:A25"/>
    <mergeCell ref="B15:B17"/>
    <mergeCell ref="D15:D20"/>
    <mergeCell ref="B18:B20"/>
    <mergeCell ref="B22:B25"/>
    <mergeCell ref="D22:D25"/>
    <mergeCell ref="A26:A37"/>
    <mergeCell ref="B26:B28"/>
    <mergeCell ref="D26:D28"/>
    <mergeCell ref="B29:B32"/>
    <mergeCell ref="D30:D31"/>
    <mergeCell ref="B33:B37"/>
    <mergeCell ref="D33:D37"/>
    <mergeCell ref="A43:A47"/>
    <mergeCell ref="B43:B44"/>
    <mergeCell ref="D43:D44"/>
    <mergeCell ref="B45:B47"/>
    <mergeCell ref="D45:D46"/>
    <mergeCell ref="A38:A42"/>
    <mergeCell ref="B38:B39"/>
    <mergeCell ref="D38:D39"/>
    <mergeCell ref="B40:B42"/>
    <mergeCell ref="D40:D4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3EE9D-7801-4C1F-BA13-5D70DCBDAA56}">
  <sheetPr>
    <tabColor rgb="FFFF0000"/>
  </sheetPr>
  <dimension ref="A1:L49"/>
  <sheetViews>
    <sheetView topLeftCell="B1" workbookViewId="0">
      <selection activeCell="L34" sqref="L34"/>
    </sheetView>
  </sheetViews>
  <sheetFormatPr defaultColWidth="9.109375" defaultRowHeight="13.2" x14ac:dyDescent="0.25"/>
  <cols>
    <col min="1" max="1" width="4.88671875" style="342" customWidth="1"/>
    <col min="2" max="2" width="10.88671875" style="342" customWidth="1"/>
    <col min="3" max="5" width="9.109375" style="342"/>
    <col min="6" max="6" width="10.5546875" style="342" customWidth="1"/>
    <col min="7" max="7" width="16.88671875" style="342" customWidth="1"/>
    <col min="8" max="8" width="35" style="342" customWidth="1"/>
    <col min="9" max="9" width="47.44140625" style="342" customWidth="1"/>
    <col min="10" max="10" width="15.5546875" style="342" customWidth="1"/>
    <col min="11" max="11" width="11.33203125" style="342" bestFit="1" customWidth="1"/>
    <col min="12" max="16384" width="9.109375" style="342"/>
  </cols>
  <sheetData>
    <row r="1" spans="1:11" x14ac:dyDescent="0.25">
      <c r="A1" s="342" t="s">
        <v>1293</v>
      </c>
      <c r="B1" s="342" t="s">
        <v>1294</v>
      </c>
      <c r="C1" s="342" t="s">
        <v>1295</v>
      </c>
      <c r="D1" s="342" t="s">
        <v>1296</v>
      </c>
      <c r="E1" s="342" t="s">
        <v>1297</v>
      </c>
      <c r="F1" s="342" t="s">
        <v>1298</v>
      </c>
      <c r="G1" s="342" t="s">
        <v>1299</v>
      </c>
      <c r="H1" s="342" t="s">
        <v>1300</v>
      </c>
      <c r="I1" s="342" t="s">
        <v>1301</v>
      </c>
      <c r="J1" s="342" t="s">
        <v>1302</v>
      </c>
    </row>
    <row r="2" spans="1:11" x14ac:dyDescent="0.25">
      <c r="A2" s="342" t="s">
        <v>1303</v>
      </c>
      <c r="B2" s="342">
        <v>1</v>
      </c>
      <c r="C2" s="342">
        <v>1</v>
      </c>
      <c r="D2" s="342">
        <v>1</v>
      </c>
      <c r="E2" s="342">
        <v>1</v>
      </c>
      <c r="F2" s="342">
        <v>111</v>
      </c>
      <c r="G2" s="342" t="s">
        <v>1304</v>
      </c>
      <c r="H2" s="342" t="s">
        <v>1305</v>
      </c>
      <c r="I2" s="519" t="s">
        <v>1306</v>
      </c>
      <c r="J2" s="520">
        <v>1634884.4911176718</v>
      </c>
    </row>
    <row r="3" spans="1:11" x14ac:dyDescent="0.25">
      <c r="A3" s="342" t="s">
        <v>1307</v>
      </c>
      <c r="B3" s="342">
        <v>2</v>
      </c>
      <c r="C3" s="342">
        <v>1</v>
      </c>
      <c r="D3" s="342">
        <v>1</v>
      </c>
      <c r="E3" s="342">
        <v>2</v>
      </c>
      <c r="F3" s="342">
        <v>112</v>
      </c>
      <c r="G3" s="342" t="s">
        <v>1304</v>
      </c>
      <c r="H3" s="342" t="s">
        <v>1305</v>
      </c>
      <c r="I3" s="519" t="s">
        <v>1308</v>
      </c>
      <c r="J3" s="519"/>
      <c r="K3" s="342" t="s">
        <v>1431</v>
      </c>
    </row>
    <row r="4" spans="1:11" x14ac:dyDescent="0.25">
      <c r="A4" s="342" t="s">
        <v>1309</v>
      </c>
      <c r="B4" s="342">
        <v>3</v>
      </c>
      <c r="C4" s="342">
        <v>1</v>
      </c>
      <c r="D4" s="342">
        <v>2</v>
      </c>
      <c r="E4" s="342">
        <v>1</v>
      </c>
      <c r="F4" s="342">
        <v>121</v>
      </c>
      <c r="G4" s="342" t="s">
        <v>1304</v>
      </c>
      <c r="H4" s="342" t="s">
        <v>1310</v>
      </c>
      <c r="I4" s="519" t="s">
        <v>1311</v>
      </c>
      <c r="J4" s="519"/>
    </row>
    <row r="5" spans="1:11" x14ac:dyDescent="0.25">
      <c r="A5" s="342" t="s">
        <v>1312</v>
      </c>
      <c r="B5" s="342">
        <v>4</v>
      </c>
      <c r="C5" s="342">
        <v>1</v>
      </c>
      <c r="D5" s="342">
        <v>2</v>
      </c>
      <c r="E5" s="342">
        <v>2</v>
      </c>
      <c r="F5" s="342">
        <v>122</v>
      </c>
      <c r="G5" s="342" t="s">
        <v>1304</v>
      </c>
      <c r="H5" s="342" t="s">
        <v>1310</v>
      </c>
      <c r="I5" s="519" t="s">
        <v>1313</v>
      </c>
      <c r="J5" s="519"/>
    </row>
    <row r="6" spans="1:11" x14ac:dyDescent="0.25">
      <c r="A6" s="342" t="s">
        <v>1314</v>
      </c>
      <c r="B6" s="342">
        <v>5</v>
      </c>
      <c r="C6" s="342">
        <v>1</v>
      </c>
      <c r="D6" s="342">
        <v>2</v>
      </c>
      <c r="E6" s="342">
        <v>3</v>
      </c>
      <c r="F6" s="342">
        <v>123</v>
      </c>
      <c r="G6" s="342" t="s">
        <v>1304</v>
      </c>
      <c r="H6" s="342" t="s">
        <v>1310</v>
      </c>
      <c r="I6" s="519" t="s">
        <v>1315</v>
      </c>
      <c r="J6" s="519"/>
    </row>
    <row r="7" spans="1:11" x14ac:dyDescent="0.25">
      <c r="A7" s="342" t="s">
        <v>1316</v>
      </c>
      <c r="B7" s="342">
        <v>6</v>
      </c>
      <c r="C7" s="342">
        <v>1</v>
      </c>
      <c r="D7" s="342">
        <v>2</v>
      </c>
      <c r="E7" s="342">
        <v>4</v>
      </c>
      <c r="F7" s="342">
        <v>124</v>
      </c>
      <c r="G7" s="342" t="s">
        <v>1304</v>
      </c>
      <c r="H7" s="342" t="s">
        <v>1310</v>
      </c>
      <c r="I7" s="519" t="s">
        <v>1317</v>
      </c>
      <c r="J7" s="519"/>
    </row>
    <row r="8" spans="1:11" x14ac:dyDescent="0.25">
      <c r="A8" s="342" t="s">
        <v>1318</v>
      </c>
      <c r="B8" s="342">
        <v>7</v>
      </c>
      <c r="C8" s="342">
        <v>1</v>
      </c>
      <c r="D8" s="342">
        <v>3</v>
      </c>
      <c r="E8" s="342">
        <v>1</v>
      </c>
      <c r="F8" s="342">
        <v>131</v>
      </c>
      <c r="G8" s="342" t="s">
        <v>1304</v>
      </c>
      <c r="H8" s="342" t="s">
        <v>1319</v>
      </c>
      <c r="I8" s="519" t="s">
        <v>1320</v>
      </c>
      <c r="J8" s="519"/>
    </row>
    <row r="9" spans="1:11" x14ac:dyDescent="0.25">
      <c r="A9" s="342" t="s">
        <v>1321</v>
      </c>
      <c r="B9" s="342">
        <v>8</v>
      </c>
      <c r="C9" s="342">
        <v>1</v>
      </c>
      <c r="D9" s="342">
        <v>3</v>
      </c>
      <c r="E9" s="342">
        <v>2</v>
      </c>
      <c r="F9" s="342">
        <v>132</v>
      </c>
      <c r="G9" s="342" t="s">
        <v>1304</v>
      </c>
      <c r="H9" s="342" t="s">
        <v>1319</v>
      </c>
      <c r="I9" s="519" t="s">
        <v>1322</v>
      </c>
      <c r="J9" s="519"/>
    </row>
    <row r="10" spans="1:11" x14ac:dyDescent="0.25">
      <c r="A10" s="342" t="s">
        <v>1323</v>
      </c>
      <c r="B10" s="342">
        <v>9</v>
      </c>
      <c r="C10" s="342">
        <v>1</v>
      </c>
      <c r="D10" s="342">
        <v>3</v>
      </c>
      <c r="E10" s="342">
        <v>3</v>
      </c>
      <c r="F10" s="342">
        <v>133</v>
      </c>
      <c r="G10" s="342" t="s">
        <v>1304</v>
      </c>
      <c r="H10" s="342" t="s">
        <v>1319</v>
      </c>
      <c r="I10" s="519" t="s">
        <v>1324</v>
      </c>
      <c r="J10" s="519"/>
    </row>
    <row r="11" spans="1:11" ht="14.4" x14ac:dyDescent="0.3">
      <c r="A11" s="342" t="s">
        <v>1325</v>
      </c>
      <c r="B11" s="342">
        <v>10</v>
      </c>
      <c r="C11" s="342">
        <v>1</v>
      </c>
      <c r="D11" s="342">
        <v>4</v>
      </c>
      <c r="E11" s="342">
        <v>1</v>
      </c>
      <c r="F11" s="342">
        <v>141</v>
      </c>
      <c r="G11" s="342" t="s">
        <v>1304</v>
      </c>
      <c r="H11" s="342" t="s">
        <v>1326</v>
      </c>
      <c r="I11" s="521" t="s">
        <v>1327</v>
      </c>
      <c r="J11" s="522">
        <v>11521.723964772696</v>
      </c>
      <c r="K11" s="523"/>
    </row>
    <row r="12" spans="1:11" x14ac:dyDescent="0.25">
      <c r="A12" s="342" t="s">
        <v>1328</v>
      </c>
      <c r="B12" s="342">
        <v>11</v>
      </c>
      <c r="C12" s="342">
        <v>1</v>
      </c>
      <c r="D12" s="342">
        <v>4</v>
      </c>
      <c r="E12" s="342">
        <v>2</v>
      </c>
      <c r="F12" s="342">
        <v>142</v>
      </c>
      <c r="G12" s="342" t="s">
        <v>1304</v>
      </c>
      <c r="H12" s="342" t="s">
        <v>1326</v>
      </c>
      <c r="I12" s="524" t="s">
        <v>1329</v>
      </c>
      <c r="J12" s="525">
        <v>33425.932469619082</v>
      </c>
      <c r="K12" s="342" t="s">
        <v>1432</v>
      </c>
    </row>
    <row r="13" spans="1:11" x14ac:dyDescent="0.25">
      <c r="A13" s="342" t="s">
        <v>1330</v>
      </c>
      <c r="B13" s="342">
        <v>12</v>
      </c>
      <c r="C13" s="342">
        <v>2</v>
      </c>
      <c r="D13" s="342">
        <v>1</v>
      </c>
      <c r="E13" s="342">
        <v>1</v>
      </c>
      <c r="F13" s="342">
        <v>211</v>
      </c>
      <c r="G13" s="342" t="s">
        <v>1331</v>
      </c>
      <c r="H13" s="342" t="s">
        <v>1332</v>
      </c>
      <c r="I13" s="526" t="s">
        <v>1333</v>
      </c>
      <c r="J13" s="527">
        <v>15762193.613229495</v>
      </c>
    </row>
    <row r="14" spans="1:11" x14ac:dyDescent="0.25">
      <c r="A14" s="342" t="s">
        <v>1334</v>
      </c>
      <c r="B14" s="342">
        <v>13</v>
      </c>
      <c r="C14" s="342">
        <v>2</v>
      </c>
      <c r="D14" s="342">
        <v>1</v>
      </c>
      <c r="E14" s="342">
        <v>2</v>
      </c>
      <c r="F14" s="342">
        <v>212</v>
      </c>
      <c r="G14" s="342" t="s">
        <v>1331</v>
      </c>
      <c r="H14" s="342" t="s">
        <v>1332</v>
      </c>
      <c r="I14" s="526" t="s">
        <v>1335</v>
      </c>
      <c r="J14" s="526"/>
    </row>
    <row r="15" spans="1:11" x14ac:dyDescent="0.25">
      <c r="A15" s="342" t="s">
        <v>1336</v>
      </c>
      <c r="B15" s="342">
        <v>14</v>
      </c>
      <c r="C15" s="342">
        <v>2</v>
      </c>
      <c r="D15" s="342">
        <v>1</v>
      </c>
      <c r="E15" s="342">
        <v>3</v>
      </c>
      <c r="F15" s="342">
        <v>213</v>
      </c>
      <c r="G15" s="342" t="s">
        <v>1331</v>
      </c>
      <c r="H15" s="342" t="s">
        <v>1332</v>
      </c>
      <c r="I15" s="526" t="s">
        <v>1337</v>
      </c>
      <c r="J15" s="526"/>
    </row>
    <row r="16" spans="1:11" x14ac:dyDescent="0.25">
      <c r="A16" s="342" t="s">
        <v>1338</v>
      </c>
      <c r="B16" s="342">
        <v>15</v>
      </c>
      <c r="C16" s="342">
        <v>2</v>
      </c>
      <c r="D16" s="342">
        <v>2</v>
      </c>
      <c r="E16" s="342">
        <v>1</v>
      </c>
      <c r="F16" s="342">
        <v>221</v>
      </c>
      <c r="G16" s="342" t="s">
        <v>1331</v>
      </c>
      <c r="H16" s="342" t="s">
        <v>1339</v>
      </c>
      <c r="I16" s="526" t="s">
        <v>1340</v>
      </c>
      <c r="J16" s="526"/>
    </row>
    <row r="17" spans="1:12" x14ac:dyDescent="0.25">
      <c r="A17" s="342" t="s">
        <v>1341</v>
      </c>
      <c r="B17" s="342">
        <v>16</v>
      </c>
      <c r="C17" s="342">
        <v>2</v>
      </c>
      <c r="D17" s="342">
        <v>2</v>
      </c>
      <c r="E17" s="342">
        <v>2</v>
      </c>
      <c r="F17" s="342">
        <v>222</v>
      </c>
      <c r="G17" s="342" t="s">
        <v>1331</v>
      </c>
      <c r="H17" s="342" t="s">
        <v>1339</v>
      </c>
      <c r="I17" s="526" t="s">
        <v>1342</v>
      </c>
      <c r="J17" s="526"/>
    </row>
    <row r="18" spans="1:12" x14ac:dyDescent="0.25">
      <c r="A18" s="342" t="s">
        <v>1343</v>
      </c>
      <c r="B18" s="342">
        <v>17</v>
      </c>
      <c r="C18" s="342">
        <v>2</v>
      </c>
      <c r="D18" s="342">
        <v>2</v>
      </c>
      <c r="E18" s="342">
        <v>3</v>
      </c>
      <c r="F18" s="342">
        <v>223</v>
      </c>
      <c r="G18" s="342" t="s">
        <v>1331</v>
      </c>
      <c r="H18" s="342" t="s">
        <v>1339</v>
      </c>
      <c r="I18" s="526" t="s">
        <v>1344</v>
      </c>
      <c r="J18" s="526"/>
    </row>
    <row r="19" spans="1:12" x14ac:dyDescent="0.25">
      <c r="A19" s="342" t="s">
        <v>1345</v>
      </c>
      <c r="B19" s="342">
        <v>18</v>
      </c>
      <c r="C19" s="342">
        <v>2</v>
      </c>
      <c r="D19" s="342">
        <v>3</v>
      </c>
      <c r="E19" s="342">
        <v>1</v>
      </c>
      <c r="F19" s="342">
        <v>231</v>
      </c>
      <c r="G19" s="342" t="s">
        <v>1331</v>
      </c>
      <c r="H19" s="342" t="s">
        <v>1346</v>
      </c>
      <c r="I19" s="526" t="s">
        <v>1346</v>
      </c>
      <c r="J19" s="527"/>
      <c r="K19" s="528">
        <v>421282.07489164785</v>
      </c>
    </row>
    <row r="20" spans="1:12" x14ac:dyDescent="0.25">
      <c r="A20" s="342" t="s">
        <v>1347</v>
      </c>
      <c r="B20" s="342">
        <v>19</v>
      </c>
      <c r="C20" s="342">
        <v>2</v>
      </c>
      <c r="D20" s="342">
        <v>4</v>
      </c>
      <c r="E20" s="342">
        <v>1</v>
      </c>
      <c r="F20" s="342">
        <v>241</v>
      </c>
      <c r="G20" s="342" t="s">
        <v>1331</v>
      </c>
      <c r="H20" s="342" t="s">
        <v>1348</v>
      </c>
      <c r="I20" s="526" t="s">
        <v>1349</v>
      </c>
      <c r="J20" s="526"/>
    </row>
    <row r="21" spans="1:12" x14ac:dyDescent="0.25">
      <c r="A21" s="342" t="s">
        <v>1350</v>
      </c>
      <c r="B21" s="342">
        <v>20</v>
      </c>
      <c r="C21" s="342">
        <v>2</v>
      </c>
      <c r="D21" s="342">
        <v>4</v>
      </c>
      <c r="E21" s="342">
        <v>2</v>
      </c>
      <c r="F21" s="342">
        <v>242</v>
      </c>
      <c r="G21" s="342" t="s">
        <v>1331</v>
      </c>
      <c r="H21" s="342" t="s">
        <v>1348</v>
      </c>
      <c r="I21" s="526" t="s">
        <v>1351</v>
      </c>
      <c r="J21" s="526"/>
    </row>
    <row r="22" spans="1:12" ht="26.4" x14ac:dyDescent="0.25">
      <c r="A22" s="342" t="s">
        <v>1352</v>
      </c>
      <c r="B22" s="342">
        <v>21</v>
      </c>
      <c r="C22" s="342">
        <v>2</v>
      </c>
      <c r="D22" s="342">
        <v>4</v>
      </c>
      <c r="E22" s="342">
        <v>3</v>
      </c>
      <c r="F22" s="342">
        <v>243</v>
      </c>
      <c r="G22" s="342" t="s">
        <v>1331</v>
      </c>
      <c r="H22" s="342" t="s">
        <v>1348</v>
      </c>
      <c r="I22" s="529" t="s">
        <v>1353</v>
      </c>
      <c r="J22" s="526"/>
    </row>
    <row r="23" spans="1:12" x14ac:dyDescent="0.25">
      <c r="A23" s="342" t="s">
        <v>1354</v>
      </c>
      <c r="B23" s="342">
        <v>22</v>
      </c>
      <c r="C23" s="342">
        <v>2</v>
      </c>
      <c r="D23" s="342">
        <v>4</v>
      </c>
      <c r="E23" s="342">
        <v>4</v>
      </c>
      <c r="F23" s="342">
        <v>244</v>
      </c>
      <c r="G23" s="342" t="s">
        <v>1331</v>
      </c>
      <c r="H23" s="342" t="s">
        <v>1348</v>
      </c>
      <c r="I23" s="526" t="s">
        <v>1355</v>
      </c>
      <c r="J23" s="526"/>
    </row>
    <row r="24" spans="1:12" x14ac:dyDescent="0.25">
      <c r="A24" s="342" t="s">
        <v>1356</v>
      </c>
      <c r="B24" s="342">
        <v>23</v>
      </c>
      <c r="C24" s="342">
        <v>3</v>
      </c>
      <c r="D24" s="342">
        <v>1</v>
      </c>
      <c r="E24" s="342">
        <v>1</v>
      </c>
      <c r="F24" s="342">
        <v>311</v>
      </c>
      <c r="G24" s="342" t="s">
        <v>1357</v>
      </c>
      <c r="H24" s="342" t="s">
        <v>1358</v>
      </c>
      <c r="I24" s="530" t="s">
        <v>1359</v>
      </c>
      <c r="J24" s="531">
        <v>8085448.4206806496</v>
      </c>
      <c r="K24" s="351" t="s">
        <v>1060</v>
      </c>
    </row>
    <row r="25" spans="1:12" x14ac:dyDescent="0.25">
      <c r="A25" s="342" t="s">
        <v>1360</v>
      </c>
      <c r="B25" s="342">
        <v>24</v>
      </c>
      <c r="C25" s="342">
        <v>3</v>
      </c>
      <c r="D25" s="342">
        <v>1</v>
      </c>
      <c r="E25" s="342">
        <v>2</v>
      </c>
      <c r="F25" s="342">
        <v>312</v>
      </c>
      <c r="G25" s="342" t="s">
        <v>1357</v>
      </c>
      <c r="H25" s="342" t="s">
        <v>1358</v>
      </c>
      <c r="I25" s="530" t="s">
        <v>1361</v>
      </c>
      <c r="J25" s="530"/>
    </row>
    <row r="26" spans="1:12" x14ac:dyDescent="0.25">
      <c r="A26" s="342" t="s">
        <v>1362</v>
      </c>
      <c r="B26" s="342">
        <v>25</v>
      </c>
      <c r="C26" s="342">
        <v>3</v>
      </c>
      <c r="D26" s="342">
        <v>1</v>
      </c>
      <c r="E26" s="342">
        <v>3</v>
      </c>
      <c r="F26" s="342">
        <v>313</v>
      </c>
      <c r="G26" s="342" t="s">
        <v>1357</v>
      </c>
      <c r="H26" s="342" t="s">
        <v>1358</v>
      </c>
      <c r="I26" s="530" t="s">
        <v>1363</v>
      </c>
      <c r="J26" s="530"/>
    </row>
    <row r="27" spans="1:12" x14ac:dyDescent="0.25">
      <c r="A27" s="342" t="s">
        <v>1364</v>
      </c>
      <c r="B27" s="342">
        <v>26</v>
      </c>
      <c r="C27" s="342">
        <v>3</v>
      </c>
      <c r="D27" s="342">
        <v>2</v>
      </c>
      <c r="E27" s="342">
        <v>1</v>
      </c>
      <c r="F27" s="342">
        <v>321</v>
      </c>
      <c r="G27" s="342" t="s">
        <v>1357</v>
      </c>
      <c r="H27" s="342" t="s">
        <v>1365</v>
      </c>
      <c r="I27" s="521" t="s">
        <v>1366</v>
      </c>
      <c r="J27" s="522">
        <v>802907.31365599181</v>
      </c>
      <c r="K27" s="351" t="s">
        <v>1367</v>
      </c>
    </row>
    <row r="28" spans="1:12" x14ac:dyDescent="0.25">
      <c r="A28" s="342" t="s">
        <v>1368</v>
      </c>
      <c r="B28" s="342">
        <v>27</v>
      </c>
      <c r="C28" s="342">
        <v>3</v>
      </c>
      <c r="D28" s="342">
        <v>2</v>
      </c>
      <c r="E28" s="342">
        <v>2</v>
      </c>
      <c r="F28" s="342">
        <v>322</v>
      </c>
      <c r="G28" s="342" t="s">
        <v>1357</v>
      </c>
      <c r="H28" s="342" t="s">
        <v>1365</v>
      </c>
      <c r="I28" s="532" t="s">
        <v>1369</v>
      </c>
      <c r="J28" s="533">
        <v>2223414.1659766589</v>
      </c>
      <c r="K28" s="534" t="s">
        <v>1370</v>
      </c>
    </row>
    <row r="29" spans="1:12" x14ac:dyDescent="0.25">
      <c r="A29" s="342" t="s">
        <v>1371</v>
      </c>
      <c r="B29" s="342">
        <v>28</v>
      </c>
      <c r="C29" s="342">
        <v>3</v>
      </c>
      <c r="D29" s="342">
        <v>2</v>
      </c>
      <c r="E29" s="342">
        <v>3</v>
      </c>
      <c r="F29" s="342">
        <v>323</v>
      </c>
      <c r="G29" s="342" t="s">
        <v>1357</v>
      </c>
      <c r="H29" s="342" t="s">
        <v>1365</v>
      </c>
      <c r="I29" s="532" t="s">
        <v>1372</v>
      </c>
      <c r="J29" s="532"/>
      <c r="K29" s="534"/>
    </row>
    <row r="30" spans="1:12" x14ac:dyDescent="0.25">
      <c r="A30" s="342" t="s">
        <v>1373</v>
      </c>
      <c r="B30" s="342">
        <v>29</v>
      </c>
      <c r="C30" s="342">
        <v>3</v>
      </c>
      <c r="D30" s="342">
        <v>2</v>
      </c>
      <c r="E30" s="342">
        <v>4</v>
      </c>
      <c r="F30" s="342">
        <v>324</v>
      </c>
      <c r="G30" s="342" t="s">
        <v>1357</v>
      </c>
      <c r="H30" s="342" t="s">
        <v>1365</v>
      </c>
      <c r="I30" s="532" t="s">
        <v>1374</v>
      </c>
      <c r="J30" s="532"/>
      <c r="K30" s="534"/>
    </row>
    <row r="31" spans="1:12" ht="14.4" x14ac:dyDescent="0.3">
      <c r="A31" s="342" t="s">
        <v>1375</v>
      </c>
      <c r="B31" s="342">
        <v>30</v>
      </c>
      <c r="C31" s="342">
        <v>3</v>
      </c>
      <c r="D31" s="342">
        <v>3</v>
      </c>
      <c r="E31" s="342">
        <v>1</v>
      </c>
      <c r="F31" s="342">
        <v>331</v>
      </c>
      <c r="G31" s="342" t="s">
        <v>1357</v>
      </c>
      <c r="H31" s="342" t="s">
        <v>1376</v>
      </c>
      <c r="I31" s="535" t="s">
        <v>1377</v>
      </c>
      <c r="J31" s="536">
        <v>1701462.3430516238</v>
      </c>
      <c r="K31" s="537">
        <v>83286.747685139897</v>
      </c>
      <c r="L31" s="342" t="s">
        <v>1276</v>
      </c>
    </row>
    <row r="32" spans="1:12" ht="14.4" x14ac:dyDescent="0.3">
      <c r="A32" s="342" t="s">
        <v>1378</v>
      </c>
      <c r="B32" s="342">
        <v>31</v>
      </c>
      <c r="C32" s="342">
        <v>3</v>
      </c>
      <c r="D32" s="342">
        <v>3</v>
      </c>
      <c r="E32" s="342">
        <v>2</v>
      </c>
      <c r="F32" s="342">
        <v>332</v>
      </c>
      <c r="G32" s="342" t="s">
        <v>1357</v>
      </c>
      <c r="H32" s="342" t="s">
        <v>1376</v>
      </c>
      <c r="I32" s="535" t="s">
        <v>1379</v>
      </c>
      <c r="J32" s="535"/>
      <c r="K32" s="556">
        <v>492819.0258375082</v>
      </c>
    </row>
    <row r="33" spans="1:12" ht="14.4" x14ac:dyDescent="0.3">
      <c r="A33" s="342" t="s">
        <v>1381</v>
      </c>
      <c r="B33" s="342">
        <v>32</v>
      </c>
      <c r="C33" s="342">
        <v>3</v>
      </c>
      <c r="D33" s="342">
        <v>3</v>
      </c>
      <c r="E33" s="342">
        <v>3</v>
      </c>
      <c r="F33" s="342">
        <v>333</v>
      </c>
      <c r="G33" s="342" t="s">
        <v>1357</v>
      </c>
      <c r="H33" s="342" t="s">
        <v>1376</v>
      </c>
      <c r="I33" s="535" t="s">
        <v>1382</v>
      </c>
      <c r="J33" s="535"/>
      <c r="K33" s="556">
        <v>1032877.7079650373</v>
      </c>
      <c r="L33" s="342" t="s">
        <v>1440</v>
      </c>
    </row>
    <row r="34" spans="1:12" x14ac:dyDescent="0.25">
      <c r="A34" s="342" t="s">
        <v>1383</v>
      </c>
      <c r="B34" s="342">
        <v>33</v>
      </c>
      <c r="C34" s="342">
        <v>3</v>
      </c>
      <c r="D34" s="342">
        <v>3</v>
      </c>
      <c r="E34" s="342">
        <v>4</v>
      </c>
      <c r="F34" s="342">
        <v>334</v>
      </c>
      <c r="G34" s="342" t="s">
        <v>1357</v>
      </c>
      <c r="H34" s="342" t="s">
        <v>1376</v>
      </c>
      <c r="I34" s="535" t="s">
        <v>1384</v>
      </c>
      <c r="J34" s="535"/>
      <c r="K34" s="557" t="s">
        <v>1380</v>
      </c>
    </row>
    <row r="35" spans="1:12" ht="14.4" x14ac:dyDescent="0.3">
      <c r="A35" s="342" t="s">
        <v>1385</v>
      </c>
      <c r="B35" s="342">
        <v>34</v>
      </c>
      <c r="C35" s="342">
        <v>3</v>
      </c>
      <c r="D35" s="342">
        <v>3</v>
      </c>
      <c r="E35" s="342">
        <v>5</v>
      </c>
      <c r="F35" s="342">
        <v>335</v>
      </c>
      <c r="G35" s="342" t="s">
        <v>1357</v>
      </c>
      <c r="H35" s="342" t="s">
        <v>1376</v>
      </c>
      <c r="I35" s="535" t="s">
        <v>1386</v>
      </c>
      <c r="J35" s="535"/>
      <c r="K35" s="556">
        <v>62570.289720372704</v>
      </c>
    </row>
    <row r="36" spans="1:12" ht="14.4" x14ac:dyDescent="0.3">
      <c r="A36" s="342" t="s">
        <v>1387</v>
      </c>
      <c r="B36" s="342">
        <v>35</v>
      </c>
      <c r="C36" s="342">
        <v>4</v>
      </c>
      <c r="D36" s="342">
        <v>1</v>
      </c>
      <c r="E36" s="342">
        <v>1</v>
      </c>
      <c r="F36" s="342">
        <v>411</v>
      </c>
      <c r="G36" s="342" t="s">
        <v>1388</v>
      </c>
      <c r="H36" s="342" t="s">
        <v>1389</v>
      </c>
      <c r="I36" s="538" t="s">
        <v>1390</v>
      </c>
      <c r="J36" s="539">
        <v>68921.881759235563</v>
      </c>
      <c r="K36" s="351" t="s">
        <v>133</v>
      </c>
    </row>
    <row r="37" spans="1:12" x14ac:dyDescent="0.25">
      <c r="A37" s="342" t="s">
        <v>1391</v>
      </c>
      <c r="B37" s="342">
        <v>36</v>
      </c>
      <c r="C37" s="342">
        <v>4</v>
      </c>
      <c r="D37" s="342">
        <v>1</v>
      </c>
      <c r="E37" s="342">
        <v>2</v>
      </c>
      <c r="F37" s="342">
        <v>412</v>
      </c>
      <c r="G37" s="342" t="s">
        <v>1388</v>
      </c>
      <c r="H37" s="342" t="s">
        <v>1389</v>
      </c>
      <c r="I37" s="538" t="s">
        <v>1392</v>
      </c>
      <c r="J37" s="538"/>
    </row>
    <row r="38" spans="1:12" x14ac:dyDescent="0.25">
      <c r="A38" s="342" t="s">
        <v>1393</v>
      </c>
      <c r="B38" s="342">
        <v>37</v>
      </c>
      <c r="C38" s="342">
        <v>4</v>
      </c>
      <c r="D38" s="342">
        <v>2</v>
      </c>
      <c r="E38" s="342">
        <v>1</v>
      </c>
      <c r="F38" s="342">
        <v>421</v>
      </c>
      <c r="G38" s="342" t="s">
        <v>1388</v>
      </c>
      <c r="H38" s="342" t="s">
        <v>1394</v>
      </c>
      <c r="I38" s="538" t="s">
        <v>1395</v>
      </c>
      <c r="J38" s="538"/>
    </row>
    <row r="39" spans="1:12" x14ac:dyDescent="0.25">
      <c r="A39" s="342" t="s">
        <v>1396</v>
      </c>
      <c r="B39" s="342">
        <v>38</v>
      </c>
      <c r="C39" s="342">
        <v>4</v>
      </c>
      <c r="D39" s="342">
        <v>2</v>
      </c>
      <c r="E39" s="342">
        <v>2</v>
      </c>
      <c r="F39" s="342">
        <v>422</v>
      </c>
      <c r="G39" s="342" t="s">
        <v>1388</v>
      </c>
      <c r="H39" s="342" t="s">
        <v>1394</v>
      </c>
      <c r="I39" s="538" t="s">
        <v>1397</v>
      </c>
      <c r="J39" s="538"/>
    </row>
    <row r="40" spans="1:12" x14ac:dyDescent="0.25">
      <c r="A40" s="342" t="s">
        <v>1398</v>
      </c>
      <c r="B40" s="342">
        <v>39</v>
      </c>
      <c r="C40" s="342">
        <v>4</v>
      </c>
      <c r="D40" s="342">
        <v>2</v>
      </c>
      <c r="E40" s="342">
        <v>3</v>
      </c>
      <c r="F40" s="342">
        <v>423</v>
      </c>
      <c r="G40" s="342" t="s">
        <v>1388</v>
      </c>
      <c r="H40" s="342" t="s">
        <v>1394</v>
      </c>
      <c r="I40" s="538" t="s">
        <v>1399</v>
      </c>
      <c r="J40" s="538"/>
    </row>
    <row r="41" spans="1:12" ht="14.4" x14ac:dyDescent="0.3">
      <c r="A41" s="342" t="s">
        <v>1400</v>
      </c>
      <c r="B41" s="342">
        <v>40</v>
      </c>
      <c r="C41" s="342">
        <v>5</v>
      </c>
      <c r="D41" s="342">
        <v>1</v>
      </c>
      <c r="E41" s="342">
        <v>1</v>
      </c>
      <c r="F41" s="342">
        <v>511</v>
      </c>
      <c r="G41" s="342" t="s">
        <v>1401</v>
      </c>
      <c r="H41" s="342" t="s">
        <v>1402</v>
      </c>
      <c r="I41" s="540" t="s">
        <v>1403</v>
      </c>
      <c r="J41" s="541">
        <v>324783.6560321952</v>
      </c>
      <c r="K41" s="351" t="s">
        <v>1404</v>
      </c>
      <c r="L41" s="342" t="s">
        <v>1405</v>
      </c>
    </row>
    <row r="42" spans="1:12" x14ac:dyDescent="0.25">
      <c r="A42" s="342" t="s">
        <v>1406</v>
      </c>
      <c r="B42" s="342">
        <v>41</v>
      </c>
      <c r="C42" s="342">
        <v>5</v>
      </c>
      <c r="D42" s="342">
        <v>1</v>
      </c>
      <c r="E42" s="342">
        <v>2</v>
      </c>
      <c r="F42" s="342">
        <v>512</v>
      </c>
      <c r="G42" s="342" t="s">
        <v>1401</v>
      </c>
      <c r="H42" s="342" t="s">
        <v>1402</v>
      </c>
      <c r="I42" s="540" t="s">
        <v>1401</v>
      </c>
      <c r="J42" s="540"/>
    </row>
    <row r="43" spans="1:12" ht="14.4" x14ac:dyDescent="0.3">
      <c r="A43" s="342" t="s">
        <v>1407</v>
      </c>
      <c r="B43" s="342">
        <v>42</v>
      </c>
      <c r="C43" s="342">
        <v>5</v>
      </c>
      <c r="D43" s="342">
        <v>2</v>
      </c>
      <c r="E43" s="342">
        <v>1</v>
      </c>
      <c r="F43" s="342">
        <v>521</v>
      </c>
      <c r="G43" s="342" t="s">
        <v>1401</v>
      </c>
      <c r="H43" s="342" t="s">
        <v>1408</v>
      </c>
      <c r="I43" s="540" t="s">
        <v>1409</v>
      </c>
      <c r="J43" s="540"/>
      <c r="K43" s="542">
        <v>100287.61916327089</v>
      </c>
      <c r="L43" s="342" t="s">
        <v>1410</v>
      </c>
    </row>
    <row r="44" spans="1:12" x14ac:dyDescent="0.25">
      <c r="A44" s="342" t="s">
        <v>1411</v>
      </c>
      <c r="B44" s="342">
        <v>43</v>
      </c>
      <c r="C44" s="342">
        <v>5</v>
      </c>
      <c r="D44" s="342">
        <v>2</v>
      </c>
      <c r="E44" s="342">
        <v>2</v>
      </c>
      <c r="F44" s="342">
        <v>522</v>
      </c>
      <c r="G44" s="342" t="s">
        <v>1401</v>
      </c>
      <c r="H44" s="342" t="s">
        <v>1408</v>
      </c>
      <c r="I44" s="543" t="s">
        <v>1412</v>
      </c>
      <c r="J44" s="543" t="s">
        <v>1413</v>
      </c>
    </row>
    <row r="45" spans="1:12" x14ac:dyDescent="0.25">
      <c r="A45" s="342" t="s">
        <v>1414</v>
      </c>
      <c r="B45" s="342">
        <v>44</v>
      </c>
      <c r="C45" s="342">
        <v>5</v>
      </c>
      <c r="D45" s="342">
        <v>2</v>
      </c>
      <c r="E45" s="342">
        <v>3</v>
      </c>
      <c r="F45" s="342">
        <v>523</v>
      </c>
      <c r="G45" s="342" t="s">
        <v>1401</v>
      </c>
      <c r="H45" s="342" t="s">
        <v>1408</v>
      </c>
      <c r="I45" s="543" t="s">
        <v>1415</v>
      </c>
      <c r="J45" s="543" t="s">
        <v>1416</v>
      </c>
    </row>
    <row r="46" spans="1:12" x14ac:dyDescent="0.25">
      <c r="B46" s="342">
        <v>48</v>
      </c>
      <c r="C46" s="342">
        <v>9</v>
      </c>
      <c r="D46" s="342">
        <v>9</v>
      </c>
      <c r="E46" s="342">
        <v>9</v>
      </c>
      <c r="F46" s="342">
        <v>999</v>
      </c>
      <c r="G46" s="342" t="s">
        <v>1417</v>
      </c>
      <c r="H46" s="342" t="s">
        <v>1417</v>
      </c>
      <c r="I46" s="543" t="s">
        <v>1417</v>
      </c>
      <c r="J46" s="543"/>
    </row>
    <row r="47" spans="1:12" x14ac:dyDescent="0.25">
      <c r="B47" s="342">
        <v>49</v>
      </c>
      <c r="C47" s="342">
        <v>9</v>
      </c>
      <c r="D47" s="342">
        <v>9</v>
      </c>
      <c r="E47" s="342">
        <v>0</v>
      </c>
      <c r="F47" s="342">
        <v>990</v>
      </c>
      <c r="G47" s="342" t="s">
        <v>1418</v>
      </c>
      <c r="H47" s="342" t="s">
        <v>1419</v>
      </c>
      <c r="I47" s="543" t="s">
        <v>1419</v>
      </c>
      <c r="J47" s="543"/>
    </row>
    <row r="48" spans="1:12" x14ac:dyDescent="0.25">
      <c r="A48" s="342" t="s">
        <v>1414</v>
      </c>
      <c r="B48" s="342">
        <v>50</v>
      </c>
      <c r="C48" s="342">
        <v>9</v>
      </c>
      <c r="D48" s="342">
        <v>9</v>
      </c>
      <c r="E48" s="342">
        <v>5</v>
      </c>
      <c r="F48" s="342">
        <v>995</v>
      </c>
      <c r="G48" s="342" t="s">
        <v>1418</v>
      </c>
      <c r="H48" s="342" t="s">
        <v>1420</v>
      </c>
      <c r="I48" s="543" t="s">
        <v>1420</v>
      </c>
      <c r="J48" s="543"/>
    </row>
    <row r="49" spans="9:10" s="351" customFormat="1" x14ac:dyDescent="0.25">
      <c r="I49" s="350" t="s">
        <v>1257</v>
      </c>
      <c r="J49" s="544">
        <f>J2+J11+J12+J13+J24+J27+J28+J31+J36+J41</f>
        <v>30648963.541937906</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42731-738E-4302-8AE3-072CA5143044}">
  <sheetPr>
    <tabColor rgb="FF00B050"/>
  </sheetPr>
  <dimension ref="A1:J13"/>
  <sheetViews>
    <sheetView topLeftCell="A4" workbookViewId="0">
      <selection activeCell="B11" sqref="B11:B12"/>
    </sheetView>
  </sheetViews>
  <sheetFormatPr defaultRowHeight="14.4" x14ac:dyDescent="0.3"/>
  <cols>
    <col min="1" max="1" width="27.33203125" customWidth="1"/>
    <col min="2" max="10" width="15.6640625" customWidth="1"/>
  </cols>
  <sheetData>
    <row r="1" spans="1:10" ht="18" x14ac:dyDescent="0.35">
      <c r="A1" s="51" t="s">
        <v>1451</v>
      </c>
    </row>
    <row r="2" spans="1:10" ht="18" x14ac:dyDescent="0.35">
      <c r="A2" s="339" t="s">
        <v>1450</v>
      </c>
      <c r="B2" s="91"/>
      <c r="C2" s="91"/>
      <c r="D2" s="91"/>
      <c r="E2" s="91"/>
      <c r="F2" s="91"/>
      <c r="G2" s="91"/>
    </row>
    <row r="3" spans="1:10" ht="45.75" customHeight="1" x14ac:dyDescent="0.3">
      <c r="A3" s="428" t="s">
        <v>174</v>
      </c>
      <c r="B3" s="429" t="s">
        <v>129</v>
      </c>
      <c r="C3" s="430" t="s">
        <v>1258</v>
      </c>
      <c r="D3" s="430" t="s">
        <v>1259</v>
      </c>
      <c r="E3" s="430" t="s">
        <v>1260</v>
      </c>
      <c r="F3" s="430" t="s">
        <v>1261</v>
      </c>
      <c r="G3" s="429" t="s">
        <v>133</v>
      </c>
      <c r="H3" s="429" t="s">
        <v>134</v>
      </c>
      <c r="I3" s="430" t="s">
        <v>1262</v>
      </c>
      <c r="J3" s="430" t="s">
        <v>1166</v>
      </c>
    </row>
    <row r="4" spans="1:10" ht="27.75" customHeight="1" x14ac:dyDescent="0.3">
      <c r="A4" s="492" t="s">
        <v>1167</v>
      </c>
      <c r="B4" s="572"/>
      <c r="C4" s="572">
        <f>'SE1 produttività agricola'!C29+'SE2 produttività legnosa'!C54+'SE4 assorbimento CO2 ITA 2020'!C42+'SE5qualità Habitat biodiversità'!D40+SE6impollinazione!C34+SE11ricreazione!C47+'SE7qualità aria'!C24+'SE3 approvv idrico'!C45+'SE8 purificazione acqua'!C41</f>
        <v>-312.69179022174728</v>
      </c>
      <c r="D4" s="572">
        <f>'SE1 produttività agricola'!D29+'SE2 produttività legnosa'!D54+'SE4 assorbimento CO2 ITA 2020'!D42+'SE5qualità Habitat biodiversità'!E40+SE6impollinazione!D34+SE11ricreazione!D47+'SE7qualità aria'!D24+'SE3 approvv idrico'!D45+'SE8 purificazione acqua'!D41</f>
        <v>237.72021383070435</v>
      </c>
      <c r="E4" s="572">
        <f>'SE1 produttività agricola'!E29+'SE2 produttività legnosa'!E54+'SE4 assorbimento CO2 ITA 2020'!E42+'SE5qualità Habitat biodiversità'!F40+SE6impollinazione!E34+SE11ricreazione!E47+'SE7qualità aria'!E24+'SE3 approvv idrico'!E45+'SE8 purificazione acqua'!E41</f>
        <v>-204.17499637060365</v>
      </c>
      <c r="F4" s="572">
        <f>'SE1 produttività agricola'!F29+'SE2 produttività legnosa'!F54+'SE4 assorbimento CO2 ITA 2020'!B42+'SE5qualità Habitat biodiversità'!G40+SE6impollinazione!F34+SE11ricreazione!F47+'SE7qualità aria'!F24+'SE3 approvv idrico'!F45+'SE8 purificazione acqua'!F41</f>
        <v>1109.6332365052344</v>
      </c>
      <c r="G4" s="572">
        <f>'SE1 produttività agricola'!G29+'SE2 produttività legnosa'!G54+'SE5qualità Habitat biodiversità'!H40+SE6impollinazione!G34+SE11ricreazione!G47+'SE7qualità aria'!G24+'SE3 approvv idrico'!G45+'SE8 purificazione acqua'!G41</f>
        <v>11696.83207520744</v>
      </c>
      <c r="H4" s="572">
        <f>'SE1 produttività agricola'!H29+'SE2 produttività legnosa'!H54+'SE5qualità Habitat biodiversità'!I40+SE6impollinazione!H34+SE11ricreazione!H47+'SE7qualità aria'!H24+'SE3 approvv idrico'!H45+'SE8 purificazione acqua'!H41</f>
        <v>637.60244298106704</v>
      </c>
      <c r="I4" s="572">
        <f>'SE1 produttività agricola'!I29+'SE2 produttività legnosa'!I54+'SE4 assorbimento CO2 ITA 2020'!F42+'SE5qualità Habitat biodiversità'!J40+SE6impollinazione!I34+SE11ricreazione!I47+'SE7qualità aria'!I24+'SE3 approvv idrico'!I45+'SE8 purificazione acqua'!I41</f>
        <v>-400.49503134845816</v>
      </c>
      <c r="J4" s="572">
        <f>'SE1 produttività agricola'!J29+'SE2 produttività legnosa'!J54+'SE4 assorbimento CO2 ITA 2020'!G42+'SE5qualità Habitat biodiversità'!K40+SE6impollinazione!J34+SE11ricreazione!J47+'SE7qualità aria'!J24+'SE3 approvv idrico'!J45+'SE8 purificazione acqua'!J41</f>
        <v>-1566.2978351694494</v>
      </c>
    </row>
    <row r="5" spans="1:10" ht="27.75" customHeight="1" x14ac:dyDescent="0.3">
      <c r="A5" s="492" t="s">
        <v>1263</v>
      </c>
      <c r="B5" s="572"/>
      <c r="C5" s="572">
        <f>'SE1 produttività agricola'!C30+'SE2 produttività legnosa'!C55+'SE4 assorbimento CO2 ITA 2020'!C43+'SE5qualità Habitat biodiversità'!D41+SE6impollinazione!C35+SE11ricreazione!C48+'SE7qualità aria'!C25+'SE3 approvv idrico'!C46+'SE8 purificazione acqua'!C42</f>
        <v>1345.6191576203596</v>
      </c>
      <c r="D5" s="572">
        <f>'SE1 produttività agricola'!D30+'SE2 produttività legnosa'!D55+'SE4 assorbimento CO2 ITA 2020'!D43+'SE5qualità Habitat biodiversità'!E41+SE6impollinazione!D35+SE11ricreazione!D48+'SE7qualità aria'!D25+'SE3 approvv idrico'!D46+'SE8 purificazione acqua'!D42</f>
        <v>550.41200405245149</v>
      </c>
      <c r="E5" s="572">
        <f>'SE1 produttività agricola'!E30+'SE2 produttività legnosa'!E55+'SE4 assorbimento CO2 ITA 2020'!E43+'SE5qualità Habitat biodiversità'!F41+SE6impollinazione!E35+SE11ricreazione!E48+'SE7qualità aria'!E25+'SE3 approvv idrico'!E46+'SE8 purificazione acqua'!E42</f>
        <v>-1047.3149589003979</v>
      </c>
      <c r="F5" s="572">
        <f>'SE1 produttività agricola'!F30+'SE2 produttività legnosa'!F55+'SE4 assorbimento CO2 ITA 2020'!B43+'SE5qualità Habitat biodiversità'!G41+SE6impollinazione!F35+SE11ricreazione!F48+'SE7qualità aria'!F25+'SE3 approvv idrico'!F46+'SE8 purificazione acqua'!F42</f>
        <v>1090.6800858416116</v>
      </c>
      <c r="G5" s="572">
        <f>'SE1 produttività agricola'!G30+'SE2 produttività legnosa'!G5+'SE5qualità Habitat biodiversità'!H41+SE6impollinazione!G35+SE11ricreazione!G48+'SE7qualità aria'!G25+'SE3 approvv idrico'!G46+'SE8 purificazione acqua'!G42</f>
        <v>11691.029317929258</v>
      </c>
      <c r="H5" s="572">
        <f>'SE1 produttività agricola'!H30+'SE2 produttività legnosa'!H55+'SE5qualità Habitat biodiversità'!I41+SE6impollinazione!H35+SE11ricreazione!H48+'SE7qualità aria'!H25+'SE3 approvv idrico'!H46+'SE8 purificazione acqua'!H42</f>
        <v>631.7996857028852</v>
      </c>
      <c r="I5" s="572">
        <f>'SE1 produttività agricola'!I30+'SE2 produttività legnosa'!I55+'SE4 assorbimento CO2 ITA 2020'!F43+'SE5qualità Habitat biodiversità'!J41+SE6impollinazione!I35+SE11ricreazione!I48+'SE7qualità aria'!I25+'SE3 approvv idrico'!I46+'SE8 purificazione acqua'!I42</f>
        <v>-87.803241126710873</v>
      </c>
      <c r="J5" s="572">
        <f>'SE1 produttività agricola'!J30+'SE2 produttività legnosa'!J55+'SE4 assorbimento CO2 ITA 2020'!G43+'SE5qualità Habitat biodiversità'!K41+SE6impollinazione!J35+SE11ricreazione!J48+'SE7qualità aria'!J25+'SE3 approvv idrico'!J46+'SE8 purificazione acqua'!J42</f>
        <v>-1253.606044947702</v>
      </c>
    </row>
    <row r="6" spans="1:10" ht="30.75" customHeight="1" x14ac:dyDescent="0.3">
      <c r="A6" s="492" t="s">
        <v>1264</v>
      </c>
      <c r="B6" s="572"/>
      <c r="C6" s="572">
        <f>'SE1 produttività agricola'!C31+'SE2 produttività legnosa'!C56+'SE4 assorbimento CO2 ITA 2020'!C44+'SE5qualità Habitat biodiversità'!D42+SE6impollinazione!C36+SE11ricreazione!C49+'SE7qualità aria'!C26+'SE3 approvv idrico'!C47+'SE8 purificazione acqua'!C43</f>
        <v>-550.41200405245149</v>
      </c>
      <c r="D6" s="572">
        <f>'SE1 produttività agricola'!D31+'SE2 produttività legnosa'!D56+'SE4 assorbimento CO2 ITA 2020'!D44+'SE5qualità Habitat biodiversità'!E42+SE6impollinazione!D36+SE11ricreazione!D49+'SE7qualità aria'!D26+'SE3 approvv idrico'!D47+'SE8 purificazione acqua'!D43</f>
        <v>1896.0311616728113</v>
      </c>
      <c r="E6" s="572">
        <f>'SE1 produttività agricola'!E31+'SE2 produttività legnosa'!E56+'SE4 assorbimento CO2 ITA 2020'!E44+'SE5qualità Habitat biodiversità'!F42+SE6impollinazione!E36+SE11ricreazione!E49+'SE7qualità aria'!E26+'SE3 approvv idrico'!E47+'SE8 purificazione acqua'!E43</f>
        <v>-441.89521020130803</v>
      </c>
      <c r="F6" s="572">
        <f>'SE1 produttività agricola'!F31+'SE2 produttività legnosa'!F56+'SE4 assorbimento CO2 ITA 2020'!B44+'SE5qualità Habitat biodiversità'!G42+SE6impollinazione!F36+SE11ricreazione!F49+'SE7qualità aria'!F26+'SE3 approvv idrico'!F47+'SE8 purificazione acqua'!F43</f>
        <v>540.26808178916031</v>
      </c>
      <c r="G6" s="572">
        <f>'SE1 produttività agricola'!G31+'SE2 produttività legnosa'!G56+'SE5qualità Habitat biodiversità'!H42+SE6impollinazione!G36+SE11ricreazione!G49+'SE7qualità aria'!G26+'SE3 approvv idrico'!G47+'SE8 purificazione acqua'!G43</f>
        <v>11166.534201063592</v>
      </c>
      <c r="H6" s="572">
        <f>'SE1 produttività agricola'!H31+'SE2 produttività legnosa'!H56+'SE5qualità Habitat biodiversità'!I42+SE6impollinazione!H36+SE11ricreazione!H49+'SE7qualità aria'!H26+'SE3 approvv idrico'!H47+'SE8 purificazione acqua'!H43</f>
        <v>107.3045688372182</v>
      </c>
      <c r="I6" s="572">
        <f>'SE1 produttività agricola'!I31+'SE2 produttività legnosa'!I56+'SE4 assorbimento CO2 ITA 2020'!F44+'SE5qualità Habitat biodiversità'!J42+SE6impollinazione!I36+SE11ricreazione!I49+'SE7qualità aria'!I26+'SE3 approvv idrico'!I47+'SE8 purificazione acqua'!I43</f>
        <v>-638.21524517916248</v>
      </c>
      <c r="J6" s="572">
        <f>'SE1 produttività agricola'!J31+'SE2 produttività legnosa'!J56+'SE4 assorbimento CO2 ITA 2020'!G44+'SE5qualità Habitat biodiversità'!K42+SE6impollinazione!J36+SE11ricreazione!J49+'SE7qualità aria'!J26+'SE3 approvv idrico'!J47+'SE8 purificazione acqua'!J43</f>
        <v>-1804.0180490001537</v>
      </c>
    </row>
    <row r="7" spans="1:10" ht="30.75" customHeight="1" x14ac:dyDescent="0.3">
      <c r="A7" s="492" t="s">
        <v>1265</v>
      </c>
      <c r="B7" s="572"/>
      <c r="C7" s="572">
        <f>'SE1 produttività agricola'!C32+'SE2 produttività legnosa'!C57+'SE4 assorbimento CO2 ITA 2020'!C45+'SE5qualità Habitat biodiversità'!D43+SE6impollinazione!C37+SE11ricreazione!C50+'SE7qualità aria'!C27+'SE3 approvv idrico'!C48+'SE8 purificazione acqua'!C44</f>
        <v>-108.51679385114358</v>
      </c>
      <c r="D7" s="572">
        <f>'SE1 produttività agricola'!D32+'SE2 produttività legnosa'!D57+'SE4 assorbimento CO2 ITA 2020'!D45+'SE5qualità Habitat biodiversità'!E43+SE6impollinazione!D37+SE11ricreazione!D50+'SE7qualità aria'!D27+'SE3 approvv idrico'!D48+'SE8 purificazione acqua'!D44</f>
        <v>441.89521020130803</v>
      </c>
      <c r="E7" s="572">
        <f>'SE1 produttività agricola'!E32+'SE2 produttività legnosa'!E57+'SE4 assorbimento CO2 ITA 2020'!E45+'SE5qualità Habitat biodiversità'!F43+SE6impollinazione!E37+SE11ricreazione!E50+'SE7qualità aria'!E27+'SE3 approvv idrico'!E48+'SE8 purificazione acqua'!E44</f>
        <v>1454.1359514715034</v>
      </c>
      <c r="F7" s="572">
        <f>'SE1 produttività agricola'!F32+'SE2 produttività legnosa'!F57+'SE4 assorbimento CO2 ITA 2020'!B45+'SE5qualità Habitat biodiversità'!G43+SE6impollinazione!F37+SE11ricreazione!F50+'SE7qualità aria'!F27+'SE3 approvv idrico'!F48+'SE8 purificazione acqua'!F44</f>
        <v>982.16329199046811</v>
      </c>
      <c r="G7" s="572">
        <f>'SE1 produttività agricola'!G32+'SE2 produttività legnosa'!G57+'SE5qualità Habitat biodiversità'!H43+SE6impollinazione!G37+SE11ricreazione!G50+'SE7qualità aria'!G27+'SE3 approvv idrico'!G48+'SE8 purificazione acqua'!G44</f>
        <v>11608.4294112649</v>
      </c>
      <c r="H7" s="572">
        <f>'SE1 produttività agricola'!H32+'SE2 produttività legnosa'!H57+'SE5qualità Habitat biodiversità'!I43+SE6impollinazione!H37+SE11ricreazione!H50+'SE7qualità aria'!H27+'SE3 approvv idrico'!H48+'SE8 purificazione acqua'!H44</f>
        <v>549.19977903852623</v>
      </c>
      <c r="I7" s="572">
        <f>'SE1 produttività agricola'!I32+'SE2 produttività legnosa'!I57+'SE4 assorbimento CO2 ITA 2020'!F45+'SE5qualità Habitat biodiversità'!J43+SE6impollinazione!I37+SE11ricreazione!I50+'SE7qualità aria'!I27+'SE3 approvv idrico'!I48+'SE8 purificazione acqua'!I44</f>
        <v>-196.32003497785448</v>
      </c>
      <c r="J7" s="572">
        <f>'SE1 produttività agricola'!J32+'SE2 produttività legnosa'!J57+'SE4 assorbimento CO2 ITA 2020'!G45+'SE5qualità Habitat biodiversità'!K43+SE6impollinazione!J37+SE11ricreazione!J50+'SE7qualità aria'!J27+'SE3 approvv idrico'!J48+'SE8 purificazione acqua'!J44</f>
        <v>-1362.1228387988458</v>
      </c>
    </row>
    <row r="8" spans="1:10" ht="30.75" customHeight="1" x14ac:dyDescent="0.3">
      <c r="A8" s="492" t="s">
        <v>1266</v>
      </c>
      <c r="B8" s="572"/>
      <c r="C8" s="572">
        <f>'SE1 produttività agricola'!C33+'SE2 produttività legnosa'!C58+'SE4 assorbimento CO2 ITA 2020'!C46+'SE5qualità Habitat biodiversità'!D44+SE6impollinazione!C38+SE11ricreazione!C51+'SE7qualità aria'!C28+'SE3 approvv idrico'!C49+'SE8 purificazione acqua'!C45</f>
        <v>-759.03514495624188</v>
      </c>
      <c r="D8" s="572">
        <f>'SE1 produttività agricola'!D33+'SE2 produttività legnosa'!D58+'SE4 assorbimento CO2 ITA 2020'!D46+'SE5qualità Habitat biodiversità'!E44+SE6impollinazione!D38+SE11ricreazione!D51+'SE7qualità aria'!D28+'SE3 approvv idrico'!D49+'SE8 purificazione acqua'!D45</f>
        <v>-208.62314090379033</v>
      </c>
      <c r="E8" s="572">
        <f>'SE1 produttività agricola'!E33+'SE2 produttività legnosa'!E58+'SE4 assorbimento CO2 ITA 2020'!E46+'SE5qualità Habitat biodiversità'!F44+SE6impollinazione!E38+SE11ricreazione!E51+'SE7qualità aria'!E28+'SE3 approvv idrico'!E49+'SE8 purificazione acqua'!E45</f>
        <v>-650.5183511050983</v>
      </c>
      <c r="F8" s="572">
        <f>'SE1 produttività agricola'!F33+'SE2 produttività legnosa'!F58+'SE4 assorbimento CO2 ITA 2020'!B46+'SE5qualità Habitat biodiversità'!G44+SE6impollinazione!F38+SE11ricreazione!F51+'SE7qualità aria'!F28+'SE3 approvv idrico'!F49+'SE8 purificazione acqua'!F45</f>
        <v>2436.2992434619719</v>
      </c>
      <c r="G8" s="572">
        <f>'SE1 produttività agricola'!G33+'SE2 produttività legnosa'!G58+'SE5qualità Habitat biodiversità'!H44+SE6impollinazione!G38+SE11ricreazione!G51+'SE7qualità aria'!G28+'SE3 approvv idrico'!G49+'SE8 purificazione acqua'!G45</f>
        <v>10918.843779587576</v>
      </c>
      <c r="H8" s="572">
        <f>'SE1 produttività agricola'!H33+'SE2 produttività legnosa'!H58+'SE5qualità Habitat biodiversità'!I44+SE6impollinazione!H38+SE11ricreazione!H51+'SE7qualità aria'!H28+'SE3 approvv idrico'!H49+'SE8 purificazione acqua'!H45</f>
        <v>-140.38585263879759</v>
      </c>
      <c r="I8" s="572">
        <f>'SE1 produttività agricola'!I33+'SE2 produttività legnosa'!I58+'SE4 assorbimento CO2 ITA 2020'!F46+'SE5qualità Habitat biodiversità'!J44+SE6impollinazione!I38+SE11ricreazione!I51+'SE7qualità aria'!I28+'SE3 approvv idrico'!I49+'SE8 purificazione acqua'!I45</f>
        <v>-846.83838608295287</v>
      </c>
      <c r="J8" s="572">
        <f>'SE1 produttività agricola'!J33+'SE2 produttività legnosa'!J58+'SE4 assorbimento CO2 ITA 2020'!G46+'SE5qualità Habitat biodiversità'!K44+SE6impollinazione!J38+SE11ricreazione!J51+'SE7qualità aria'!J28+'SE3 approvv idrico'!J49+'SE8 purificazione acqua'!J45</f>
        <v>-2012.641189903944</v>
      </c>
    </row>
    <row r="9" spans="1:10" ht="27.75" customHeight="1" x14ac:dyDescent="0.3">
      <c r="A9" s="492" t="s">
        <v>133</v>
      </c>
      <c r="B9" s="572">
        <f>'SE1 produttività agricola'!B34+'SE2 produttività legnosa'!B59+'SE5qualità Habitat biodiversità'!C45+SE6impollinazione!B39+SE11ricreazione!B52+'SE7qualità aria'!B29+'SE3 approvv idrico'!B50+'SE8 purificazione acqua'!B46</f>
        <v>-11696.83207520744</v>
      </c>
      <c r="C9" s="572">
        <f>'SE1 produttività agricola'!C34+'SE2 produttività legnosa'!C59+'SE5qualità Habitat biodiversità'!D45+SE6impollinazione!C39+SE11ricreazione!C52+'SE7qualità aria'!C29+'SE3 approvv idrico'!C50+'SE8 purificazione acqua'!C46</f>
        <v>-11691.029317929258</v>
      </c>
      <c r="D9" s="572">
        <f>'SE1 produttività agricola'!D34+'SE2 produttività legnosa'!D59+'SE5qualità Habitat biodiversità'!E45+SE6impollinazione!D39+SE11ricreazione!D52+'SE7qualità aria'!D29+'SE3 approvv idrico'!D50+'SE8 purificazione acqua'!D46</f>
        <v>-11166.534201063592</v>
      </c>
      <c r="E9" s="572">
        <f>'SE1 produttività agricola'!E34+'SE2 produttività legnosa'!E59+'SE5qualità Habitat biodiversità'!F45+SE6impollinazione!E39+SE11ricreazione!E52+'SE7qualità aria'!E29+'SE3 approvv idrico'!E50+'SE8 purificazione acqua'!E46</f>
        <v>-11608.4294112649</v>
      </c>
      <c r="F9" s="572">
        <f>'SE1 produttività agricola'!F34+'SE2 produttività legnosa'!F59+'SE5qualità Habitat biodiversità'!G45+SE6impollinazione!F39+SE11ricreazione!F52+'SE7qualità aria'!F29+'SE3 approvv idrico'!F50+'SE8 purificazione acqua'!F46</f>
        <v>-10918.843779587576</v>
      </c>
      <c r="G9" s="572">
        <f>'SE1 produttività agricola'!G34+'SE2 produttività legnosa'!G59+'SE5qualità Habitat biodiversità'!H45+SE6impollinazione!G39+SE11ricreazione!G52+'SE7qualità aria'!G29+'SE3 approvv idrico'!G50+'SE8 purificazione acqua'!G46</f>
        <v>13023.498082164177</v>
      </c>
      <c r="H9" s="572">
        <f>'SE1 produttività agricola'!H34+'SE2 produttività legnosa'!H59+'SE5qualità Habitat biodiversità'!I45+SE6impollinazione!H39+SE11ricreazione!H52+'SE7qualità aria'!H29+'SE3 approvv idrico'!H50+'SE8 purificazione acqua'!H46</f>
        <v>-10221.497985497239</v>
      </c>
      <c r="I9" s="572">
        <f>'SE1 produttività agricola'!I34+'SE2 produttività legnosa'!I59+'SE5qualità Habitat biodiversità'!J45+SE6impollinazione!I39+SE11ricreazione!I52+'SE7qualità aria'!I29+'SE3 approvv idrico'!I50+'SE8 purificazione acqua'!I46</f>
        <v>-11765.682165670529</v>
      </c>
      <c r="J9" s="572">
        <f>'SE1 produttività agricola'!J34+'SE2 produttività legnosa'!J59+'SE5qualità Habitat biodiversità'!K45+SE6impollinazione!J39+SE11ricreazione!J52+'SE7qualità aria'!J29+'SE3 approvv idrico'!J50+'SE8 purificazione acqua'!J46</f>
        <v>-12931.484969491519</v>
      </c>
    </row>
    <row r="10" spans="1:10" ht="27.75" customHeight="1" x14ac:dyDescent="0.3">
      <c r="A10" s="492" t="s">
        <v>134</v>
      </c>
      <c r="B10" s="572">
        <f>'SE1 produttività agricola'!B35+'SE2 produttività legnosa'!B60+'SE5qualità Habitat biodiversità'!C46+SE6impollinazione!B40+SE11ricreazione!B53+'SE7qualità aria'!B30+'SE3 approvv idrico'!B51+'SE8 purificazione acqua'!B47</f>
        <v>-637.60244298106704</v>
      </c>
      <c r="C10" s="572">
        <f>'SE1 produttività agricola'!C35+'SE2 produttività legnosa'!C60+'SE5qualità Habitat biodiversità'!D46+SE6impollinazione!C40+SE11ricreazione!C53+'SE7qualità aria'!C30+'SE3 approvv idrico'!C51+'SE8 purificazione acqua'!C47</f>
        <v>-631.7996857028852</v>
      </c>
      <c r="D10" s="572">
        <f>'SE1 produttività agricola'!D35+'SE2 produttività legnosa'!D60+'SE5qualità Habitat biodiversità'!E46+SE6impollinazione!D40+SE11ricreazione!D53+'SE7qualità aria'!D30+'SE3 approvv idrico'!D51+'SE8 purificazione acqua'!D47</f>
        <v>-107.3045688372182</v>
      </c>
      <c r="E10" s="572">
        <f>'SE1 produttività agricola'!E35+'SE2 produttività legnosa'!E60+'SE5qualità Habitat biodiversità'!F46+SE6impollinazione!E40+SE11ricreazione!E53+'SE7qualità aria'!E30+'SE3 approvv idrico'!E51+'SE8 purificazione acqua'!E47</f>
        <v>-549.19977903852623</v>
      </c>
      <c r="F10" s="572">
        <f>'SE1 produttività agricola'!F35+'SE2 produttività legnosa'!F60+'SE5qualità Habitat biodiversità'!G46+SE6impollinazione!F40+SE11ricreazione!F53+'SE7qualità aria'!F30+'SE3 approvv idrico'!F51+'SE8 purificazione acqua'!F47</f>
        <v>140.38585263879759</v>
      </c>
      <c r="G10" s="572">
        <f>'SE1 produttività agricola'!G35+'SE2 produttività legnosa'!G60+'SE5qualità Habitat biodiversità'!H46+SE6impollinazione!G40+SE11ricreazione!G53+'SE7qualità aria'!G30+'SE3 approvv idrico'!G51+'SE8 purificazione acqua'!G47</f>
        <v>11896.961278955512</v>
      </c>
      <c r="H10" s="572">
        <f>'SE1 produttività agricola'!H35+'SE2 produttività legnosa'!H60+'SE5qualità Habitat biodiversità'!I46+SE6impollinazione!H40+SE11ricreazione!H53+'SE7qualità aria'!H30+'SE3 approvv idrico'!H51+'SE8 purificazione acqua'!H47</f>
        <v>1964.2684499378042</v>
      </c>
      <c r="I10" s="572">
        <f>'SE1 produttività agricola'!I35+'SE2 produttività legnosa'!I60+'SE5qualità Habitat biodiversità'!J46+SE6impollinazione!I40+SE11ricreazione!I53+'SE7qualità aria'!I30+'SE3 approvv idrico'!I51+'SE8 purificazione acqua'!I47</f>
        <v>-706.45253344415528</v>
      </c>
      <c r="J10" s="572">
        <f>'SE1 produttività agricola'!J35+'SE2 produttività legnosa'!J60+'SE5qualità Habitat biodiversità'!K46+SE6impollinazione!J40+SE11ricreazione!J53+'SE7qualità aria'!J30+'SE3 approvv idrico'!J51+'SE8 purificazione acqua'!J47</f>
        <v>-1023.9169055539736</v>
      </c>
    </row>
    <row r="11" spans="1:10" ht="32.25" customHeight="1" x14ac:dyDescent="0.3">
      <c r="A11" s="492" t="s">
        <v>1165</v>
      </c>
      <c r="B11" s="572"/>
      <c r="C11" s="572" t="e">
        <f>'SE1 produttività agricola'!C36+'SE2 produttività legnosa'!C61+'SE4 assorbimento CO2 ITA 2020'!C49+'SE5qualità Habitat biodiversità'!D47+SE6impollinazione!C41+SE11ricreazione!C54+'SE7qualità aria'!C31+'SE3 approvv idrico'!C52+'SE8 purificazione acqua'!C48</f>
        <v>#VALUE!</v>
      </c>
      <c r="D11" s="572" t="e">
        <f>'SE1 produttività agricola'!D36+'SE2 produttività legnosa'!D61+'SE4 assorbimento CO2 ITA 2020'!D49+'SE5qualità Habitat biodiversità'!E47+SE6impollinazione!D41+SE11ricreazione!D54+'SE7qualità aria'!D31+'SE3 approvv idrico'!D52+'SE8 purificazione acqua'!D48</f>
        <v>#VALUE!</v>
      </c>
      <c r="E11" s="572" t="e">
        <f>'SE1 produttività agricola'!E36+'SE2 produttività legnosa'!E61+'SE4 assorbimento CO2 ITA 2020'!E49+'SE5qualità Habitat biodiversità'!F47+SE6impollinazione!E41+SE11ricreazione!E54+'SE7qualità aria'!E31+'SE3 approvv idrico'!E52+'SE8 purificazione acqua'!E48</f>
        <v>#VALUE!</v>
      </c>
      <c r="F11" s="572" t="e">
        <f>'SE1 produttività agricola'!F36+'SE2 produttività legnosa'!F61+'SE4 assorbimento CO2 ITA 2020'!B49+'SE5qualità Habitat biodiversità'!G47+SE6impollinazione!F41+SE11ricreazione!F54+'SE7qualità aria'!F31+'SE3 approvv idrico'!F52+'SE8 purificazione acqua'!F48</f>
        <v>#VALUE!</v>
      </c>
      <c r="G11" s="572">
        <f>'SE1 produttività agricola'!G36+'SE2 produttività legnosa'!G61+'SE5qualità Habitat biodiversità'!H47+SE6impollinazione!G41+SE11ricreazione!G54+'SE7qualità aria'!G31+'SE3 approvv idrico'!G52+'SE8 purificazione acqua'!G48</f>
        <v>11765.682165670529</v>
      </c>
      <c r="H11" s="572">
        <f>'SE1 produttività agricola'!H36+'SE2 produttività legnosa'!H61+'SE5qualità Habitat biodiversità'!I47+SE6impollinazione!H41+SE11ricreazione!H54+'SE7qualità aria'!H31+'SE3 approvv idrico'!H52+'SE8 purificazione acqua'!H48</f>
        <v>706.45253344415528</v>
      </c>
      <c r="I11" s="572" t="e">
        <f>'SE1 produttività agricola'!I36+'SE2 produttività legnosa'!I61+'SE4 assorbimento CO2 ITA 2020'!F49+'SE5qualità Habitat biodiversità'!J47+SE6impollinazione!I41+SE11ricreazione!I54+'SE7qualità aria'!I31+'SE3 approvv idrico'!I52+'SE8 purificazione acqua'!I48</f>
        <v>#VALUE!</v>
      </c>
      <c r="J11" s="572" t="e">
        <f>'SE1 produttività agricola'!J36+'SE2 produttività legnosa'!J61+'SE4 assorbimento CO2 ITA 2020'!G49+'SE5qualità Habitat biodiversità'!K47+SE6impollinazione!J41+SE11ricreazione!J54+'SE7qualità aria'!J31+'SE3 approvv idrico'!J52+'SE8 purificazione acqua'!J48</f>
        <v>#VALUE!</v>
      </c>
    </row>
    <row r="12" spans="1:10" ht="27.75" customHeight="1" x14ac:dyDescent="0.3">
      <c r="A12" s="492" t="s">
        <v>1166</v>
      </c>
      <c r="B12" s="572"/>
      <c r="C12" s="572" t="e">
        <f>'SE1 produttività agricola'!C37+'SE2 produttività legnosa'!C62+'SE4 assorbimento CO2 ITA 2020'!C50+'SE5qualità Habitat biodiversità'!D48+SE6impollinazione!C42+SE11ricreazione!C55+'SE7qualità aria'!C32+'SE3 approvv idrico'!C53+'SE8 purificazione acqua'!C49</f>
        <v>#VALUE!</v>
      </c>
      <c r="D12" s="572" t="e">
        <f>'SE1 produttività agricola'!D37+'SE2 produttività legnosa'!D62+'SE4 assorbimento CO2 ITA 2020'!D50+'SE5qualità Habitat biodiversità'!E48+SE6impollinazione!D42+SE11ricreazione!D55+'SE7qualità aria'!D32+'SE3 approvv idrico'!D53+'SE8 purificazione acqua'!D49</f>
        <v>#VALUE!</v>
      </c>
      <c r="E12" s="572" t="e">
        <f>'SE1 produttività agricola'!E37+'SE2 produttività legnosa'!E62+'SE4 assorbimento CO2 ITA 2020'!E50+'SE5qualità Habitat biodiversità'!F48+SE6impollinazione!E42+SE11ricreazione!E55+'SE7qualità aria'!E32+'SE3 approvv idrico'!E53+'SE8 purificazione acqua'!E49</f>
        <v>#VALUE!</v>
      </c>
      <c r="F12" s="572" t="e">
        <f>'SE1 produttività agricola'!F37+'SE2 produttività legnosa'!F62+'SE4 assorbimento CO2 ITA 2020'!B50+'SE5qualità Habitat biodiversità'!G48+SE6impollinazione!F42+SE11ricreazione!F55+'SE7qualità aria'!F32+'SE3 approvv idrico'!F53+'SE8 purificazione acqua'!F49</f>
        <v>#VALUE!</v>
      </c>
      <c r="G12" s="572">
        <f>'SE1 produttività agricola'!G37+'SE2 produttività legnosa'!G62+'SE5qualità Habitat biodiversità'!H48+SE6impollinazione!G42+SE11ricreazione!G55+'SE7qualità aria'!G32+'SE3 approvv idrico'!G53+'SE8 purificazione acqua'!G49</f>
        <v>12931.484969491519</v>
      </c>
      <c r="H12" s="572">
        <f>'SE1 produttività agricola'!H37+'SE2 produttività legnosa'!H62+'SE5qualità Habitat biodiversità'!I48+SE6impollinazione!H42+SE11ricreazione!H55+'SE7qualità aria'!H32+'SE3 approvv idrico'!H53+'SE8 purificazione acqua'!H49</f>
        <v>1872.2553372651464</v>
      </c>
      <c r="I12" s="572" t="e">
        <f>'SE1 produttività agricola'!I37+'SE2 produttività legnosa'!I62+'SE4 assorbimento CO2 ITA 2020'!F50+'SE5qualità Habitat biodiversità'!J48+SE6impollinazione!I42+SE11ricreazione!I55+'SE7qualità aria'!I32+'SE3 approvv idrico'!I53+'SE8 purificazione acqua'!I49</f>
        <v>#VALUE!</v>
      </c>
      <c r="J12" s="572" t="e">
        <f>'SE1 produttività agricola'!J37+'SE2 produttività legnosa'!J62+'SE4 assorbimento CO2 ITA 2020'!G50+'SE5qualità Habitat biodiversità'!K48+SE6impollinazione!J42+SE11ricreazione!J55+'SE7qualità aria'!J32+'SE3 approvv idrico'!J53+'SE8 purificazione acqua'!J49</f>
        <v>#VALUE!</v>
      </c>
    </row>
    <row r="13" spans="1:10" ht="27.6" x14ac:dyDescent="0.3">
      <c r="A13" s="493" t="s">
        <v>1452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C2C35-67B5-41F8-8318-B5907E79FE45}">
  <sheetPr>
    <tabColor rgb="FF92D050"/>
  </sheetPr>
  <dimension ref="A1:J37"/>
  <sheetViews>
    <sheetView workbookViewId="0">
      <selection activeCell="M21" sqref="M21"/>
    </sheetView>
  </sheetViews>
  <sheetFormatPr defaultRowHeight="14.4" x14ac:dyDescent="0.3"/>
  <cols>
    <col min="1" max="1" width="20.5546875" customWidth="1"/>
    <col min="2" max="10" width="12.88671875" customWidth="1"/>
  </cols>
  <sheetData>
    <row r="1" spans="1:7" ht="21" x14ac:dyDescent="0.4">
      <c r="A1" s="14" t="s">
        <v>411</v>
      </c>
    </row>
    <row r="2" spans="1:7" ht="18" x14ac:dyDescent="0.35">
      <c r="A2" s="51" t="s">
        <v>88</v>
      </c>
    </row>
    <row r="3" spans="1:7" ht="18" x14ac:dyDescent="0.35">
      <c r="A3" s="51" t="s">
        <v>412</v>
      </c>
    </row>
    <row r="4" spans="1:7" x14ac:dyDescent="0.3">
      <c r="A4" s="19" t="s">
        <v>413</v>
      </c>
    </row>
    <row r="5" spans="1:7" x14ac:dyDescent="0.3">
      <c r="A5" s="19" t="s">
        <v>415</v>
      </c>
    </row>
    <row r="6" spans="1:7" x14ac:dyDescent="0.3">
      <c r="A6" t="s">
        <v>416</v>
      </c>
    </row>
    <row r="7" spans="1:7" x14ac:dyDescent="0.3">
      <c r="A7" t="s">
        <v>98</v>
      </c>
    </row>
    <row r="8" spans="1:7" x14ac:dyDescent="0.3">
      <c r="A8" t="s">
        <v>100</v>
      </c>
    </row>
    <row r="9" spans="1:7" x14ac:dyDescent="0.3">
      <c r="A9" t="s">
        <v>99</v>
      </c>
    </row>
    <row r="11" spans="1:7" x14ac:dyDescent="0.3">
      <c r="A11" t="s">
        <v>417</v>
      </c>
    </row>
    <row r="12" spans="1:7" x14ac:dyDescent="0.3">
      <c r="A12" s="69" t="s">
        <v>414</v>
      </c>
    </row>
    <row r="13" spans="1:7" ht="18" x14ac:dyDescent="0.35">
      <c r="A13" s="51" t="s">
        <v>418</v>
      </c>
    </row>
    <row r="14" spans="1:7" x14ac:dyDescent="0.3">
      <c r="A14" t="s">
        <v>94</v>
      </c>
      <c r="F14">
        <v>925</v>
      </c>
      <c r="G14" t="s">
        <v>93</v>
      </c>
    </row>
    <row r="15" spans="1:7" x14ac:dyDescent="0.3">
      <c r="A15" t="s">
        <v>419</v>
      </c>
      <c r="F15" s="53">
        <f>F14/0.18</f>
        <v>5138.8888888888887</v>
      </c>
      <c r="G15" t="s">
        <v>95</v>
      </c>
    </row>
    <row r="16" spans="1:7" x14ac:dyDescent="0.3">
      <c r="A16" s="69" t="s">
        <v>420</v>
      </c>
    </row>
    <row r="18" spans="1:10" x14ac:dyDescent="0.3">
      <c r="A18" s="19" t="s">
        <v>421</v>
      </c>
    </row>
    <row r="19" spans="1:10" x14ac:dyDescent="0.3">
      <c r="A19" t="s">
        <v>39</v>
      </c>
    </row>
    <row r="20" spans="1:10" x14ac:dyDescent="0.3">
      <c r="A20" t="s">
        <v>38</v>
      </c>
    </row>
    <row r="21" spans="1:10" x14ac:dyDescent="0.3">
      <c r="A21" t="s">
        <v>37</v>
      </c>
    </row>
    <row r="22" spans="1:10" x14ac:dyDescent="0.3">
      <c r="A22" t="s">
        <v>40</v>
      </c>
    </row>
    <row r="25" spans="1:10" ht="21" x14ac:dyDescent="0.4">
      <c r="A25" s="568" t="s">
        <v>1445</v>
      </c>
      <c r="B25" s="91"/>
      <c r="C25" s="91"/>
      <c r="D25" s="91" t="s">
        <v>1449</v>
      </c>
      <c r="E25" s="91"/>
      <c r="F25" s="91"/>
      <c r="G25" s="91"/>
      <c r="H25" s="91"/>
      <c r="I25" s="91">
        <v>500</v>
      </c>
      <c r="J25" s="91" t="s">
        <v>1448</v>
      </c>
    </row>
    <row r="26" spans="1:10" x14ac:dyDescent="0.3">
      <c r="A26" s="137" t="s">
        <v>1447</v>
      </c>
      <c r="B26" s="91"/>
      <c r="C26" s="91"/>
      <c r="D26" s="91"/>
      <c r="E26" s="91"/>
      <c r="F26" s="91"/>
      <c r="G26" s="91"/>
      <c r="H26" s="91"/>
      <c r="I26" s="91"/>
      <c r="J26" s="91"/>
    </row>
    <row r="27" spans="1:10" x14ac:dyDescent="0.3">
      <c r="A27" s="19" t="s">
        <v>1255</v>
      </c>
    </row>
    <row r="28" spans="1:10" ht="68.25" customHeight="1" x14ac:dyDescent="0.3">
      <c r="A28" s="474" t="s">
        <v>174</v>
      </c>
      <c r="B28" s="475" t="s">
        <v>129</v>
      </c>
      <c r="C28" s="475" t="s">
        <v>1168</v>
      </c>
      <c r="D28" s="475" t="s">
        <v>1140</v>
      </c>
      <c r="E28" s="475" t="s">
        <v>1141</v>
      </c>
      <c r="F28" s="475" t="s">
        <v>1142</v>
      </c>
      <c r="G28" s="475" t="s">
        <v>133</v>
      </c>
      <c r="H28" s="476" t="s">
        <v>134</v>
      </c>
      <c r="I28" s="476" t="s">
        <v>1426</v>
      </c>
      <c r="J28" s="476" t="s">
        <v>1166</v>
      </c>
    </row>
    <row r="29" spans="1:10" ht="33.75" customHeight="1" x14ac:dyDescent="0.3">
      <c r="A29" s="467" t="s">
        <v>1167</v>
      </c>
      <c r="B29" s="552">
        <v>0</v>
      </c>
      <c r="C29" s="570">
        <f>$I$25</f>
        <v>500</v>
      </c>
      <c r="D29" s="478"/>
      <c r="E29" s="478"/>
      <c r="F29" s="478"/>
      <c r="G29" s="567"/>
      <c r="H29" s="567"/>
      <c r="I29" s="478"/>
      <c r="J29" s="478"/>
    </row>
    <row r="30" spans="1:10" ht="33.75" customHeight="1" x14ac:dyDescent="0.3">
      <c r="A30" s="477" t="s">
        <v>1168</v>
      </c>
      <c r="B30" s="570">
        <f t="shared" ref="B30" si="0">-$I$25</f>
        <v>-500</v>
      </c>
      <c r="C30" s="569">
        <f>$I$25</f>
        <v>500</v>
      </c>
      <c r="D30" s="570">
        <f>-$I$25</f>
        <v>-500</v>
      </c>
      <c r="E30" s="570">
        <f t="shared" ref="E30:J30" si="1">-$I$25</f>
        <v>-500</v>
      </c>
      <c r="F30" s="570">
        <f t="shared" si="1"/>
        <v>-500</v>
      </c>
      <c r="G30" s="570">
        <f t="shared" si="1"/>
        <v>-500</v>
      </c>
      <c r="H30" s="570">
        <f t="shared" si="1"/>
        <v>-500</v>
      </c>
      <c r="I30" s="570">
        <f t="shared" si="1"/>
        <v>-500</v>
      </c>
      <c r="J30" s="570">
        <f t="shared" si="1"/>
        <v>-500</v>
      </c>
    </row>
    <row r="31" spans="1:10" ht="33.75" customHeight="1" x14ac:dyDescent="0.3">
      <c r="A31" s="477" t="s">
        <v>1140</v>
      </c>
      <c r="B31" s="478"/>
      <c r="C31" s="570">
        <f t="shared" ref="C31:C37" si="2">$I$25</f>
        <v>500</v>
      </c>
      <c r="D31" s="552">
        <v>0</v>
      </c>
      <c r="E31" s="478"/>
      <c r="F31" s="478"/>
      <c r="G31" s="567"/>
      <c r="H31" s="567"/>
      <c r="I31" s="478"/>
      <c r="J31" s="478"/>
    </row>
    <row r="32" spans="1:10" ht="33.75" customHeight="1" x14ac:dyDescent="0.3">
      <c r="A32" s="477" t="s">
        <v>1141</v>
      </c>
      <c r="B32" s="478"/>
      <c r="C32" s="570">
        <f t="shared" si="2"/>
        <v>500</v>
      </c>
      <c r="D32" s="478"/>
      <c r="E32" s="552">
        <v>0</v>
      </c>
      <c r="F32" s="478"/>
      <c r="G32" s="567"/>
      <c r="H32" s="567"/>
      <c r="I32" s="478"/>
      <c r="J32" s="478"/>
    </row>
    <row r="33" spans="1:10" ht="33.75" customHeight="1" x14ac:dyDescent="0.3">
      <c r="A33" s="477" t="s">
        <v>1142</v>
      </c>
      <c r="B33" s="478"/>
      <c r="C33" s="570">
        <f t="shared" si="2"/>
        <v>500</v>
      </c>
      <c r="D33" s="478"/>
      <c r="E33" s="478"/>
      <c r="F33" s="552">
        <v>0</v>
      </c>
      <c r="G33" s="567"/>
      <c r="H33" s="567"/>
      <c r="I33" s="478"/>
      <c r="J33" s="478"/>
    </row>
    <row r="34" spans="1:10" ht="33.75" customHeight="1" x14ac:dyDescent="0.3">
      <c r="A34" s="477" t="s">
        <v>133</v>
      </c>
      <c r="B34" s="566"/>
      <c r="C34" s="570">
        <f t="shared" si="2"/>
        <v>500</v>
      </c>
      <c r="D34" s="566"/>
      <c r="E34" s="566"/>
      <c r="F34" s="566"/>
      <c r="G34" s="554">
        <v>0</v>
      </c>
      <c r="H34" s="566"/>
      <c r="I34" s="566"/>
      <c r="J34" s="566"/>
    </row>
    <row r="35" spans="1:10" ht="33.75" customHeight="1" x14ac:dyDescent="0.3">
      <c r="A35" s="477" t="s">
        <v>134</v>
      </c>
      <c r="B35" s="566"/>
      <c r="C35" s="570">
        <f t="shared" si="2"/>
        <v>500</v>
      </c>
      <c r="D35" s="566"/>
      <c r="E35" s="566"/>
      <c r="F35" s="566"/>
      <c r="G35" s="566"/>
      <c r="H35" s="554">
        <v>0</v>
      </c>
      <c r="I35" s="566"/>
      <c r="J35" s="566"/>
    </row>
    <row r="36" spans="1:10" ht="33.75" customHeight="1" x14ac:dyDescent="0.3">
      <c r="A36" s="555" t="s">
        <v>1427</v>
      </c>
      <c r="B36" s="478"/>
      <c r="C36" s="570">
        <f t="shared" si="2"/>
        <v>500</v>
      </c>
      <c r="D36" s="478"/>
      <c r="E36" s="478"/>
      <c r="F36" s="478"/>
      <c r="G36" s="567"/>
      <c r="H36" s="567"/>
      <c r="I36" s="552">
        <v>0</v>
      </c>
      <c r="J36" s="478"/>
    </row>
    <row r="37" spans="1:10" ht="33.75" customHeight="1" x14ac:dyDescent="0.3">
      <c r="A37" s="477" t="s">
        <v>1166</v>
      </c>
      <c r="B37" s="478"/>
      <c r="C37" s="570">
        <f t="shared" si="2"/>
        <v>500</v>
      </c>
      <c r="D37" s="478"/>
      <c r="E37" s="478"/>
      <c r="F37" s="478"/>
      <c r="G37" s="567"/>
      <c r="H37" s="567"/>
      <c r="I37" s="478"/>
      <c r="J37" s="55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1C6B3-2CA1-4556-8129-1B383E324192}">
  <sheetPr>
    <tabColor rgb="FF92D050"/>
  </sheetPr>
  <dimension ref="A1:O62"/>
  <sheetViews>
    <sheetView topLeftCell="A46" workbookViewId="0">
      <selection activeCell="I24" sqref="I24"/>
    </sheetView>
  </sheetViews>
  <sheetFormatPr defaultRowHeight="14.4" x14ac:dyDescent="0.3"/>
  <cols>
    <col min="1" max="1" width="15.5546875" customWidth="1"/>
    <col min="2" max="4" width="16.6640625" customWidth="1"/>
    <col min="5" max="5" width="17.33203125" customWidth="1"/>
    <col min="6" max="6" width="13.88671875" customWidth="1"/>
    <col min="7" max="7" width="13.6640625" customWidth="1"/>
    <col min="9" max="10" width="17.5546875" customWidth="1"/>
  </cols>
  <sheetData>
    <row r="1" spans="1:11" ht="21" x14ac:dyDescent="0.4">
      <c r="A1" s="14" t="s">
        <v>410</v>
      </c>
    </row>
    <row r="2" spans="1:11" ht="18" x14ac:dyDescent="0.35">
      <c r="A2" s="51" t="s">
        <v>92</v>
      </c>
    </row>
    <row r="3" spans="1:11" x14ac:dyDescent="0.3">
      <c r="A3" s="19" t="s">
        <v>448</v>
      </c>
    </row>
    <row r="4" spans="1:11" ht="77.25" customHeight="1" x14ac:dyDescent="0.3">
      <c r="A4" s="1185" t="s">
        <v>445</v>
      </c>
      <c r="B4" s="1187"/>
      <c r="C4" s="1187"/>
      <c r="D4" s="1187"/>
      <c r="E4" s="1187"/>
      <c r="F4" s="1187"/>
      <c r="G4" s="1187"/>
      <c r="H4" s="1187"/>
      <c r="I4" s="1187"/>
      <c r="J4" s="1187"/>
      <c r="K4" s="1187"/>
    </row>
    <row r="5" spans="1:11" ht="18" customHeight="1" x14ac:dyDescent="0.3">
      <c r="A5" t="s">
        <v>446</v>
      </c>
    </row>
    <row r="6" spans="1:11" ht="16.5" customHeight="1" x14ac:dyDescent="0.3">
      <c r="A6" s="284">
        <v>88.15</v>
      </c>
      <c r="B6" s="285" t="s">
        <v>102</v>
      </c>
      <c r="C6" s="288" t="s">
        <v>439</v>
      </c>
      <c r="F6" s="56"/>
      <c r="G6" s="56"/>
      <c r="H6" s="56"/>
      <c r="I6" s="56"/>
      <c r="J6" s="56"/>
      <c r="K6" s="56"/>
    </row>
    <row r="7" spans="1:11" ht="16.5" customHeight="1" x14ac:dyDescent="0.3">
      <c r="A7" s="270">
        <v>96.5</v>
      </c>
      <c r="B7" s="268" t="s">
        <v>102</v>
      </c>
      <c r="C7" s="267" t="s">
        <v>103</v>
      </c>
      <c r="D7" s="56"/>
      <c r="E7" s="56"/>
      <c r="F7" s="56">
        <f>0.6</f>
        <v>0.6</v>
      </c>
      <c r="G7" s="56" t="s">
        <v>106</v>
      </c>
      <c r="H7" s="56" t="s">
        <v>438</v>
      </c>
      <c r="I7" s="56"/>
      <c r="J7" s="56"/>
      <c r="K7" s="56"/>
    </row>
    <row r="8" spans="1:11" ht="16.5" customHeight="1" x14ac:dyDescent="0.3">
      <c r="A8" s="270">
        <v>24</v>
      </c>
      <c r="B8" s="268" t="s">
        <v>102</v>
      </c>
      <c r="C8" s="267" t="s">
        <v>104</v>
      </c>
      <c r="D8" s="56"/>
      <c r="E8" s="56"/>
      <c r="F8" s="56">
        <v>0.55000000000000004</v>
      </c>
      <c r="G8" s="56" t="s">
        <v>106</v>
      </c>
      <c r="H8" s="56" t="s">
        <v>107</v>
      </c>
      <c r="I8" s="56"/>
      <c r="J8" s="56"/>
      <c r="K8" s="56"/>
    </row>
    <row r="9" spans="1:11" ht="16.5" customHeight="1" x14ac:dyDescent="0.3">
      <c r="A9" s="270">
        <v>21</v>
      </c>
      <c r="B9" s="268" t="s">
        <v>102</v>
      </c>
      <c r="C9" s="267" t="s">
        <v>105</v>
      </c>
      <c r="D9" s="56"/>
      <c r="E9" s="56"/>
      <c r="F9" s="56">
        <v>0.65</v>
      </c>
      <c r="G9" s="56" t="s">
        <v>106</v>
      </c>
      <c r="H9" s="56" t="s">
        <v>108</v>
      </c>
      <c r="I9" s="56"/>
      <c r="J9" s="56"/>
      <c r="K9" s="56"/>
    </row>
    <row r="10" spans="1:11" ht="16.5" customHeight="1" x14ac:dyDescent="0.3">
      <c r="A10" s="286">
        <f>A6*F7</f>
        <v>52.89</v>
      </c>
      <c r="B10" s="287" t="s">
        <v>63</v>
      </c>
      <c r="C10" s="288" t="s">
        <v>440</v>
      </c>
      <c r="F10" s="193"/>
      <c r="G10" s="193"/>
      <c r="H10" s="193"/>
      <c r="I10" s="193"/>
      <c r="J10" s="193"/>
      <c r="K10" s="193"/>
    </row>
    <row r="11" spans="1:11" ht="16.5" customHeight="1" x14ac:dyDescent="0.3">
      <c r="A11" s="290" t="s">
        <v>453</v>
      </c>
      <c r="B11" s="291"/>
      <c r="C11" s="290"/>
      <c r="D11" s="64"/>
      <c r="F11" s="193"/>
      <c r="G11" s="193"/>
      <c r="H11" s="193"/>
      <c r="I11" s="193"/>
      <c r="J11" s="193"/>
      <c r="K11" s="193"/>
    </row>
    <row r="12" spans="1:11" ht="32.25" customHeight="1" x14ac:dyDescent="0.3">
      <c r="A12" s="57" t="s">
        <v>447</v>
      </c>
      <c r="B12" s="60"/>
      <c r="C12" s="57"/>
      <c r="D12" s="193"/>
      <c r="E12" s="193"/>
      <c r="F12" s="193"/>
      <c r="G12" s="193"/>
      <c r="H12" s="193"/>
      <c r="I12" s="193"/>
      <c r="J12" s="193"/>
      <c r="K12" s="193"/>
    </row>
    <row r="13" spans="1:11" ht="30" customHeight="1" x14ac:dyDescent="0.3">
      <c r="A13" s="58" t="s">
        <v>459</v>
      </c>
      <c r="B13" s="60"/>
      <c r="C13" s="57"/>
      <c r="D13" s="193"/>
      <c r="E13" s="193"/>
      <c r="F13" s="194" t="s">
        <v>425</v>
      </c>
      <c r="G13" s="1188" t="s">
        <v>428</v>
      </c>
      <c r="H13" s="1188"/>
      <c r="I13" s="275" t="s">
        <v>432</v>
      </c>
      <c r="J13" s="275" t="s">
        <v>433</v>
      </c>
      <c r="K13" s="193"/>
    </row>
    <row r="14" spans="1:11" ht="16.5" customHeight="1" x14ac:dyDescent="0.3">
      <c r="A14" s="267"/>
      <c r="B14" s="268" t="s">
        <v>462</v>
      </c>
      <c r="C14" s="267" t="s">
        <v>460</v>
      </c>
      <c r="D14" s="269" t="s">
        <v>461</v>
      </c>
      <c r="E14" s="274" t="s">
        <v>154</v>
      </c>
      <c r="F14" s="277" t="s">
        <v>137</v>
      </c>
      <c r="G14" s="278" t="s">
        <v>429</v>
      </c>
      <c r="H14" s="278" t="s">
        <v>429</v>
      </c>
      <c r="I14" s="269" t="s">
        <v>429</v>
      </c>
      <c r="J14" s="269" t="s">
        <v>429</v>
      </c>
      <c r="K14" s="193"/>
    </row>
    <row r="15" spans="1:11" ht="16.5" customHeight="1" x14ac:dyDescent="0.3">
      <c r="A15" s="267"/>
      <c r="B15" s="272" t="s">
        <v>423</v>
      </c>
      <c r="C15" s="270" t="s">
        <v>423</v>
      </c>
      <c r="D15" s="270" t="s">
        <v>424</v>
      </c>
      <c r="E15" s="270" t="s">
        <v>424</v>
      </c>
      <c r="F15" s="276" t="s">
        <v>138</v>
      </c>
      <c r="G15" s="279" t="s">
        <v>431</v>
      </c>
      <c r="H15" s="279" t="s">
        <v>430</v>
      </c>
      <c r="I15" s="276" t="s">
        <v>435</v>
      </c>
      <c r="J15" s="283" t="s">
        <v>434</v>
      </c>
      <c r="K15" s="193"/>
    </row>
    <row r="16" spans="1:11" ht="16.5" customHeight="1" x14ac:dyDescent="0.3">
      <c r="A16" s="270">
        <v>2017</v>
      </c>
      <c r="B16" s="271">
        <f>'legname NIR table 4G HWP'!B67</f>
        <v>1520000</v>
      </c>
      <c r="C16" s="271">
        <f>'legname NIR table 4G HWP'!E67</f>
        <v>4087000</v>
      </c>
      <c r="D16" s="271">
        <f>'legname NIR table 4G HWP'!H67</f>
        <v>8888000</v>
      </c>
      <c r="E16" s="273">
        <f>(B16*$F$7)+(C16*$F$7)+D16</f>
        <v>12252200</v>
      </c>
      <c r="F16" s="269">
        <f>'Ass CO2 uso del suolo vers1'!D6</f>
        <v>94150</v>
      </c>
      <c r="G16" s="280">
        <f>E16/(F16)</f>
        <v>130.13489113117365</v>
      </c>
      <c r="H16" s="281">
        <f>G16/100</f>
        <v>1.3013489113117365</v>
      </c>
      <c r="I16" s="292">
        <f>E16*$A$10/1000000</f>
        <v>648.01885800000002</v>
      </c>
      <c r="J16" s="282">
        <f>H16*$A$10</f>
        <v>68.828343919277742</v>
      </c>
      <c r="K16" s="193"/>
    </row>
    <row r="17" spans="1:14" x14ac:dyDescent="0.3">
      <c r="A17" s="270">
        <v>2016</v>
      </c>
      <c r="B17" s="81">
        <f>'legname NIR table 4G HWP'!B66</f>
        <v>1500000</v>
      </c>
      <c r="C17" s="81">
        <f>'legname NIR table 4G HWP'!E66</f>
        <v>4017000</v>
      </c>
      <c r="D17" s="81">
        <f>'legname NIR table 4G HWP'!H66</f>
        <v>8888000</v>
      </c>
      <c r="E17" s="273">
        <f>(B17*$F$7)+(C17*$F$7)+D17</f>
        <v>12198200</v>
      </c>
      <c r="F17" s="21">
        <f>'Ass CO2 uso del suolo vers1'!C6</f>
        <v>93610</v>
      </c>
      <c r="G17" s="280">
        <f>E17/(F17)</f>
        <v>130.30872770003205</v>
      </c>
      <c r="H17" s="281">
        <f>G17/100</f>
        <v>1.3030872770003206</v>
      </c>
      <c r="I17" s="273">
        <f>E17*$A$10/1000000</f>
        <v>645.16279799999995</v>
      </c>
      <c r="J17" s="282">
        <f>H17*$A$10</f>
        <v>68.920286080546958</v>
      </c>
    </row>
    <row r="18" spans="1:14" x14ac:dyDescent="0.3">
      <c r="A18" s="270">
        <v>2015</v>
      </c>
      <c r="B18" s="81">
        <f>'legname NIR table 4G HWP'!B65</f>
        <v>1470000</v>
      </c>
      <c r="C18" s="81">
        <f>'legname NIR table 4G HWP'!E65</f>
        <v>3641000</v>
      </c>
      <c r="D18" s="81">
        <f>'legname NIR table 4G HWP'!H65</f>
        <v>8840350</v>
      </c>
      <c r="E18" s="273">
        <f>(B18*$F$7)+(C18*$F$7)+D18</f>
        <v>11906950</v>
      </c>
      <c r="F18" s="21">
        <f>'Ass CO2 uso del suolo vers1'!B6</f>
        <v>93060</v>
      </c>
      <c r="G18" s="280">
        <f>E18/(F18)</f>
        <v>127.94917257683215</v>
      </c>
      <c r="H18" s="281">
        <f>G18/100</f>
        <v>1.2794917257683216</v>
      </c>
      <c r="I18" s="273">
        <f>E18*$A$10/1000000</f>
        <v>629.75858549999998</v>
      </c>
      <c r="J18" s="282">
        <f>H18*$A$10</f>
        <v>67.672317375886536</v>
      </c>
    </row>
    <row r="19" spans="1:14" x14ac:dyDescent="0.3">
      <c r="A19" t="s">
        <v>437</v>
      </c>
      <c r="F19" t="s">
        <v>436</v>
      </c>
    </row>
    <row r="20" spans="1:14" ht="71.25" customHeight="1" x14ac:dyDescent="0.3">
      <c r="A20" s="1185" t="s">
        <v>470</v>
      </c>
      <c r="B20" s="1186"/>
      <c r="C20" s="1186"/>
      <c r="D20" s="1186"/>
      <c r="E20" s="1186"/>
      <c r="F20" s="289">
        <f>F21+F22</f>
        <v>94146.4</v>
      </c>
      <c r="G20" t="s">
        <v>444</v>
      </c>
    </row>
    <row r="21" spans="1:14" x14ac:dyDescent="0.3">
      <c r="A21" s="69" t="s">
        <v>467</v>
      </c>
      <c r="F21" s="53">
        <f>1961.66*1000/100</f>
        <v>19616.599999999999</v>
      </c>
      <c r="G21" t="s">
        <v>441</v>
      </c>
    </row>
    <row r="22" spans="1:14" x14ac:dyDescent="0.3">
      <c r="A22" s="193" t="s">
        <v>466</v>
      </c>
      <c r="B22" s="168"/>
      <c r="C22" s="168"/>
      <c r="D22" s="168"/>
      <c r="F22">
        <f>7452.98*1000/100</f>
        <v>74529.8</v>
      </c>
      <c r="G22" t="s">
        <v>442</v>
      </c>
    </row>
    <row r="23" spans="1:14" x14ac:dyDescent="0.3">
      <c r="A23" s="77" t="s">
        <v>471</v>
      </c>
      <c r="B23" s="59"/>
      <c r="C23" s="59"/>
      <c r="D23" s="59"/>
      <c r="E23" s="59"/>
      <c r="F23">
        <f>58.86*1000/100</f>
        <v>588.6</v>
      </c>
      <c r="G23" t="s">
        <v>443</v>
      </c>
    </row>
    <row r="24" spans="1:14" ht="18" x14ac:dyDescent="0.35">
      <c r="A24" s="51" t="s">
        <v>96</v>
      </c>
    </row>
    <row r="25" spans="1:14" ht="36" customHeight="1" x14ac:dyDescent="0.3">
      <c r="A25" s="1185" t="s">
        <v>449</v>
      </c>
      <c r="B25" s="1185"/>
      <c r="C25" s="1185"/>
      <c r="D25" s="1185"/>
      <c r="E25" s="1185"/>
      <c r="F25" s="1185"/>
      <c r="G25" s="1185"/>
      <c r="H25" s="1185"/>
      <c r="I25" s="1185"/>
      <c r="J25" s="1185"/>
      <c r="K25" s="1185"/>
      <c r="L25" s="1185"/>
      <c r="M25" s="1185"/>
      <c r="N25" s="1185"/>
    </row>
    <row r="26" spans="1:14" ht="18.75" customHeight="1" x14ac:dyDescent="0.3">
      <c r="A26" s="1185" t="s">
        <v>450</v>
      </c>
      <c r="B26" s="1185"/>
      <c r="C26" s="1185"/>
      <c r="D26" s="1185"/>
      <c r="E26" s="1185"/>
      <c r="F26" s="1185"/>
      <c r="G26" s="1185"/>
      <c r="H26" s="1185"/>
      <c r="I26" s="1185"/>
      <c r="J26" s="1185"/>
      <c r="K26" s="192"/>
      <c r="L26" s="192"/>
      <c r="M26" s="192"/>
      <c r="N26" s="192"/>
    </row>
    <row r="27" spans="1:14" ht="36.75" customHeight="1" x14ac:dyDescent="0.3">
      <c r="A27" s="1185" t="s">
        <v>451</v>
      </c>
      <c r="B27" s="1185"/>
      <c r="C27" s="1185"/>
      <c r="D27" s="1185"/>
      <c r="E27" s="1185"/>
      <c r="F27" s="1185"/>
      <c r="G27" s="1185"/>
      <c r="H27" s="1185"/>
      <c r="I27" s="1185"/>
      <c r="J27" s="1185"/>
      <c r="K27" s="192"/>
      <c r="L27" s="192"/>
      <c r="M27" s="192"/>
      <c r="N27" s="192"/>
    </row>
    <row r="28" spans="1:14" x14ac:dyDescent="0.3">
      <c r="A28" s="19" t="s">
        <v>97</v>
      </c>
      <c r="B28" s="19"/>
      <c r="C28" s="19"/>
      <c r="D28" s="19"/>
      <c r="E28" s="19"/>
      <c r="F28" s="19"/>
      <c r="G28" s="19"/>
      <c r="H28" s="19">
        <v>648</v>
      </c>
      <c r="I28" s="19" t="s">
        <v>93</v>
      </c>
    </row>
    <row r="29" spans="1:14" x14ac:dyDescent="0.3">
      <c r="H29" t="s">
        <v>472</v>
      </c>
    </row>
    <row r="30" spans="1:14" ht="18" x14ac:dyDescent="0.35">
      <c r="A30" s="51" t="s">
        <v>452</v>
      </c>
    </row>
    <row r="31" spans="1:14" ht="32.25" customHeight="1" x14ac:dyDescent="0.35">
      <c r="A31" s="51"/>
      <c r="B31" s="19" t="s">
        <v>457</v>
      </c>
      <c r="F31" s="305" t="s">
        <v>465</v>
      </c>
      <c r="G31" s="59" t="s">
        <v>464</v>
      </c>
      <c r="H31" s="59"/>
    </row>
    <row r="32" spans="1:14" ht="28.8" x14ac:dyDescent="0.3">
      <c r="B32" s="293"/>
      <c r="C32" s="298" t="s">
        <v>458</v>
      </c>
      <c r="D32" s="298" t="s">
        <v>456</v>
      </c>
      <c r="E32" s="298" t="s">
        <v>154</v>
      </c>
      <c r="F32" s="298" t="s">
        <v>463</v>
      </c>
      <c r="G32" s="1184" t="s">
        <v>428</v>
      </c>
      <c r="H32" s="1184"/>
      <c r="I32" s="29" t="s">
        <v>432</v>
      </c>
      <c r="J32" s="29" t="s">
        <v>433</v>
      </c>
    </row>
    <row r="33" spans="1:15" x14ac:dyDescent="0.3">
      <c r="B33" s="293"/>
      <c r="C33" s="297" t="s">
        <v>138</v>
      </c>
      <c r="D33" s="297" t="s">
        <v>138</v>
      </c>
      <c r="E33" s="297" t="s">
        <v>138</v>
      </c>
      <c r="F33" s="297" t="s">
        <v>424</v>
      </c>
      <c r="G33" s="279" t="s">
        <v>431</v>
      </c>
      <c r="H33" s="279" t="s">
        <v>430</v>
      </c>
      <c r="I33" s="276" t="s">
        <v>435</v>
      </c>
      <c r="J33" s="283" t="s">
        <v>434</v>
      </c>
    </row>
    <row r="34" spans="1:15" ht="27" customHeight="1" x14ac:dyDescent="0.3">
      <c r="B34" s="294" t="s">
        <v>454</v>
      </c>
      <c r="C34" s="295">
        <f>473.814795346725*1000/100</f>
        <v>4738.1479534672508</v>
      </c>
      <c r="D34" s="295">
        <f>123.51*1000/100</f>
        <v>1235.0999999999999</v>
      </c>
      <c r="E34" s="296">
        <f>C34+D34</f>
        <v>5973.2479534672511</v>
      </c>
      <c r="F34" s="306">
        <f>H34*E34*100</f>
        <v>777327.97212396655</v>
      </c>
      <c r="G34" s="304">
        <f>H34*100</f>
        <v>130.13489113117365</v>
      </c>
      <c r="H34" s="304">
        <f>H16</f>
        <v>1.3013489113117365</v>
      </c>
      <c r="I34" s="82">
        <f>F34*$A$10/1000000</f>
        <v>41.112876445636594</v>
      </c>
      <c r="J34" s="304">
        <f>H34*$A$10</f>
        <v>68.828343919277742</v>
      </c>
    </row>
    <row r="35" spans="1:15" x14ac:dyDescent="0.3">
      <c r="B35" s="294" t="s">
        <v>342</v>
      </c>
      <c r="C35" s="295">
        <f>236.07988522394*1000/100</f>
        <v>2360.7988522394003</v>
      </c>
      <c r="D35" s="295">
        <f>64.37*1000/100</f>
        <v>643.70000000000005</v>
      </c>
      <c r="E35" s="296">
        <f>C35+D35</f>
        <v>3004.4988522394005</v>
      </c>
      <c r="F35" s="306">
        <f>H35*E35*100</f>
        <v>390990.13103991054</v>
      </c>
      <c r="G35" s="304">
        <f>H35*100</f>
        <v>130.13489113117365</v>
      </c>
      <c r="H35" s="281">
        <f>H16</f>
        <v>1.3013489113117365</v>
      </c>
      <c r="I35" s="82">
        <f>F35*$A$10/1000000</f>
        <v>20.679468030700871</v>
      </c>
      <c r="J35" s="304">
        <f>H35*$A$10</f>
        <v>68.828343919277742</v>
      </c>
    </row>
    <row r="36" spans="1:15" x14ac:dyDescent="0.3">
      <c r="B36" s="294" t="s">
        <v>429</v>
      </c>
      <c r="C36" s="295">
        <f>7452.98*1000/100</f>
        <v>74529.8</v>
      </c>
      <c r="D36" s="295">
        <f>1961.66*1000/100</f>
        <v>19616.599999999999</v>
      </c>
      <c r="E36" s="296">
        <f>C36+D36</f>
        <v>94146.4</v>
      </c>
      <c r="F36" s="82">
        <f>E16</f>
        <v>12252200</v>
      </c>
      <c r="G36" s="304">
        <f>H36*100</f>
        <v>130.13489113117365</v>
      </c>
      <c r="H36" s="281">
        <f>H16</f>
        <v>1.3013489113117365</v>
      </c>
      <c r="I36" s="273">
        <f>F36*A10/1000000</f>
        <v>648.01885800000002</v>
      </c>
      <c r="J36" s="304">
        <f>H36*$A$10</f>
        <v>68.828343919277742</v>
      </c>
    </row>
    <row r="37" spans="1:15" x14ac:dyDescent="0.3">
      <c r="B37" t="s">
        <v>455</v>
      </c>
      <c r="G37" s="300"/>
      <c r="H37" s="301"/>
      <c r="I37" s="303"/>
      <c r="J37" s="302"/>
    </row>
    <row r="40" spans="1:15" x14ac:dyDescent="0.3">
      <c r="A40" s="19" t="s">
        <v>469</v>
      </c>
    </row>
    <row r="41" spans="1:15" x14ac:dyDescent="0.3">
      <c r="A41" s="69" t="s">
        <v>114</v>
      </c>
      <c r="F41" s="53"/>
    </row>
    <row r="42" spans="1:15" x14ac:dyDescent="0.3">
      <c r="A42" s="59" t="s">
        <v>468</v>
      </c>
      <c r="B42" s="309"/>
      <c r="C42" s="309"/>
      <c r="D42" s="309"/>
      <c r="E42" s="309"/>
      <c r="F42" s="309"/>
      <c r="G42" s="309"/>
      <c r="H42" s="309"/>
      <c r="I42" s="299"/>
      <c r="J42" s="307"/>
      <c r="K42" s="59" t="s">
        <v>109</v>
      </c>
      <c r="M42" s="59"/>
      <c r="N42" s="59"/>
      <c r="O42" s="59"/>
    </row>
    <row r="43" spans="1:15" x14ac:dyDescent="0.3">
      <c r="A43" s="308" t="s">
        <v>473</v>
      </c>
      <c r="B43" s="309"/>
      <c r="C43" s="309"/>
      <c r="D43" s="309"/>
      <c r="E43" s="299"/>
      <c r="F43" s="299"/>
      <c r="G43" s="299"/>
      <c r="H43" s="299"/>
      <c r="I43" s="299"/>
      <c r="J43" s="68"/>
      <c r="K43" s="64"/>
    </row>
    <row r="44" spans="1:15" x14ac:dyDescent="0.3">
      <c r="A44" s="299"/>
      <c r="B44" s="299"/>
      <c r="C44" s="299"/>
      <c r="D44" s="299"/>
      <c r="E44" s="299"/>
      <c r="F44" s="299"/>
      <c r="G44" s="299"/>
      <c r="H44" s="299"/>
      <c r="I44" s="299"/>
      <c r="J44" s="68"/>
      <c r="K44" s="64"/>
    </row>
    <row r="45" spans="1:15" ht="18" x14ac:dyDescent="0.35">
      <c r="A45" s="51" t="s">
        <v>422</v>
      </c>
    </row>
    <row r="46" spans="1:15" x14ac:dyDescent="0.3">
      <c r="A46" t="s">
        <v>45</v>
      </c>
    </row>
    <row r="47" spans="1:15" x14ac:dyDescent="0.3">
      <c r="A47" t="s">
        <v>43</v>
      </c>
    </row>
    <row r="48" spans="1:15" x14ac:dyDescent="0.3">
      <c r="A48" t="s">
        <v>44</v>
      </c>
    </row>
    <row r="50" spans="1:10" ht="21" x14ac:dyDescent="0.4">
      <c r="A50" s="568" t="s">
        <v>1445</v>
      </c>
      <c r="B50" s="91"/>
      <c r="C50" s="91"/>
      <c r="D50" s="91" t="s">
        <v>1449</v>
      </c>
      <c r="E50" s="91"/>
      <c r="F50" s="91"/>
      <c r="G50" s="91"/>
      <c r="H50" s="91"/>
      <c r="I50" s="91">
        <v>100</v>
      </c>
      <c r="J50" s="91" t="s">
        <v>1448</v>
      </c>
    </row>
    <row r="51" spans="1:10" x14ac:dyDescent="0.3">
      <c r="A51" s="137" t="s">
        <v>1446</v>
      </c>
      <c r="B51" s="91"/>
      <c r="C51" s="91"/>
      <c r="D51" s="91"/>
      <c r="E51" s="91"/>
      <c r="F51" s="91"/>
      <c r="G51" s="91"/>
      <c r="H51" s="91"/>
      <c r="I51" s="91"/>
      <c r="J51" s="91"/>
    </row>
    <row r="52" spans="1:10" x14ac:dyDescent="0.3">
      <c r="A52" s="19" t="s">
        <v>1255</v>
      </c>
    </row>
    <row r="53" spans="1:10" ht="55.2" x14ac:dyDescent="0.3">
      <c r="A53" s="474" t="s">
        <v>174</v>
      </c>
      <c r="B53" s="475" t="s">
        <v>129</v>
      </c>
      <c r="C53" s="475" t="s">
        <v>1168</v>
      </c>
      <c r="D53" s="475" t="s">
        <v>1140</v>
      </c>
      <c r="E53" s="475" t="s">
        <v>1141</v>
      </c>
      <c r="F53" s="475" t="s">
        <v>1142</v>
      </c>
      <c r="G53" s="475" t="s">
        <v>133</v>
      </c>
      <c r="H53" s="476" t="s">
        <v>134</v>
      </c>
      <c r="I53" s="476" t="s">
        <v>1426</v>
      </c>
      <c r="J53" s="476" t="s">
        <v>1166</v>
      </c>
    </row>
    <row r="54" spans="1:10" ht="27.6" x14ac:dyDescent="0.3">
      <c r="A54" s="467" t="s">
        <v>1167</v>
      </c>
      <c r="B54" s="552">
        <f>$I$50</f>
        <v>100</v>
      </c>
      <c r="C54" s="478">
        <f>C55-$I$50</f>
        <v>-100</v>
      </c>
      <c r="D54" s="478">
        <f t="shared" ref="D54:J54" si="0">-$I$50</f>
        <v>-100</v>
      </c>
      <c r="E54" s="478">
        <f t="shared" si="0"/>
        <v>-100</v>
      </c>
      <c r="F54" s="478">
        <f>$I$50-B54</f>
        <v>0</v>
      </c>
      <c r="G54" s="478">
        <f t="shared" si="0"/>
        <v>-100</v>
      </c>
      <c r="H54" s="478">
        <f t="shared" si="0"/>
        <v>-100</v>
      </c>
      <c r="I54" s="478">
        <f t="shared" si="0"/>
        <v>-100</v>
      </c>
      <c r="J54" s="478">
        <f t="shared" si="0"/>
        <v>-100</v>
      </c>
    </row>
    <row r="55" spans="1:10" ht="41.4" x14ac:dyDescent="0.3">
      <c r="A55" s="477" t="s">
        <v>1168</v>
      </c>
      <c r="B55" s="478">
        <f t="shared" ref="B55:B62" si="1">$I$50</f>
        <v>100</v>
      </c>
      <c r="C55" s="552">
        <v>0</v>
      </c>
      <c r="D55" s="478"/>
      <c r="E55" s="478"/>
      <c r="F55" s="478">
        <f>$I$50-C55</f>
        <v>100</v>
      </c>
      <c r="G55" s="567"/>
      <c r="H55" s="567"/>
      <c r="I55" s="478"/>
      <c r="J55" s="478"/>
    </row>
    <row r="56" spans="1:10" ht="27.6" x14ac:dyDescent="0.3">
      <c r="A56" s="477" t="s">
        <v>1140</v>
      </c>
      <c r="B56" s="478">
        <f t="shared" si="1"/>
        <v>100</v>
      </c>
      <c r="C56" s="478"/>
      <c r="D56" s="552">
        <v>0</v>
      </c>
      <c r="E56" s="478"/>
      <c r="F56" s="478">
        <f>$I$50-D56</f>
        <v>100</v>
      </c>
      <c r="G56" s="567"/>
      <c r="H56" s="567"/>
      <c r="I56" s="478"/>
      <c r="J56" s="478"/>
    </row>
    <row r="57" spans="1:10" ht="41.4" x14ac:dyDescent="0.3">
      <c r="A57" s="477" t="s">
        <v>1141</v>
      </c>
      <c r="B57" s="478">
        <f t="shared" si="1"/>
        <v>100</v>
      </c>
      <c r="C57" s="478"/>
      <c r="D57" s="478"/>
      <c r="E57" s="552">
        <v>0</v>
      </c>
      <c r="F57" s="478">
        <f>$I$50-E57</f>
        <v>100</v>
      </c>
      <c r="G57" s="567"/>
      <c r="H57" s="567"/>
      <c r="I57" s="478"/>
      <c r="J57" s="478"/>
    </row>
    <row r="58" spans="1:10" ht="41.4" x14ac:dyDescent="0.3">
      <c r="A58" s="477" t="s">
        <v>1142</v>
      </c>
      <c r="B58" s="478">
        <f>B54-$I$50</f>
        <v>0</v>
      </c>
      <c r="C58" s="478">
        <f t="shared" ref="C58:E58" si="2">-$I$50</f>
        <v>-100</v>
      </c>
      <c r="D58" s="478">
        <f t="shared" si="2"/>
        <v>-100</v>
      </c>
      <c r="E58" s="478">
        <f t="shared" si="2"/>
        <v>-100</v>
      </c>
      <c r="F58" s="552">
        <f>$I$50</f>
        <v>100</v>
      </c>
      <c r="G58" s="478">
        <f>-$I$50</f>
        <v>-100</v>
      </c>
      <c r="H58" s="478">
        <f t="shared" ref="H58:J58" si="3">-$I$50</f>
        <v>-100</v>
      </c>
      <c r="I58" s="478">
        <f t="shared" si="3"/>
        <v>-100</v>
      </c>
      <c r="J58" s="478">
        <f t="shared" si="3"/>
        <v>-100</v>
      </c>
    </row>
    <row r="59" spans="1:10" x14ac:dyDescent="0.3">
      <c r="A59" s="477" t="s">
        <v>133</v>
      </c>
      <c r="B59" s="478">
        <f t="shared" si="1"/>
        <v>100</v>
      </c>
      <c r="C59" s="566"/>
      <c r="D59" s="566"/>
      <c r="E59" s="566"/>
      <c r="F59" s="478">
        <f>$I$50-G59</f>
        <v>100</v>
      </c>
      <c r="G59" s="571">
        <v>0</v>
      </c>
      <c r="H59" s="566"/>
      <c r="I59" s="566"/>
      <c r="J59" s="566"/>
    </row>
    <row r="60" spans="1:10" x14ac:dyDescent="0.3">
      <c r="A60" s="477" t="s">
        <v>134</v>
      </c>
      <c r="B60" s="478">
        <f t="shared" si="1"/>
        <v>100</v>
      </c>
      <c r="C60" s="566"/>
      <c r="D60" s="566"/>
      <c r="E60" s="566"/>
      <c r="F60" s="478">
        <f>$I$50-H60</f>
        <v>100</v>
      </c>
      <c r="G60" s="566"/>
      <c r="H60" s="554">
        <v>0</v>
      </c>
      <c r="I60" s="566"/>
      <c r="J60" s="566"/>
    </row>
    <row r="61" spans="1:10" ht="41.4" x14ac:dyDescent="0.3">
      <c r="A61" s="555" t="s">
        <v>1427</v>
      </c>
      <c r="B61" s="478">
        <f t="shared" si="1"/>
        <v>100</v>
      </c>
      <c r="C61" s="478"/>
      <c r="D61" s="478"/>
      <c r="E61" s="478"/>
      <c r="F61" s="478">
        <f>$I$50-I61</f>
        <v>100</v>
      </c>
      <c r="G61" s="567"/>
      <c r="H61" s="567"/>
      <c r="I61" s="552">
        <v>0</v>
      </c>
      <c r="J61" s="478"/>
    </row>
    <row r="62" spans="1:10" ht="41.4" x14ac:dyDescent="0.3">
      <c r="A62" s="477" t="s">
        <v>1166</v>
      </c>
      <c r="B62" s="478">
        <f t="shared" si="1"/>
        <v>100</v>
      </c>
      <c r="C62" s="478"/>
      <c r="D62" s="478"/>
      <c r="E62" s="478"/>
      <c r="F62" s="478">
        <f t="shared" ref="F62" si="4">$I$50</f>
        <v>100</v>
      </c>
      <c r="G62" s="567"/>
      <c r="H62" s="567"/>
      <c r="I62" s="478"/>
      <c r="J62" s="552">
        <v>0</v>
      </c>
    </row>
  </sheetData>
  <mergeCells count="7">
    <mergeCell ref="G32:H32"/>
    <mergeCell ref="A20:E20"/>
    <mergeCell ref="A4:K4"/>
    <mergeCell ref="A25:N25"/>
    <mergeCell ref="G13:H13"/>
    <mergeCell ref="A26:J26"/>
    <mergeCell ref="A27:J27"/>
  </mergeCells>
  <phoneticPr fontId="10" type="noConversion"/>
  <pageMargins left="0.7" right="0.7" top="0.75" bottom="0.75" header="0.3" footer="0.3"/>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c E A A B Q S w M E F A A C A A g A j I 1 h V f k X B u G l A A A A 9 Q A A A B I A H A B D b 2 5 m a W c v U G F j a 2 F n Z S 5 4 b W w g o h g A K K A U A A A A A A A A A A A A A A A A A A A A A A A A A A A A h Y 8 x D o I w G I W v Q r r T 1 m o M k p 8 y O J l I Y q I x r k 2 p 0 A j F 0 G K 5 m 4 N H 8 g p i F H V z f N / 7 h v f u 1 x u k f V 0 F F 9 V a 3 Z g E T T B F g T K y y b U p E t S 5 Y x i h l M N G y J M o V D D I x s a 9 z R N U O n e O C f H e Y z / F T V s Q R u m E H L L 1 V p a q F u g j 6 / 9 y q I 1 1 w k i F O O x f Y z j D i z m O Z g x T I C O D T J t v z 4 a 5 z / Y H w r K r X N c q r l 2 4 2 g E Z I 5 D 3 B f 4 A U E s D B B Q A A g A I A I y N Y V 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j W F V Y g l s 7 6 A B A A A J D Q A A E w A c A E Z v c m 1 1 b G F z L 1 N l Y 3 R p b 2 4 x L m 0 g o h g A K K A U A A A A A A A A A A A A A A A A A A A A A A A A A A A A 7 Z V d S + Q w F I b v B + Y / H O r N D J R i s n 4 v v V g 6 C r K s q 3 a 8 s k v J t G c 0 m C Y l S Y c d x P + + G U d R w e O V K y j t T d r 3 N O Q 8 K U / j s P L S a M j X I / s + H A w H 7 l p Y r G G u j K n L y m h v j S p d 1 7 Z q W f J N t l f e N B x S U O i H A w j X b y u v p M Y Q Z W 6 R T E z V N a j 9 6 E g q T L I w P T y 4 U Z Q d F B P p K g O T Q g g B 5 / n h a j y v c + D J F l i p t V m I m V S y + H l 8 C s c n 2 Q 9 Y L Q a 1 8 A J m w q E r 8 o s p T M V M o Q s l z q F r Q x F h b i w s U d j 7 9 4 u j V d v w 0 H b x J k R S u U U 0 j i 8 n q G Q j P d o 0 i q M Y M q O 6 R r u U 7 c Z w q C t T S 3 2 V M r 7 N Y z j r j M f c L x W m T 7 f J i d H 4 Z x y v d 2 M j + h V m z G U l v A E v W x O F j b n v O p l a o V 3 o t l m v M F 2 2 6 E Y P u x f f 3 k b r m I U W f C i B x 7 / + L o b H n B P 5 N y L f I v J t I t 8 h 8 l 0 i 3 y P y f S J n m 1 S B I m Y U M q O Y G Q X N K G p G Y b O X 3 H f j 4 U B q 6 h P T 3 n Q O P 7 k 0 z w l 6 Y 3 p j / r c x T z 9 p X j Z S q X A u l d h Z 8 z n t o W h 6 k 3 q T P u j s + Q o a v Y r S O 9 Q 7 9 E 4 O / Q N Q S w E C L Q A U A A I A C A C M j W F V + R c G 4 a U A A A D 1 A A A A E g A A A A A A A A A A A A A A A A A A A A A A Q 2 9 u Z m l n L 1 B h Y 2 t h Z 2 U u e G 1 s U E s B A i 0 A F A A C A A g A j I 1 h V Q / K 6 a u k A A A A 6 Q A A A B M A A A A A A A A A A A A A A A A A 8 Q A A A F t D b 2 5 0 Z W 5 0 X 1 R 5 c G V z X S 5 4 b W x Q S w E C L Q A U A A I A C A C M j W F V Y g l s 7 6 A B A A A J D Q A A E w A A A A A A A A A A A A A A A A D i A Q A A R m 9 y b X V s Y X M v U 2 V j d G l v b j E u b V B L B Q Y A A A A A A w A D A M I A A A D P 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R S w A A A A A A A O 9 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m x v b 2 R f Y 2 9 u d H J v b F 9 z d X B w b H l f M j A x O F 9 r b 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C I g L z 4 8 R W 5 0 c n k g V H l w Z T 0 i R m l s b E V y c m 9 y Q 2 9 k Z S I g V m F s d W U 9 I n N V b m t u b 3 d u I i A v P j x F b n R y e S B U e X B l P S J G a W x s R X J y b 3 J D b 3 V u d C I g V m F s d W U 9 I m w w I i A v P j x F b n R y e S B U e X B l P S J G a W x s T G F z d F V w Z G F 0 Z W Q i I F Z h b H V l P S J k M j A y M i 0 x M S 0 w M V Q x N j o w N z o z M y 4 0 M z c 5 N j E y W i I g L z 4 8 R W 5 0 c n k g V H l w Z T 0 i R m l s b E N v b H V t b l R 5 c G V z I i B W Y W x 1 Z T 0 i c 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m b G 9 v Z F 9 j b 2 5 0 c m 9 s X 3 N 1 c H B s e V 8 y M D E 4 X 2 t t M i 9 N b 2 R p Z m l j Y X R v I H R p c G 8 u e 0 N v b H V t b j E s M H 0 m c X V v d D s s J n F 1 b 3 Q 7 U 2 V j d G l v b j E v Z m x v b 2 R f Y 2 9 u d H J v b F 9 z d X B w b H l f M j A x O F 9 r b T I v T W 9 k a W Z p Y 2 F 0 b y B 0 a X B v L n t D b 2 x 1 b W 4 y L D F 9 J n F 1 b 3 Q 7 L C Z x d W 9 0 O 1 N l Y 3 R p b 2 4 x L 2 Z s b 2 9 k X 2 N v b n R y b 2 x f c 3 V w c G x 5 X z I w M T h f a 2 0 y L 0 1 v Z G l m a W N h d G 8 g d G l w b y 5 7 Q 2 9 s d W 1 u M y w y f S Z x d W 9 0 O y w m c X V v d D t T Z W N 0 a W 9 u M S 9 m b G 9 v Z F 9 j b 2 5 0 c m 9 s X 3 N 1 c H B s e V 8 y M D E 4 X 2 t t M i 9 N b 2 R p Z m l j Y X R v I H R p c G 8 u e 0 N v b H V t b j Q s M 3 0 m c X V v d D s s J n F 1 b 3 Q 7 U 2 V j d G l v b j E v Z m x v b 2 R f Y 2 9 u d H J v b F 9 z d X B w b H l f M j A x O F 9 r b T I v T W 9 k a W Z p Y 2 F 0 b y B 0 a X B v L n t D b 2 x 1 b W 4 1 L D R 9 J n F 1 b 3 Q 7 L C Z x d W 9 0 O 1 N l Y 3 R p b 2 4 x L 2 Z s b 2 9 k X 2 N v b n R y b 2 x f c 3 V w c G x 5 X z I w M T h f a 2 0 y L 0 1 v Z G l m a W N h d G 8 g d G l w b y 5 7 Q 2 9 s d W 1 u N i w 1 f S Z x d W 9 0 O y w m c X V v d D t T Z W N 0 a W 9 u M S 9 m b G 9 v Z F 9 j b 2 5 0 c m 9 s X 3 N 1 c H B s e V 8 y M D E 4 X 2 t t M i 9 N b 2 R p Z m l j Y X R v I H R p c G 8 u e 0 N v b H V t b j c s N n 0 m c X V v d D s s J n F 1 b 3 Q 7 U 2 V j d G l v b j E v Z m x v b 2 R f Y 2 9 u d H J v b F 9 z d X B w b H l f M j A x O F 9 r b T I v T W 9 k a W Z p Y 2 F 0 b y B 0 a X B v L n t D b 2 x 1 b W 4 4 L D d 9 J n F 1 b 3 Q 7 L C Z x d W 9 0 O 1 N l Y 3 R p b 2 4 x L 2 Z s b 2 9 k X 2 N v b n R y b 2 x f c 3 V w c G x 5 X z I w M T h f a 2 0 y L 0 1 v Z G l m a W N h d G 8 g d G l w b y 5 7 Q 2 9 s d W 1 u O S w 4 f S Z x d W 9 0 O y w m c X V v d D t T Z W N 0 a W 9 u M S 9 m b G 9 v Z F 9 j b 2 5 0 c m 9 s X 3 N 1 c H B s e V 8 y M D E 4 X 2 t t M i 9 N b 2 R p Z m l j Y X R v I H R p c G 8 u e 0 N v b H V t b j E w L D l 9 J n F 1 b 3 Q 7 L C Z x d W 9 0 O 1 N l Y 3 R p b 2 4 x L 2 Z s b 2 9 k X 2 N v b n R y b 2 x f c 3 V w c G x 5 X z I w M T h f a 2 0 y L 0 1 v Z G l m a W N h d G 8 g d G l w b y 5 7 Q 2 9 s d W 1 u M T E s M T B 9 J n F 1 b 3 Q 7 L C Z x d W 9 0 O 1 N l Y 3 R p b 2 4 x L 2 Z s b 2 9 k X 2 N v b n R y b 2 x f c 3 V w c G x 5 X z I w M T h f a 2 0 y L 0 1 v Z G l m a W N h d G 8 g d G l w b y 5 7 Q 2 9 s d W 1 u M T I s M T F 9 J n F 1 b 3 Q 7 L C Z x d W 9 0 O 1 N l Y 3 R p b 2 4 x L 2 Z s b 2 9 k X 2 N v b n R y b 2 x f c 3 V w c G x 5 X z I w M T h f a 2 0 y L 0 1 v Z G l m a W N h d G 8 g d G l w b y 5 7 Q 2 9 s d W 1 u M T M s M T J 9 J n F 1 b 3 Q 7 L C Z x d W 9 0 O 1 N l Y 3 R p b 2 4 x L 2 Z s b 2 9 k X 2 N v b n R y b 2 x f c 3 V w c G x 5 X z I w M T h f a 2 0 y L 0 1 v Z G l m a W N h d G 8 g d G l w b y 5 7 Q 2 9 s d W 1 u M T Q s M T N 9 J n F 1 b 3 Q 7 L C Z x d W 9 0 O 1 N l Y 3 R p b 2 4 x L 2 Z s b 2 9 k X 2 N v b n R y b 2 x f c 3 V w c G x 5 X z I w M T h f a 2 0 y L 0 1 v Z G l m a W N h d G 8 g d G l w b y 5 7 Q 2 9 s d W 1 u M T U s M T R 9 J n F 1 b 3 Q 7 L C Z x d W 9 0 O 1 N l Y 3 R p b 2 4 x L 2 Z s b 2 9 k X 2 N v b n R y b 2 x f c 3 V w c G x 5 X z I w M T h f a 2 0 y L 0 1 v Z G l m a W N h d G 8 g d G l w b y 5 7 Q 2 9 s d W 1 u M T Y s M T V 9 J n F 1 b 3 Q 7 L C Z x d W 9 0 O 1 N l Y 3 R p b 2 4 x L 2 Z s b 2 9 k X 2 N v b n R y b 2 x f c 3 V w c G x 5 X z I w M T h f a 2 0 y L 0 1 v Z G l m a W N h d G 8 g d G l w b y 5 7 Q 2 9 s d W 1 u M T c s M T Z 9 J n F 1 b 3 Q 7 X S w m c X V v d D t D b 2 x 1 b W 5 D b 3 V u d C Z x d W 9 0 O z o x N y w m c X V v d D t L Z X l D b 2 x 1 b W 5 O Y W 1 l c y Z x d W 9 0 O z p b X S w m c X V v d D t D b 2 x 1 b W 5 J Z G V u d G l 0 a W V z J n F 1 b 3 Q 7 O l s m c X V v d D t T Z W N 0 a W 9 u M S 9 m b G 9 v Z F 9 j b 2 5 0 c m 9 s X 3 N 1 c H B s e V 8 y M D E 4 X 2 t t M i 9 N b 2 R p Z m l j Y X R v I H R p c G 8 u e 0 N v b H V t b j E s M H 0 m c X V v d D s s J n F 1 b 3 Q 7 U 2 V j d G l v b j E v Z m x v b 2 R f Y 2 9 u d H J v b F 9 z d X B w b H l f M j A x O F 9 r b T I v T W 9 k a W Z p Y 2 F 0 b y B 0 a X B v L n t D b 2 x 1 b W 4 y L D F 9 J n F 1 b 3 Q 7 L C Z x d W 9 0 O 1 N l Y 3 R p b 2 4 x L 2 Z s b 2 9 k X 2 N v b n R y b 2 x f c 3 V w c G x 5 X z I w M T h f a 2 0 y L 0 1 v Z G l m a W N h d G 8 g d G l w b y 5 7 Q 2 9 s d W 1 u M y w y f S Z x d W 9 0 O y w m c X V v d D t T Z W N 0 a W 9 u M S 9 m b G 9 v Z F 9 j b 2 5 0 c m 9 s X 3 N 1 c H B s e V 8 y M D E 4 X 2 t t M i 9 N b 2 R p Z m l j Y X R v I H R p c G 8 u e 0 N v b H V t b j Q s M 3 0 m c X V v d D s s J n F 1 b 3 Q 7 U 2 V j d G l v b j E v Z m x v b 2 R f Y 2 9 u d H J v b F 9 z d X B w b H l f M j A x O F 9 r b T I v T W 9 k a W Z p Y 2 F 0 b y B 0 a X B v L n t D b 2 x 1 b W 4 1 L D R 9 J n F 1 b 3 Q 7 L C Z x d W 9 0 O 1 N l Y 3 R p b 2 4 x L 2 Z s b 2 9 k X 2 N v b n R y b 2 x f c 3 V w c G x 5 X z I w M T h f a 2 0 y L 0 1 v Z G l m a W N h d G 8 g d G l w b y 5 7 Q 2 9 s d W 1 u N i w 1 f S Z x d W 9 0 O y w m c X V v d D t T Z W N 0 a W 9 u M S 9 m b G 9 v Z F 9 j b 2 5 0 c m 9 s X 3 N 1 c H B s e V 8 y M D E 4 X 2 t t M i 9 N b 2 R p Z m l j Y X R v I H R p c G 8 u e 0 N v b H V t b j c s N n 0 m c X V v d D s s J n F 1 b 3 Q 7 U 2 V j d G l v b j E v Z m x v b 2 R f Y 2 9 u d H J v b F 9 z d X B w b H l f M j A x O F 9 r b T I v T W 9 k a W Z p Y 2 F 0 b y B 0 a X B v L n t D b 2 x 1 b W 4 4 L D d 9 J n F 1 b 3 Q 7 L C Z x d W 9 0 O 1 N l Y 3 R p b 2 4 x L 2 Z s b 2 9 k X 2 N v b n R y b 2 x f c 3 V w c G x 5 X z I w M T h f a 2 0 y L 0 1 v Z G l m a W N h d G 8 g d G l w b y 5 7 Q 2 9 s d W 1 u O S w 4 f S Z x d W 9 0 O y w m c X V v d D t T Z W N 0 a W 9 u M S 9 m b G 9 v Z F 9 j b 2 5 0 c m 9 s X 3 N 1 c H B s e V 8 y M D E 4 X 2 t t M i 9 N b 2 R p Z m l j Y X R v I H R p c G 8 u e 0 N v b H V t b j E w L D l 9 J n F 1 b 3 Q 7 L C Z x d W 9 0 O 1 N l Y 3 R p b 2 4 x L 2 Z s b 2 9 k X 2 N v b n R y b 2 x f c 3 V w c G x 5 X z I w M T h f a 2 0 y L 0 1 v Z G l m a W N h d G 8 g d G l w b y 5 7 Q 2 9 s d W 1 u M T E s M T B 9 J n F 1 b 3 Q 7 L C Z x d W 9 0 O 1 N l Y 3 R p b 2 4 x L 2 Z s b 2 9 k X 2 N v b n R y b 2 x f c 3 V w c G x 5 X z I w M T h f a 2 0 y L 0 1 v Z G l m a W N h d G 8 g d G l w b y 5 7 Q 2 9 s d W 1 u M T I s M T F 9 J n F 1 b 3 Q 7 L C Z x d W 9 0 O 1 N l Y 3 R p b 2 4 x L 2 Z s b 2 9 k X 2 N v b n R y b 2 x f c 3 V w c G x 5 X z I w M T h f a 2 0 y L 0 1 v Z G l m a W N h d G 8 g d G l w b y 5 7 Q 2 9 s d W 1 u M T M s M T J 9 J n F 1 b 3 Q 7 L C Z x d W 9 0 O 1 N l Y 3 R p b 2 4 x L 2 Z s b 2 9 k X 2 N v b n R y b 2 x f c 3 V w c G x 5 X z I w M T h f a 2 0 y L 0 1 v Z G l m a W N h d G 8 g d G l w b y 5 7 Q 2 9 s d W 1 u M T Q s M T N 9 J n F 1 b 3 Q 7 L C Z x d W 9 0 O 1 N l Y 3 R p b 2 4 x L 2 Z s b 2 9 k X 2 N v b n R y b 2 x f c 3 V w c G x 5 X z I w M T h f a 2 0 y L 0 1 v Z G l m a W N h d G 8 g d G l w b y 5 7 Q 2 9 s d W 1 u M T U s M T R 9 J n F 1 b 3 Q 7 L C Z x d W 9 0 O 1 N l Y 3 R p b 2 4 x L 2 Z s b 2 9 k X 2 N v b n R y b 2 x f c 3 V w c G x 5 X z I w M T h f a 2 0 y L 0 1 v Z G l m a W N h d G 8 g d G l w b y 5 7 Q 2 9 s d W 1 u M T Y s M T V 9 J n F 1 b 3 Q 7 L C Z x d W 9 0 O 1 N l Y 3 R p b 2 4 x L 2 Z s b 2 9 k X 2 N v b n R y b 2 x f c 3 V w c G x 5 X z I w M T h f a 2 0 y L 0 1 v Z G l m a W N h d G 8 g d G l w b y 5 7 Q 2 9 s d W 1 u M T c s M T Z 9 J n F 1 b 3 Q 7 X S w m c X V v d D t S Z W x h d G l v b n N o a X B J b m Z v J n F 1 b 3 Q 7 O l t d f S I g L z 4 8 L 1 N 0 Y W J s Z U V u d H J p Z X M + P C 9 J d G V t P j x J d G V t P j x J d G V t T G 9 j Y X R p b 2 4 + P E l 0 Z W 1 U e X B l P k Z v c m 1 1 b G E 8 L 0 l 0 Z W 1 U e X B l P j x J d G V t U G F 0 a D 5 T Z W N 0 a W 9 u M S 9 m b G 9 v Z F 9 j b 2 5 0 c m 9 s X 3 N 1 c H B s e V 8 y M D E 4 X 2 t t M i 9 P c m l n a W 5 l P C 9 J d G V t U G F 0 a D 4 8 L 0 l 0 Z W 1 M b 2 N h d G l v b j 4 8 U 3 R h Y m x l R W 5 0 c m l l c y A v P j w v S X R l b T 4 8 S X R l b T 4 8 S X R l b U x v Y 2 F 0 a W 9 u P j x J d G V t V H l w Z T 5 G b 3 J t d W x h P C 9 J d G V t V H l w Z T 4 8 S X R l b V B h d G g + U 2 V j d G l v b j E v Z m x v b 2 R f Y 2 9 u d H J v b F 9 z d X B w b H l f M j A x O F 9 r b T I v T W 9 k a W Z p Y 2 F 0 b y U y M H R p c G 8 8 L 0 l 0 Z W 1 Q Y X R o P j w v S X R l b U x v Y 2 F 0 a W 9 u P j x T d G F i b G V F b n R y a W V z I C 8 + P C 9 J d G V t P j x J d G V t P j x J d G V t T G 9 j Y X R p b 2 4 + P E l 0 Z W 1 U e X B l P k Z v c m 1 1 b G E 8 L 0 l 0 Z W 1 U e X B l P j x J d G V t U G F 0 a D 5 T Z W N 0 a W 9 u M S 9 m b G 9 v Z F 9 j b 2 5 0 c m 9 s X 3 V z Z V 8 y M D E 4 X 2 t t 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w I i A v P j x F b n R y e S B U e X B l P S J G a W x s R X J y b 3 J D b 2 R l I i B W Y W x 1 Z T 0 i c 1 V u a 2 5 v d 2 4 i I C 8 + P E V u d H J 5 I F R 5 c G U 9 I k Z p b G x F c n J v c k N v d W 5 0 I i B W Y W x 1 Z T 0 i b D A i I C 8 + P E V u d H J 5 I F R 5 c G U 9 I k Z p b G x M Y X N 0 V X B k Y X R l Z C I g V m F s d W U 9 I m Q y M D I y L T E x L T A x V D E 2 O j E y O j A 5 L j M 2 N D g 0 M z Z a I i A v P j x F b n R y e S B U e X B l P S J G a W x s Q 2 9 s d W 1 u V H l w Z X M i I F Z h b H V l P S J z 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Z s b 2 9 k X 2 N v b n R y b 2 x f d X N l X z I w M T h f a 2 0 y L 0 1 v Z G l m a W N h d G 8 g d G l w b y 5 7 Q 2 9 s d W 1 u M S w w f S Z x d W 9 0 O y w m c X V v d D t T Z W N 0 a W 9 u M S 9 m b G 9 v Z F 9 j b 2 5 0 c m 9 s X 3 V z Z V 8 y M D E 4 X 2 t t M i 9 N b 2 R p Z m l j Y X R v I H R p c G 8 u e 0 N v b H V t b j I s M X 0 m c X V v d D s s J n F 1 b 3 Q 7 U 2 V j d G l v b j E v Z m x v b 2 R f Y 2 9 u d H J v b F 9 1 c 2 V f M j A x O F 9 r b T I v T W 9 k a W Z p Y 2 F 0 b y B 0 a X B v L n t D b 2 x 1 b W 4 z L D J 9 J n F 1 b 3 Q 7 L C Z x d W 9 0 O 1 N l Y 3 R p b 2 4 x L 2 Z s b 2 9 k X 2 N v b n R y b 2 x f d X N l X z I w M T h f a 2 0 y L 0 1 v Z G l m a W N h d G 8 g d G l w b y 5 7 Q 2 9 s d W 1 u N C w z f S Z x d W 9 0 O y w m c X V v d D t T Z W N 0 a W 9 u M S 9 m b G 9 v Z F 9 j b 2 5 0 c m 9 s X 3 V z Z V 8 y M D E 4 X 2 t t M i 9 N b 2 R p Z m l j Y X R v I H R p c G 8 u e 0 N v b H V t b j U s N H 0 m c X V v d D s s J n F 1 b 3 Q 7 U 2 V j d G l v b j E v Z m x v b 2 R f Y 2 9 u d H J v b F 9 1 c 2 V f M j A x O F 9 r b T I v T W 9 k a W Z p Y 2 F 0 b y B 0 a X B v L n t D b 2 x 1 b W 4 2 L D V 9 J n F 1 b 3 Q 7 L C Z x d W 9 0 O 1 N l Y 3 R p b 2 4 x L 2 Z s b 2 9 k X 2 N v b n R y b 2 x f d X N l X z I w M T h f a 2 0 y L 0 1 v Z G l m a W N h d G 8 g d G l w b y 5 7 Q 2 9 s d W 1 u N y w 2 f S Z x d W 9 0 O y w m c X V v d D t T Z W N 0 a W 9 u M S 9 m b G 9 v Z F 9 j b 2 5 0 c m 9 s X 3 V z Z V 8 y M D E 4 X 2 t t M i 9 N b 2 R p Z m l j Y X R v I H R p c G 8 u e 0 N v b H V t b j g s N 3 0 m c X V v d D s s J n F 1 b 3 Q 7 U 2 V j d G l v b j E v Z m x v b 2 R f Y 2 9 u d H J v b F 9 1 c 2 V f M j A x O F 9 r b T I v T W 9 k a W Z p Y 2 F 0 b y B 0 a X B v L n t D b 2 x 1 b W 4 5 L D h 9 J n F 1 b 3 Q 7 L C Z x d W 9 0 O 1 N l Y 3 R p b 2 4 x L 2 Z s b 2 9 k X 2 N v b n R y b 2 x f d X N l X z I w M T h f a 2 0 y L 0 1 v Z G l m a W N h d G 8 g d G l w b y 5 7 Q 2 9 s d W 1 u M T A s O X 0 m c X V v d D s s J n F 1 b 3 Q 7 U 2 V j d G l v b j E v Z m x v b 2 R f Y 2 9 u d H J v b F 9 1 c 2 V f M j A x O F 9 r b T I v T W 9 k a W Z p Y 2 F 0 b y B 0 a X B v L n t D b 2 x 1 b W 4 x M S w x M H 0 m c X V v d D s s J n F 1 b 3 Q 7 U 2 V j d G l v b j E v Z m x v b 2 R f Y 2 9 u d H J v b F 9 1 c 2 V f M j A x O F 9 r b T I v T W 9 k a W Z p Y 2 F 0 b y B 0 a X B v L n t D b 2 x 1 b W 4 x M i w x M X 0 m c X V v d D s s J n F 1 b 3 Q 7 U 2 V j d G l v b j E v Z m x v b 2 R f Y 2 9 u d H J v b F 9 1 c 2 V f M j A x O F 9 r b T I v T W 9 k a W Z p Y 2 F 0 b y B 0 a X B v L n t D b 2 x 1 b W 4 x M y w x M n 0 m c X V v d D s s J n F 1 b 3 Q 7 U 2 V j d G l v b j E v Z m x v b 2 R f Y 2 9 u d H J v b F 9 1 c 2 V f M j A x O F 9 r b T I v T W 9 k a W Z p Y 2 F 0 b y B 0 a X B v L n t D b 2 x 1 b W 4 x N C w x M 3 0 m c X V v d D s s J n F 1 b 3 Q 7 U 2 V j d G l v b j E v Z m x v b 2 R f Y 2 9 u d H J v b F 9 1 c 2 V f M j A x O F 9 r b T I v T W 9 k a W Z p Y 2 F 0 b y B 0 a X B v L n t D b 2 x 1 b W 4 x N S w x N H 0 m c X V v d D s s J n F 1 b 3 Q 7 U 2 V j d G l v b j E v Z m x v b 2 R f Y 2 9 u d H J v b F 9 1 c 2 V f M j A x O F 9 r b T I v T W 9 k a W Z p Y 2 F 0 b y B 0 a X B v L n t D b 2 x 1 b W 4 x N i w x N X 0 m c X V v d D s s J n F 1 b 3 Q 7 U 2 V j d G l v b j E v Z m x v b 2 R f Y 2 9 u d H J v b F 9 1 c 2 V f M j A x O F 9 r b T I v T W 9 k a W Z p Y 2 F 0 b y B 0 a X B v L n t D b 2 x 1 b W 4 x N y w x N n 0 m c X V v d D t d L C Z x d W 9 0 O 0 N v b H V t b k N v d W 5 0 J n F 1 b 3 Q 7 O j E 3 L C Z x d W 9 0 O 0 t l e U N v b H V t b k 5 h b W V z J n F 1 b 3 Q 7 O l t d L C Z x d W 9 0 O 0 N v b H V t b k l k Z W 5 0 a X R p Z X M m c X V v d D s 6 W y Z x d W 9 0 O 1 N l Y 3 R p b 2 4 x L 2 Z s b 2 9 k X 2 N v b n R y b 2 x f d X N l X z I w M T h f a 2 0 y L 0 1 v Z G l m a W N h d G 8 g d G l w b y 5 7 Q 2 9 s d W 1 u M S w w f S Z x d W 9 0 O y w m c X V v d D t T Z W N 0 a W 9 u M S 9 m b G 9 v Z F 9 j b 2 5 0 c m 9 s X 3 V z Z V 8 y M D E 4 X 2 t t M i 9 N b 2 R p Z m l j Y X R v I H R p c G 8 u e 0 N v b H V t b j I s M X 0 m c X V v d D s s J n F 1 b 3 Q 7 U 2 V j d G l v b j E v Z m x v b 2 R f Y 2 9 u d H J v b F 9 1 c 2 V f M j A x O F 9 r b T I v T W 9 k a W Z p Y 2 F 0 b y B 0 a X B v L n t D b 2 x 1 b W 4 z L D J 9 J n F 1 b 3 Q 7 L C Z x d W 9 0 O 1 N l Y 3 R p b 2 4 x L 2 Z s b 2 9 k X 2 N v b n R y b 2 x f d X N l X z I w M T h f a 2 0 y L 0 1 v Z G l m a W N h d G 8 g d G l w b y 5 7 Q 2 9 s d W 1 u N C w z f S Z x d W 9 0 O y w m c X V v d D t T Z W N 0 a W 9 u M S 9 m b G 9 v Z F 9 j b 2 5 0 c m 9 s X 3 V z Z V 8 y M D E 4 X 2 t t M i 9 N b 2 R p Z m l j Y X R v I H R p c G 8 u e 0 N v b H V t b j U s N H 0 m c X V v d D s s J n F 1 b 3 Q 7 U 2 V j d G l v b j E v Z m x v b 2 R f Y 2 9 u d H J v b F 9 1 c 2 V f M j A x O F 9 r b T I v T W 9 k a W Z p Y 2 F 0 b y B 0 a X B v L n t D b 2 x 1 b W 4 2 L D V 9 J n F 1 b 3 Q 7 L C Z x d W 9 0 O 1 N l Y 3 R p b 2 4 x L 2 Z s b 2 9 k X 2 N v b n R y b 2 x f d X N l X z I w M T h f a 2 0 y L 0 1 v Z G l m a W N h d G 8 g d G l w b y 5 7 Q 2 9 s d W 1 u N y w 2 f S Z x d W 9 0 O y w m c X V v d D t T Z W N 0 a W 9 u M S 9 m b G 9 v Z F 9 j b 2 5 0 c m 9 s X 3 V z Z V 8 y M D E 4 X 2 t t M i 9 N b 2 R p Z m l j Y X R v I H R p c G 8 u e 0 N v b H V t b j g s N 3 0 m c X V v d D s s J n F 1 b 3 Q 7 U 2 V j d G l v b j E v Z m x v b 2 R f Y 2 9 u d H J v b F 9 1 c 2 V f M j A x O F 9 r b T I v T W 9 k a W Z p Y 2 F 0 b y B 0 a X B v L n t D b 2 x 1 b W 4 5 L D h 9 J n F 1 b 3 Q 7 L C Z x d W 9 0 O 1 N l Y 3 R p b 2 4 x L 2 Z s b 2 9 k X 2 N v b n R y b 2 x f d X N l X z I w M T h f a 2 0 y L 0 1 v Z G l m a W N h d G 8 g d G l w b y 5 7 Q 2 9 s d W 1 u M T A s O X 0 m c X V v d D s s J n F 1 b 3 Q 7 U 2 V j d G l v b j E v Z m x v b 2 R f Y 2 9 u d H J v b F 9 1 c 2 V f M j A x O F 9 r b T I v T W 9 k a W Z p Y 2 F 0 b y B 0 a X B v L n t D b 2 x 1 b W 4 x M S w x M H 0 m c X V v d D s s J n F 1 b 3 Q 7 U 2 V j d G l v b j E v Z m x v b 2 R f Y 2 9 u d H J v b F 9 1 c 2 V f M j A x O F 9 r b T I v T W 9 k a W Z p Y 2 F 0 b y B 0 a X B v L n t D b 2 x 1 b W 4 x M i w x M X 0 m c X V v d D s s J n F 1 b 3 Q 7 U 2 V j d G l v b j E v Z m x v b 2 R f Y 2 9 u d H J v b F 9 1 c 2 V f M j A x O F 9 r b T I v T W 9 k a W Z p Y 2 F 0 b y B 0 a X B v L n t D b 2 x 1 b W 4 x M y w x M n 0 m c X V v d D s s J n F 1 b 3 Q 7 U 2 V j d G l v b j E v Z m x v b 2 R f Y 2 9 u d H J v b F 9 1 c 2 V f M j A x O F 9 r b T I v T W 9 k a W Z p Y 2 F 0 b y B 0 a X B v L n t D b 2 x 1 b W 4 x N C w x M 3 0 m c X V v d D s s J n F 1 b 3 Q 7 U 2 V j d G l v b j E v Z m x v b 2 R f Y 2 9 u d H J v b F 9 1 c 2 V f M j A x O F 9 r b T I v T W 9 k a W Z p Y 2 F 0 b y B 0 a X B v L n t D b 2 x 1 b W 4 x N S w x N H 0 m c X V v d D s s J n F 1 b 3 Q 7 U 2 V j d G l v b j E v Z m x v b 2 R f Y 2 9 u d H J v b F 9 1 c 2 V f M j A x O F 9 r b T I v T W 9 k a W Z p Y 2 F 0 b y B 0 a X B v L n t D b 2 x 1 b W 4 x N i w x N X 0 m c X V v d D s s J n F 1 b 3 Q 7 U 2 V j d G l v b j E v Z m x v b 2 R f Y 2 9 u d H J v b F 9 1 c 2 V f M j A x O F 9 r b T I v T W 9 k a W Z p Y 2 F 0 b y B 0 a X B v L n t D b 2 x 1 b W 4 x N y w x N n 0 m c X V v d D t d L C Z x d W 9 0 O 1 J l b G F 0 a W 9 u c 2 h p c E l u Z m 8 m c X V v d D s 6 W 1 1 9 I i A v P j w v U 3 R h Y m x l R W 5 0 c m l l c z 4 8 L 0 l 0 Z W 0 + P E l 0 Z W 0 + P E l 0 Z W 1 M b 2 N h d G l v b j 4 8 S X R l b V R 5 c G U + R m 9 y b X V s Y T w v S X R l b V R 5 c G U + P E l 0 Z W 1 Q Y X R o P l N l Y 3 R p b 2 4 x L 2 Z s b 2 9 k X 2 N v b n R y b 2 x f d X N l X z I w M T h f a 2 0 y L 0 9 y a W d p b m U 8 L 0 l 0 Z W 1 Q Y X R o P j w v S X R l b U x v Y 2 F 0 a W 9 u P j x T d G F i b G V F b n R y a W V z I C 8 + P C 9 J d G V t P j x J d G V t P j x J d G V t T G 9 j Y X R p b 2 4 + P E l 0 Z W 1 U e X B l P k Z v c m 1 1 b G E 8 L 0 l 0 Z W 1 U e X B l P j x J d G V t U G F 0 a D 5 T Z W N 0 a W 9 u M S 9 m b G 9 v Z F 9 j b 2 5 0 c m 9 s X 3 V z Z V 8 y M D E 4 X 2 t t M i 9 N b 2 R p Z m l j Y X R v J T I w d G l w b z w v S X R l b V B h d G g + P C 9 J d G V t T G 9 j Y X R p b 2 4 + P F N 0 Y W J s Z U V u d H J p Z X M g L z 4 8 L 0 l 0 Z W 0 + P E l 0 Z W 0 + P E l 0 Z W 1 M b 2 N h d G l v b j 4 8 S X R l b V R 5 c G U + R m 9 y b X V s Y T w v S X R l b V R 5 c G U + P E l 0 Z W 1 Q Y X R o P l N l Y 3 R p b 2 4 x L 2 Z s b 2 9 k X 2 N v b n R y b 2 x f c 3 V w c G x 5 X z I w M T J f b W l s b G l v b l 9 l d X J 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A i I C 8 + P E V u d H J 5 I F R 5 c G U 9 I k Z p b G x F c n J v c k N v Z G U i I F Z h b H V l P S J z V W 5 r b m 9 3 b i I g L z 4 8 R W 5 0 c n k g V H l w Z T 0 i R m l s b E V y c m 9 y Q 2 9 1 b n Q i I F Z h b H V l P S J s M C I g L z 4 8 R W 5 0 c n k g V H l w Z T 0 i R m l s b E x h c 3 R V c G R h d G V k I i B W Y W x 1 Z T 0 i Z D I w M j I t M T E t M D F U M T Y 6 M z g 6 M T E u M z E w M D g x M l o i I C 8 + P E V u d H J 5 I F R 5 c G U 9 I k Z p b G x D b 2 x 1 b W 5 U e X B l c y I g V m F s d W U 9 I n N 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Z m x v b 2 R f Y 2 9 u d H J v b F 9 z d X B w b H l f M j A x M l 9 t a W x s a W 9 u X 2 V 1 c m 8 v T W 9 k a W Z p Y 2 F 0 b y B 0 a X B v L n t D b 2 x 1 b W 4 x L D B 9 J n F 1 b 3 Q 7 L C Z x d W 9 0 O 1 N l Y 3 R p b 2 4 x L 2 Z s b 2 9 k X 2 N v b n R y b 2 x f c 3 V w c G x 5 X z I w M T J f b W l s b G l v b l 9 l d X J v L 0 1 v Z G l m a W N h d G 8 g d G l w b y 5 7 Q 2 9 s d W 1 u M i w x f S Z x d W 9 0 O y w m c X V v d D t T Z W N 0 a W 9 u M S 9 m b G 9 v Z F 9 j b 2 5 0 c m 9 s X 3 N 1 c H B s e V 8 y M D E y X 2 1 p b G x p b 2 5 f Z X V y b y 9 N b 2 R p Z m l j Y X R v I H R p c G 8 u e 0 N v b H V t b j M s M n 0 m c X V v d D s s J n F 1 b 3 Q 7 U 2 V j d G l v b j E v Z m x v b 2 R f Y 2 9 u d H J v b F 9 z d X B w b H l f M j A x M l 9 t a W x s a W 9 u X 2 V 1 c m 8 v T W 9 k a W Z p Y 2 F 0 b y B 0 a X B v L n t D b 2 x 1 b W 4 0 L D N 9 J n F 1 b 3 Q 7 L C Z x d W 9 0 O 1 N l Y 3 R p b 2 4 x L 2 Z s b 2 9 k X 2 N v b n R y b 2 x f c 3 V w c G x 5 X z I w M T J f b W l s b G l v b l 9 l d X J v L 0 1 v Z G l m a W N h d G 8 g d G l w b y 5 7 Q 2 9 s d W 1 u N S w 0 f S Z x d W 9 0 O y w m c X V v d D t T Z W N 0 a W 9 u M S 9 m b G 9 v Z F 9 j b 2 5 0 c m 9 s X 3 N 1 c H B s e V 8 y M D E y X 2 1 p b G x p b 2 5 f Z X V y b y 9 N b 2 R p Z m l j Y X R v I H R p c G 8 u e 0 N v b H V t b j Y s N X 0 m c X V v d D s s J n F 1 b 3 Q 7 U 2 V j d G l v b j E v Z m x v b 2 R f Y 2 9 u d H J v b F 9 z d X B w b H l f M j A x M l 9 t a W x s a W 9 u X 2 V 1 c m 8 v T W 9 k a W Z p Y 2 F 0 b y B 0 a X B v L n t D b 2 x 1 b W 4 3 L D Z 9 J n F 1 b 3 Q 7 L C Z x d W 9 0 O 1 N l Y 3 R p b 2 4 x L 2 Z s b 2 9 k X 2 N v b n R y b 2 x f c 3 V w c G x 5 X z I w M T J f b W l s b G l v b l 9 l d X J v L 0 1 v Z G l m a W N h d G 8 g d G l w b y 5 7 Q 2 9 s d W 1 u O C w 3 f S Z x d W 9 0 O y w m c X V v d D t T Z W N 0 a W 9 u M S 9 m b G 9 v Z F 9 j b 2 5 0 c m 9 s X 3 N 1 c H B s e V 8 y M D E y X 2 1 p b G x p b 2 5 f Z X V y b y 9 N b 2 R p Z m l j Y X R v I H R p c G 8 u e 0 N v b H V t b j k s O H 0 m c X V v d D s s J n F 1 b 3 Q 7 U 2 V j d G l v b j E v Z m x v b 2 R f Y 2 9 u d H J v b F 9 z d X B w b H l f M j A x M l 9 t a W x s a W 9 u X 2 V 1 c m 8 v T W 9 k a W Z p Y 2 F 0 b y B 0 a X B v L n t D b 2 x 1 b W 4 x M C w 5 f S Z x d W 9 0 O y w m c X V v d D t T Z W N 0 a W 9 u M S 9 m b G 9 v Z F 9 j b 2 5 0 c m 9 s X 3 N 1 c H B s e V 8 y M D E y X 2 1 p b G x p b 2 5 f Z X V y b y 9 N b 2 R p Z m l j Y X R v I H R p c G 8 u e 0 N v b H V t b j E x L D E w f S Z x d W 9 0 O y w m c X V v d D t T Z W N 0 a W 9 u M S 9 m b G 9 v Z F 9 j b 2 5 0 c m 9 s X 3 N 1 c H B s e V 8 y M D E y X 2 1 p b G x p b 2 5 f Z X V y b y 9 N b 2 R p Z m l j Y X R v I H R p c G 8 u e 0 N v b H V t b j E y L D E x f S Z x d W 9 0 O y w m c X V v d D t T Z W N 0 a W 9 u M S 9 m b G 9 v Z F 9 j b 2 5 0 c m 9 s X 3 N 1 c H B s e V 8 y M D E y X 2 1 p b G x p b 2 5 f Z X V y b y 9 N b 2 R p Z m l j Y X R v I H R p c G 8 u e 0 N v b H V t b j E z L D E y f S Z x d W 9 0 O y w m c X V v d D t T Z W N 0 a W 9 u M S 9 m b G 9 v Z F 9 j b 2 5 0 c m 9 s X 3 N 1 c H B s e V 8 y M D E y X 2 1 p b G x p b 2 5 f Z X V y b y 9 N b 2 R p Z m l j Y X R v I H R p c G 8 u e 0 N v b H V t b j E 0 L D E z f S Z x d W 9 0 O y w m c X V v d D t T Z W N 0 a W 9 u M S 9 m b G 9 v Z F 9 j b 2 5 0 c m 9 s X 3 N 1 c H B s e V 8 y M D E y X 2 1 p b G x p b 2 5 f Z X V y b y 9 N b 2 R p Z m l j Y X R v I H R p c G 8 u e 0 N v b H V t b j E 1 L D E 0 f S Z x d W 9 0 O y w m c X V v d D t T Z W N 0 a W 9 u M S 9 m b G 9 v Z F 9 j b 2 5 0 c m 9 s X 3 N 1 c H B s e V 8 y M D E y X 2 1 p b G x p b 2 5 f Z X V y b y 9 N b 2 R p Z m l j Y X R v I H R p c G 8 u e 0 N v b H V t b j E 2 L D E 1 f S Z x d W 9 0 O y w m c X V v d D t T Z W N 0 a W 9 u M S 9 m b G 9 v Z F 9 j b 2 5 0 c m 9 s X 3 N 1 c H B s e V 8 y M D E y X 2 1 p b G x p b 2 5 f Z X V y b y 9 N b 2 R p Z m l j Y X R v I H R p c G 8 u e 0 N v b H V t b j E 3 L D E 2 f S Z x d W 9 0 O 1 0 s J n F 1 b 3 Q 7 Q 2 9 s d W 1 u Q 2 9 1 b n Q m c X V v d D s 6 M T c s J n F 1 b 3 Q 7 S 2 V 5 Q 2 9 s d W 1 u T m F t Z X M m c X V v d D s 6 W 1 0 s J n F 1 b 3 Q 7 Q 2 9 s d W 1 u S W R l b n R p d G l l c y Z x d W 9 0 O z p b J n F 1 b 3 Q 7 U 2 V j d G l v b j E v Z m x v b 2 R f Y 2 9 u d H J v b F 9 z d X B w b H l f M j A x M l 9 t a W x s a W 9 u X 2 V 1 c m 8 v T W 9 k a W Z p Y 2 F 0 b y B 0 a X B v L n t D b 2 x 1 b W 4 x L D B 9 J n F 1 b 3 Q 7 L C Z x d W 9 0 O 1 N l Y 3 R p b 2 4 x L 2 Z s b 2 9 k X 2 N v b n R y b 2 x f c 3 V w c G x 5 X z I w M T J f b W l s b G l v b l 9 l d X J v L 0 1 v Z G l m a W N h d G 8 g d G l w b y 5 7 Q 2 9 s d W 1 u M i w x f S Z x d W 9 0 O y w m c X V v d D t T Z W N 0 a W 9 u M S 9 m b G 9 v Z F 9 j b 2 5 0 c m 9 s X 3 N 1 c H B s e V 8 y M D E y X 2 1 p b G x p b 2 5 f Z X V y b y 9 N b 2 R p Z m l j Y X R v I H R p c G 8 u e 0 N v b H V t b j M s M n 0 m c X V v d D s s J n F 1 b 3 Q 7 U 2 V j d G l v b j E v Z m x v b 2 R f Y 2 9 u d H J v b F 9 z d X B w b H l f M j A x M l 9 t a W x s a W 9 u X 2 V 1 c m 8 v T W 9 k a W Z p Y 2 F 0 b y B 0 a X B v L n t D b 2 x 1 b W 4 0 L D N 9 J n F 1 b 3 Q 7 L C Z x d W 9 0 O 1 N l Y 3 R p b 2 4 x L 2 Z s b 2 9 k X 2 N v b n R y b 2 x f c 3 V w c G x 5 X z I w M T J f b W l s b G l v b l 9 l d X J v L 0 1 v Z G l m a W N h d G 8 g d G l w b y 5 7 Q 2 9 s d W 1 u N S w 0 f S Z x d W 9 0 O y w m c X V v d D t T Z W N 0 a W 9 u M S 9 m b G 9 v Z F 9 j b 2 5 0 c m 9 s X 3 N 1 c H B s e V 8 y M D E y X 2 1 p b G x p b 2 5 f Z X V y b y 9 N b 2 R p Z m l j Y X R v I H R p c G 8 u e 0 N v b H V t b j Y s N X 0 m c X V v d D s s J n F 1 b 3 Q 7 U 2 V j d G l v b j E v Z m x v b 2 R f Y 2 9 u d H J v b F 9 z d X B w b H l f M j A x M l 9 t a W x s a W 9 u X 2 V 1 c m 8 v T W 9 k a W Z p Y 2 F 0 b y B 0 a X B v L n t D b 2 x 1 b W 4 3 L D Z 9 J n F 1 b 3 Q 7 L C Z x d W 9 0 O 1 N l Y 3 R p b 2 4 x L 2 Z s b 2 9 k X 2 N v b n R y b 2 x f c 3 V w c G x 5 X z I w M T J f b W l s b G l v b l 9 l d X J v L 0 1 v Z G l m a W N h d G 8 g d G l w b y 5 7 Q 2 9 s d W 1 u O C w 3 f S Z x d W 9 0 O y w m c X V v d D t T Z W N 0 a W 9 u M S 9 m b G 9 v Z F 9 j b 2 5 0 c m 9 s X 3 N 1 c H B s e V 8 y M D E y X 2 1 p b G x p b 2 5 f Z X V y b y 9 N b 2 R p Z m l j Y X R v I H R p c G 8 u e 0 N v b H V t b j k s O H 0 m c X V v d D s s J n F 1 b 3 Q 7 U 2 V j d G l v b j E v Z m x v b 2 R f Y 2 9 u d H J v b F 9 z d X B w b H l f M j A x M l 9 t a W x s a W 9 u X 2 V 1 c m 8 v T W 9 k a W Z p Y 2 F 0 b y B 0 a X B v L n t D b 2 x 1 b W 4 x M C w 5 f S Z x d W 9 0 O y w m c X V v d D t T Z W N 0 a W 9 u M S 9 m b G 9 v Z F 9 j b 2 5 0 c m 9 s X 3 N 1 c H B s e V 8 y M D E y X 2 1 p b G x p b 2 5 f Z X V y b y 9 N b 2 R p Z m l j Y X R v I H R p c G 8 u e 0 N v b H V t b j E x L D E w f S Z x d W 9 0 O y w m c X V v d D t T Z W N 0 a W 9 u M S 9 m b G 9 v Z F 9 j b 2 5 0 c m 9 s X 3 N 1 c H B s e V 8 y M D E y X 2 1 p b G x p b 2 5 f Z X V y b y 9 N b 2 R p Z m l j Y X R v I H R p c G 8 u e 0 N v b H V t b j E y L D E x f S Z x d W 9 0 O y w m c X V v d D t T Z W N 0 a W 9 u M S 9 m b G 9 v Z F 9 j b 2 5 0 c m 9 s X 3 N 1 c H B s e V 8 y M D E y X 2 1 p b G x p b 2 5 f Z X V y b y 9 N b 2 R p Z m l j Y X R v I H R p c G 8 u e 0 N v b H V t b j E z L D E y f S Z x d W 9 0 O y w m c X V v d D t T Z W N 0 a W 9 u M S 9 m b G 9 v Z F 9 j b 2 5 0 c m 9 s X 3 N 1 c H B s e V 8 y M D E y X 2 1 p b G x p b 2 5 f Z X V y b y 9 N b 2 R p Z m l j Y X R v I H R p c G 8 u e 0 N v b H V t b j E 0 L D E z f S Z x d W 9 0 O y w m c X V v d D t T Z W N 0 a W 9 u M S 9 m b G 9 v Z F 9 j b 2 5 0 c m 9 s X 3 N 1 c H B s e V 8 y M D E y X 2 1 p b G x p b 2 5 f Z X V y b y 9 N b 2 R p Z m l j Y X R v I H R p c G 8 u e 0 N v b H V t b j E 1 L D E 0 f S Z x d W 9 0 O y w m c X V v d D t T Z W N 0 a W 9 u M S 9 m b G 9 v Z F 9 j b 2 5 0 c m 9 s X 3 N 1 c H B s e V 8 y M D E y X 2 1 p b G x p b 2 5 f Z X V y b y 9 N b 2 R p Z m l j Y X R v I H R p c G 8 u e 0 N v b H V t b j E 2 L D E 1 f S Z x d W 9 0 O y w m c X V v d D t T Z W N 0 a W 9 u M S 9 m b G 9 v Z F 9 j b 2 5 0 c m 9 s X 3 N 1 c H B s e V 8 y M D E y X 2 1 p b G x p b 2 5 f Z X V y b y 9 N b 2 R p Z m l j Y X R v I H R p c G 8 u e 0 N v b H V t b j E 3 L D E 2 f S Z x d W 9 0 O 1 0 s J n F 1 b 3 Q 7 U m V s Y X R p b 2 5 z a G l w S W 5 m b y Z x d W 9 0 O z p b X X 0 i I C 8 + P C 9 T d G F i b G V F b n R y a W V z P j w v S X R l b T 4 8 S X R l b T 4 8 S X R l b U x v Y 2 F 0 a W 9 u P j x J d G V t V H l w Z T 5 G b 3 J t d W x h P C 9 J d G V t V H l w Z T 4 8 S X R l b V B h d G g + U 2 V j d G l v b j E v Z m x v b 2 R f Y 2 9 u d H J v b F 9 z d X B w b H l f M j A x M l 9 t a W x s a W 9 u X 2 V 1 c m 8 v T 3 J p Z 2 l u Z T w v S X R l b V B h d G g + P C 9 J d G V t T G 9 j Y X R p b 2 4 + P F N 0 Y W J s Z U V u d H J p Z X M g L z 4 8 L 0 l 0 Z W 0 + P E l 0 Z W 0 + P E l 0 Z W 1 M b 2 N h d G l v b j 4 8 S X R l b V R 5 c G U + R m 9 y b X V s Y T w v S X R l b V R 5 c G U + P E l 0 Z W 1 Q Y X R o P l N l Y 3 R p b 2 4 x L 2 Z s b 2 9 k X 2 N v b n R y b 2 x f c 3 V w c G x 5 X z I w M T J f b W l s b G l v b l 9 l d X J v L 0 1 v Z G l m a W N h d G 8 l M j B 0 a X B v P C 9 J d G V t U G F 0 a D 4 8 L 0 l 0 Z W 1 M b 2 N h d G l v b j 4 8 U 3 R h Y m x l R W 5 0 c m l l c y A v P j w v S X R l b T 4 8 S X R l b T 4 8 S X R l b U x v Y 2 F 0 a W 9 u P j x J d G V t V H l w Z T 5 G b 3 J t d W x h P C 9 J d G V t V H l w Z T 4 8 S X R l b V B h d G g + U 2 V j d G l v b j E v Z m x v b 2 R f Y 2 9 u d H J v b F 9 1 c 2 V f M j A x M l 9 t a W x s a W 9 u X 2 V 1 c m 8 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C I g L z 4 8 R W 5 0 c n k g V H l w Z T 0 i R m l s b E V y c m 9 y Q 2 9 k Z S I g V m F s d W U 9 I n N V b m t u b 3 d u I i A v P j x F b n R y e S B U e X B l P S J G a W x s R X J y b 3 J D b 3 V u d C I g V m F s d W U 9 I m w w I i A v P j x F b n R y e S B U e X B l P S J G a W x s T G F z d F V w Z G F 0 Z W Q i I F Z h b H V l P S J k M j A y M i 0 x M S 0 w M V Q x N j o 0 M T o x M y 4 3 O T Y x M D U 0 W i I g L z 4 8 R W 5 0 c n k g V H l w Z T 0 i R m l s b E N v b H V t b l R 5 c G V z I i B W Y W x 1 Z T 0 i c 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m b G 9 v Z F 9 j b 2 5 0 c m 9 s X 3 V z Z V 8 y M D E y X 2 1 p b G x p b 2 5 f Z X V y b y 9 N b 2 R p Z m l j Y X R v I H R p c G 8 u e 0 N v b H V t b j E s M H 0 m c X V v d D s s J n F 1 b 3 Q 7 U 2 V j d G l v b j E v Z m x v b 2 R f Y 2 9 u d H J v b F 9 1 c 2 V f M j A x M l 9 t a W x s a W 9 u X 2 V 1 c m 8 v T W 9 k a W Z p Y 2 F 0 b y B 0 a X B v L n t D b 2 x 1 b W 4 y L D F 9 J n F 1 b 3 Q 7 L C Z x d W 9 0 O 1 N l Y 3 R p b 2 4 x L 2 Z s b 2 9 k X 2 N v b n R y b 2 x f d X N l X z I w M T J f b W l s b G l v b l 9 l d X J v L 0 1 v Z G l m a W N h d G 8 g d G l w b y 5 7 Q 2 9 s d W 1 u M y w y f S Z x d W 9 0 O y w m c X V v d D t T Z W N 0 a W 9 u M S 9 m b G 9 v Z F 9 j b 2 5 0 c m 9 s X 3 V z Z V 8 y M D E y X 2 1 p b G x p b 2 5 f Z X V y b y 9 N b 2 R p Z m l j Y X R v I H R p c G 8 u e 0 N v b H V t b j Q s M 3 0 m c X V v d D s s J n F 1 b 3 Q 7 U 2 V j d G l v b j E v Z m x v b 2 R f Y 2 9 u d H J v b F 9 1 c 2 V f M j A x M l 9 t a W x s a W 9 u X 2 V 1 c m 8 v T W 9 k a W Z p Y 2 F 0 b y B 0 a X B v L n t D b 2 x 1 b W 4 1 L D R 9 J n F 1 b 3 Q 7 L C Z x d W 9 0 O 1 N l Y 3 R p b 2 4 x L 2 Z s b 2 9 k X 2 N v b n R y b 2 x f d X N l X z I w M T J f b W l s b G l v b l 9 l d X J v L 0 1 v Z G l m a W N h d G 8 g d G l w b y 5 7 Q 2 9 s d W 1 u N i w 1 f S Z x d W 9 0 O y w m c X V v d D t T Z W N 0 a W 9 u M S 9 m b G 9 v Z F 9 j b 2 5 0 c m 9 s X 3 V z Z V 8 y M D E y X 2 1 p b G x p b 2 5 f Z X V y b y 9 N b 2 R p Z m l j Y X R v I H R p c G 8 u e 0 N v b H V t b j c s N n 0 m c X V v d D s s J n F 1 b 3 Q 7 U 2 V j d G l v b j E v Z m x v b 2 R f Y 2 9 u d H J v b F 9 1 c 2 V f M j A x M l 9 t a W x s a W 9 u X 2 V 1 c m 8 v T W 9 k a W Z p Y 2 F 0 b y B 0 a X B v L n t D b 2 x 1 b W 4 4 L D d 9 J n F 1 b 3 Q 7 L C Z x d W 9 0 O 1 N l Y 3 R p b 2 4 x L 2 Z s b 2 9 k X 2 N v b n R y b 2 x f d X N l X z I w M T J f b W l s b G l v b l 9 l d X J v L 0 1 v Z G l m a W N h d G 8 g d G l w b y 5 7 Q 2 9 s d W 1 u O S w 4 f S Z x d W 9 0 O y w m c X V v d D t T Z W N 0 a W 9 u M S 9 m b G 9 v Z F 9 j b 2 5 0 c m 9 s X 3 V z Z V 8 y M D E y X 2 1 p b G x p b 2 5 f Z X V y b y 9 N b 2 R p Z m l j Y X R v I H R p c G 8 u e 0 N v b H V t b j E w L D l 9 J n F 1 b 3 Q 7 L C Z x d W 9 0 O 1 N l Y 3 R p b 2 4 x L 2 Z s b 2 9 k X 2 N v b n R y b 2 x f d X N l X z I w M T J f b W l s b G l v b l 9 l d X J v L 0 1 v Z G l m a W N h d G 8 g d G l w b y 5 7 Q 2 9 s d W 1 u M T E s M T B 9 J n F 1 b 3 Q 7 L C Z x d W 9 0 O 1 N l Y 3 R p b 2 4 x L 2 Z s b 2 9 k X 2 N v b n R y b 2 x f d X N l X z I w M T J f b W l s b G l v b l 9 l d X J v L 0 1 v Z G l m a W N h d G 8 g d G l w b y 5 7 Q 2 9 s d W 1 u M T I s M T F 9 J n F 1 b 3 Q 7 L C Z x d W 9 0 O 1 N l Y 3 R p b 2 4 x L 2 Z s b 2 9 k X 2 N v b n R y b 2 x f d X N l X z I w M T J f b W l s b G l v b l 9 l d X J v L 0 1 v Z G l m a W N h d G 8 g d G l w b y 5 7 Q 2 9 s d W 1 u M T M s M T J 9 J n F 1 b 3 Q 7 L C Z x d W 9 0 O 1 N l Y 3 R p b 2 4 x L 2 Z s b 2 9 k X 2 N v b n R y b 2 x f d X N l X z I w M T J f b W l s b G l v b l 9 l d X J v L 0 1 v Z G l m a W N h d G 8 g d G l w b y 5 7 Q 2 9 s d W 1 u M T Q s M T N 9 J n F 1 b 3 Q 7 L C Z x d W 9 0 O 1 N l Y 3 R p b 2 4 x L 2 Z s b 2 9 k X 2 N v b n R y b 2 x f d X N l X z I w M T J f b W l s b G l v b l 9 l d X J v L 0 1 v Z G l m a W N h d G 8 g d G l w b y 5 7 Q 2 9 s d W 1 u M T U s M T R 9 J n F 1 b 3 Q 7 L C Z x d W 9 0 O 1 N l Y 3 R p b 2 4 x L 2 Z s b 2 9 k X 2 N v b n R y b 2 x f d X N l X z I w M T J f b W l s b G l v b l 9 l d X J v L 0 1 v Z G l m a W N h d G 8 g d G l w b y 5 7 Q 2 9 s d W 1 u M T Y s M T V 9 J n F 1 b 3 Q 7 L C Z x d W 9 0 O 1 N l Y 3 R p b 2 4 x L 2 Z s b 2 9 k X 2 N v b n R y b 2 x f d X N l X z I w M T J f b W l s b G l v b l 9 l d X J v L 0 1 v Z G l m a W N h d G 8 g d G l w b y 5 7 Q 2 9 s d W 1 u M T c s M T Z 9 J n F 1 b 3 Q 7 X S w m c X V v d D t D b 2 x 1 b W 5 D b 3 V u d C Z x d W 9 0 O z o x N y w m c X V v d D t L Z X l D b 2 x 1 b W 5 O Y W 1 l c y Z x d W 9 0 O z p b X S w m c X V v d D t D b 2 x 1 b W 5 J Z G V u d G l 0 a W V z J n F 1 b 3 Q 7 O l s m c X V v d D t T Z W N 0 a W 9 u M S 9 m b G 9 v Z F 9 j b 2 5 0 c m 9 s X 3 V z Z V 8 y M D E y X 2 1 p b G x p b 2 5 f Z X V y b y 9 N b 2 R p Z m l j Y X R v I H R p c G 8 u e 0 N v b H V t b j E s M H 0 m c X V v d D s s J n F 1 b 3 Q 7 U 2 V j d G l v b j E v Z m x v b 2 R f Y 2 9 u d H J v b F 9 1 c 2 V f M j A x M l 9 t a W x s a W 9 u X 2 V 1 c m 8 v T W 9 k a W Z p Y 2 F 0 b y B 0 a X B v L n t D b 2 x 1 b W 4 y L D F 9 J n F 1 b 3 Q 7 L C Z x d W 9 0 O 1 N l Y 3 R p b 2 4 x L 2 Z s b 2 9 k X 2 N v b n R y b 2 x f d X N l X z I w M T J f b W l s b G l v b l 9 l d X J v L 0 1 v Z G l m a W N h d G 8 g d G l w b y 5 7 Q 2 9 s d W 1 u M y w y f S Z x d W 9 0 O y w m c X V v d D t T Z W N 0 a W 9 u M S 9 m b G 9 v Z F 9 j b 2 5 0 c m 9 s X 3 V z Z V 8 y M D E y X 2 1 p b G x p b 2 5 f Z X V y b y 9 N b 2 R p Z m l j Y X R v I H R p c G 8 u e 0 N v b H V t b j Q s M 3 0 m c X V v d D s s J n F 1 b 3 Q 7 U 2 V j d G l v b j E v Z m x v b 2 R f Y 2 9 u d H J v b F 9 1 c 2 V f M j A x M l 9 t a W x s a W 9 u X 2 V 1 c m 8 v T W 9 k a W Z p Y 2 F 0 b y B 0 a X B v L n t D b 2 x 1 b W 4 1 L D R 9 J n F 1 b 3 Q 7 L C Z x d W 9 0 O 1 N l Y 3 R p b 2 4 x L 2 Z s b 2 9 k X 2 N v b n R y b 2 x f d X N l X z I w M T J f b W l s b G l v b l 9 l d X J v L 0 1 v Z G l m a W N h d G 8 g d G l w b y 5 7 Q 2 9 s d W 1 u N i w 1 f S Z x d W 9 0 O y w m c X V v d D t T Z W N 0 a W 9 u M S 9 m b G 9 v Z F 9 j b 2 5 0 c m 9 s X 3 V z Z V 8 y M D E y X 2 1 p b G x p b 2 5 f Z X V y b y 9 N b 2 R p Z m l j Y X R v I H R p c G 8 u e 0 N v b H V t b j c s N n 0 m c X V v d D s s J n F 1 b 3 Q 7 U 2 V j d G l v b j E v Z m x v b 2 R f Y 2 9 u d H J v b F 9 1 c 2 V f M j A x M l 9 t a W x s a W 9 u X 2 V 1 c m 8 v T W 9 k a W Z p Y 2 F 0 b y B 0 a X B v L n t D b 2 x 1 b W 4 4 L D d 9 J n F 1 b 3 Q 7 L C Z x d W 9 0 O 1 N l Y 3 R p b 2 4 x L 2 Z s b 2 9 k X 2 N v b n R y b 2 x f d X N l X z I w M T J f b W l s b G l v b l 9 l d X J v L 0 1 v Z G l m a W N h d G 8 g d G l w b y 5 7 Q 2 9 s d W 1 u O S w 4 f S Z x d W 9 0 O y w m c X V v d D t T Z W N 0 a W 9 u M S 9 m b G 9 v Z F 9 j b 2 5 0 c m 9 s X 3 V z Z V 8 y M D E y X 2 1 p b G x p b 2 5 f Z X V y b y 9 N b 2 R p Z m l j Y X R v I H R p c G 8 u e 0 N v b H V t b j E w L D l 9 J n F 1 b 3 Q 7 L C Z x d W 9 0 O 1 N l Y 3 R p b 2 4 x L 2 Z s b 2 9 k X 2 N v b n R y b 2 x f d X N l X z I w M T J f b W l s b G l v b l 9 l d X J v L 0 1 v Z G l m a W N h d G 8 g d G l w b y 5 7 Q 2 9 s d W 1 u M T E s M T B 9 J n F 1 b 3 Q 7 L C Z x d W 9 0 O 1 N l Y 3 R p b 2 4 x L 2 Z s b 2 9 k X 2 N v b n R y b 2 x f d X N l X z I w M T J f b W l s b G l v b l 9 l d X J v L 0 1 v Z G l m a W N h d G 8 g d G l w b y 5 7 Q 2 9 s d W 1 u M T I s M T F 9 J n F 1 b 3 Q 7 L C Z x d W 9 0 O 1 N l Y 3 R p b 2 4 x L 2 Z s b 2 9 k X 2 N v b n R y b 2 x f d X N l X z I w M T J f b W l s b G l v b l 9 l d X J v L 0 1 v Z G l m a W N h d G 8 g d G l w b y 5 7 Q 2 9 s d W 1 u M T M s M T J 9 J n F 1 b 3 Q 7 L C Z x d W 9 0 O 1 N l Y 3 R p b 2 4 x L 2 Z s b 2 9 k X 2 N v b n R y b 2 x f d X N l X z I w M T J f b W l s b G l v b l 9 l d X J v L 0 1 v Z G l m a W N h d G 8 g d G l w b y 5 7 Q 2 9 s d W 1 u M T Q s M T N 9 J n F 1 b 3 Q 7 L C Z x d W 9 0 O 1 N l Y 3 R p b 2 4 x L 2 Z s b 2 9 k X 2 N v b n R y b 2 x f d X N l X z I w M T J f b W l s b G l v b l 9 l d X J v L 0 1 v Z G l m a W N h d G 8 g d G l w b y 5 7 Q 2 9 s d W 1 u M T U s M T R 9 J n F 1 b 3 Q 7 L C Z x d W 9 0 O 1 N l Y 3 R p b 2 4 x L 2 Z s b 2 9 k X 2 N v b n R y b 2 x f d X N l X z I w M T J f b W l s b G l v b l 9 l d X J v L 0 1 v Z G l m a W N h d G 8 g d G l w b y 5 7 Q 2 9 s d W 1 u M T Y s M T V 9 J n F 1 b 3 Q 7 L C Z x d W 9 0 O 1 N l Y 3 R p b 2 4 x L 2 Z s b 2 9 k X 2 N v b n R y b 2 x f d X N l X z I w M T J f b W l s b G l v b l 9 l d X J v L 0 1 v Z G l m a W N h d G 8 g d G l w b y 5 7 Q 2 9 s d W 1 u M T c s M T Z 9 J n F 1 b 3 Q 7 X S w m c X V v d D t S Z W x h d G l v b n N o a X B J b m Z v J n F 1 b 3 Q 7 O l t d f S I g L z 4 8 L 1 N 0 Y W J s Z U V u d H J p Z X M + P C 9 J d G V t P j x J d G V t P j x J d G V t T G 9 j Y X R p b 2 4 + P E l 0 Z W 1 U e X B l P k Z v c m 1 1 b G E 8 L 0 l 0 Z W 1 U e X B l P j x J d G V t U G F 0 a D 5 T Z W N 0 a W 9 u M S 9 m b G 9 v Z F 9 j b 2 5 0 c m 9 s X 3 V z Z V 8 y M D E y X 2 1 p b G x p b 2 5 f Z X V y b y 9 P c m l n a W 5 l P C 9 J d G V t U G F 0 a D 4 8 L 0 l 0 Z W 1 M b 2 N h d G l v b j 4 8 U 3 R h Y m x l R W 5 0 c m l l c y A v P j w v S X R l b T 4 8 S X R l b T 4 8 S X R l b U x v Y 2 F 0 a W 9 u P j x J d G V t V H l w Z T 5 G b 3 J t d W x h P C 9 J d G V t V H l w Z T 4 8 S X R l b V B h d G g + U 2 V j d G l v b j E v Z m x v b 2 R f Y 2 9 u d H J v b F 9 1 c 2 V f M j A x M l 9 t a W x s a W 9 u X 2 V 1 c m 8 v T W 9 k a W Z p Y 2 F 0 b y U y M H R p c G 8 8 L 0 l 0 Z W 1 Q Y X R o P j w v S X R l b U x v Y 2 F 0 a W 9 u P j x T d G F i b G V F b n R y a W V z I C 8 + P C 9 J d G V t P j w v S X R l b X M + P C 9 M b 2 N h b F B h Y 2 t h Z 2 V N Z X R h Z G F 0 Y U Z p b G U + F g A A A F B L B Q Y A A A A A A A A A A A A A A A A A A A A A A A D a A A A A A Q A A A N C M n d 8 B F d E R j H o A w E / C l + s B A A A A i m E E v S 5 x e k y o K u f 4 x C C h e Q A A A A A C A A A A A A A D Z g A A w A A A A B A A A A D O t W W V B G g V a K H Y P x J J o n f h A A A A A A S A A A C g A A A A E A A A A A M 5 0 q B g q E F N r d v R w g E a N S x Q A A A A m r S n h U i g Y O s 3 o / H H 7 q Y D Y x D / 4 0 r k d S B R M 8 w V F x c q w 4 g y c b S e 1 N R 6 G V E G H 5 b M U L B e F o 1 u v k I x J k F g 2 Q v l m B V s / + 9 f C D X C B p U j a 6 D m x / i 7 D x g U A A A A s W + m K K z Z / j m 0 5 J 3 D U u / q P s a x d U 4 = < / D a t a M a s h u p > 
</file>

<file path=customXml/itemProps1.xml><?xml version="1.0" encoding="utf-8"?>
<ds:datastoreItem xmlns:ds="http://schemas.openxmlformats.org/officeDocument/2006/customXml" ds:itemID="{85912210-7BD7-4A6B-8054-A153D33B20F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31</vt:i4>
      </vt:variant>
      <vt:variant>
        <vt:lpstr>Intervalli denominati</vt:lpstr>
      </vt:variant>
      <vt:variant>
        <vt:i4>10</vt:i4>
      </vt:variant>
    </vt:vector>
  </HeadingPairs>
  <TitlesOfParts>
    <vt:vector size="41" baseType="lpstr">
      <vt:lpstr>indice PIL pro capite</vt:lpstr>
      <vt:lpstr>uso_suoli_pozzi</vt:lpstr>
      <vt:lpstr>PITESAI tipi ecosistemi Italia</vt:lpstr>
      <vt:lpstr>PITESAI corrisp Corine3 - Maes</vt:lpstr>
      <vt:lpstr>tavola corr CORINE3-MAES</vt:lpstr>
      <vt:lpstr>PITESAI CLC 2018 Italia</vt:lpstr>
      <vt:lpstr>Matrice TOTALE</vt:lpstr>
      <vt:lpstr>SE1 produttività agricola</vt:lpstr>
      <vt:lpstr>SE2 produttività legnosa</vt:lpstr>
      <vt:lpstr>legname NIR table 4G HWP</vt:lpstr>
      <vt:lpstr>SE3 approvv idrico</vt:lpstr>
      <vt:lpstr>Istat servizi idrici</vt:lpstr>
      <vt:lpstr>SE4 assorbimento CO2 ITA 2020</vt:lpstr>
      <vt:lpstr>SE4 Ass CO2 test Regioni 2018</vt:lpstr>
      <vt:lpstr>SE4 Ass CO2 test Regioni 2019</vt:lpstr>
      <vt:lpstr>Table 4(KP-I)B.1</vt:lpstr>
      <vt:lpstr>SE assorbimento CO2 ITA 2019</vt:lpstr>
      <vt:lpstr>Ass CO2 uso del suolo vers1</vt:lpstr>
      <vt:lpstr>Stock C per uso suoli</vt:lpstr>
      <vt:lpstr>SE5qualità Habitat biodiversità</vt:lpstr>
      <vt:lpstr>Agricoltura intensiva</vt:lpstr>
      <vt:lpstr>SE6impollinazione</vt:lpstr>
      <vt:lpstr>SE7qualità aria</vt:lpstr>
      <vt:lpstr>INF2005</vt:lpstr>
      <vt:lpstr>SE8 purificazione acqua</vt:lpstr>
      <vt:lpstr>SE9 mitig erosione</vt:lpstr>
      <vt:lpstr>Istat SAU regioni erosione</vt:lpstr>
      <vt:lpstr>SE10 mitig alluvione</vt:lpstr>
      <vt:lpstr>SE11ricreazione</vt:lpstr>
      <vt:lpstr>tabelloni rif metodologici</vt:lpstr>
      <vt:lpstr>Valori Regioni</vt:lpstr>
      <vt:lpstr>'SE8 purificazione acqua'!_ftn1</vt:lpstr>
      <vt:lpstr>'SE8 purificazione acqua'!_ftnref1</vt:lpstr>
      <vt:lpstr>'INF2005'!Area_stampa</vt:lpstr>
      <vt:lpstr>'Table 4(KP-I)B.1'!CRF_4_KP_I_B.1_Doc</vt:lpstr>
      <vt:lpstr>'Table 4(KP-I)B.1'!CRF_4_KP_I_B.1_Main</vt:lpstr>
      <vt:lpstr>CRF_Table4.Gs2_Add</vt:lpstr>
      <vt:lpstr>CRF_Table4.Gs2_Doc</vt:lpstr>
      <vt:lpstr>CRF_Table4.Gs2_Main</vt:lpstr>
      <vt:lpstr>'Agricoltura intensiva'!data_descr</vt:lpstr>
      <vt:lpstr>'INF2005'!Titoli_stampa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unieuro</dc:creator>
  <cp:lastModifiedBy>RSE S.p.a</cp:lastModifiedBy>
  <dcterms:created xsi:type="dcterms:W3CDTF">2020-03-21T16:36:50Z</dcterms:created>
  <dcterms:modified xsi:type="dcterms:W3CDTF">2022-11-25T09:07:38Z</dcterms:modified>
</cp:coreProperties>
</file>