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mela_rse-web_it/Documents/R/progetti/RDS_22_24/rds_24/rinnovabili/data/lca_inventari/"/>
    </mc:Choice>
  </mc:AlternateContent>
  <xr:revisionPtr revIDLastSave="1249" documentId="8_{4C8FF4FF-3988-4803-A033-A5320DC0B797}" xr6:coauthVersionLast="47" xr6:coauthVersionMax="47" xr10:uidLastSave="{0A1A567D-B06E-4F00-945D-449CA484810A}"/>
  <bookViews>
    <workbookView xWindow="3120" yWindow="3120" windowWidth="21600" windowHeight="11385" activeTab="3" xr2:uid="{08F50017-ACEA-4FC9-A892-3C206EB354BA}"/>
  </bookViews>
  <sheets>
    <sheet name="Produzione energetica" sheetId="1" r:id="rId1"/>
    <sheet name="Supporto moduli" sheetId="2" r:id="rId2"/>
    <sheet name="Modulo HJT" sheetId="3" r:id="rId3"/>
    <sheet name="Altri dataset e componenti" sheetId="4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C37" i="2"/>
  <c r="C36" i="2"/>
  <c r="C35" i="2"/>
  <c r="C34" i="2"/>
  <c r="B28" i="2"/>
  <c r="D31" i="2"/>
  <c r="K13" i="1" l="1"/>
  <c r="K12" i="1"/>
  <c r="J13" i="1"/>
  <c r="J12" i="1"/>
  <c r="I13" i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12" i="1"/>
  <c r="J14" i="1" l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B35" i="4"/>
  <c r="C8" i="4" l="1"/>
  <c r="C14" i="4"/>
  <c r="C15" i="4"/>
  <c r="B68" i="3"/>
  <c r="B66" i="3"/>
  <c r="B67" i="3"/>
  <c r="E25" i="3"/>
  <c r="E27" i="3"/>
  <c r="E26" i="3"/>
  <c r="E28" i="3"/>
  <c r="E21" i="3"/>
  <c r="E20" i="3"/>
  <c r="C26" i="3"/>
  <c r="C28" i="3" s="1"/>
  <c r="B10" i="3"/>
  <c r="B28" i="3"/>
  <c r="C11" i="3" l="1"/>
  <c r="E17" i="3"/>
  <c r="E24" i="3"/>
  <c r="E23" i="3"/>
  <c r="E19" i="3" l="1"/>
  <c r="E22" i="3"/>
  <c r="I21" i="4" l="1"/>
  <c r="I20" i="4"/>
  <c r="B71" i="3"/>
  <c r="B65" i="3"/>
  <c r="E21" i="2"/>
  <c r="C39" i="2" s="1"/>
  <c r="B37" i="4"/>
  <c r="B34" i="4"/>
  <c r="B28" i="4"/>
  <c r="G24" i="4" l="1"/>
  <c r="G21" i="4"/>
  <c r="G22" i="4"/>
  <c r="F21" i="4"/>
  <c r="F24" i="4"/>
  <c r="G20" i="4"/>
  <c r="F20" i="4"/>
  <c r="E23" i="4"/>
  <c r="I23" i="4" s="1"/>
  <c r="E22" i="4"/>
  <c r="I22" i="4" s="1"/>
  <c r="E21" i="4"/>
  <c r="E20" i="4"/>
  <c r="C13" i="4"/>
  <c r="C11" i="4"/>
  <c r="C12" i="4"/>
  <c r="C10" i="4"/>
  <c r="C9" i="4"/>
  <c r="D35" i="2"/>
  <c r="D36" i="2"/>
  <c r="D37" i="2"/>
  <c r="D38" i="2"/>
  <c r="D34" i="2"/>
  <c r="C41" i="2"/>
  <c r="C42" i="2" s="1"/>
  <c r="C40" i="2"/>
  <c r="H21" i="2"/>
  <c r="D39" i="2" s="1"/>
  <c r="B21" i="2"/>
  <c r="B39" i="2" s="1"/>
  <c r="B41" i="2"/>
  <c r="B40" i="2"/>
  <c r="C28" i="4"/>
  <c r="D41" i="2" l="1"/>
  <c r="B29" i="4"/>
  <c r="D28" i="4"/>
  <c r="D40" i="2"/>
  <c r="D29" i="4" s="1"/>
  <c r="B42" i="2"/>
  <c r="B43" i="2" s="1"/>
  <c r="G23" i="4"/>
  <c r="F23" i="4"/>
  <c r="F22" i="4"/>
  <c r="C30" i="4"/>
  <c r="C29" i="4"/>
  <c r="C43" i="2"/>
  <c r="C44" i="3"/>
  <c r="C43" i="3"/>
  <c r="C45" i="3" s="1"/>
  <c r="C39" i="3"/>
  <c r="B25" i="3"/>
  <c r="C25" i="3"/>
  <c r="C21" i="3"/>
  <c r="C24" i="3"/>
  <c r="B30" i="3"/>
  <c r="C8" i="1"/>
  <c r="C7" i="1"/>
  <c r="H12" i="1" s="1"/>
  <c r="C4" i="3"/>
  <c r="B24" i="3"/>
  <c r="B21" i="3"/>
  <c r="B30" i="4" l="1"/>
  <c r="D30" i="4"/>
  <c r="D42" i="2"/>
  <c r="D43" i="2" s="1"/>
  <c r="C47" i="3"/>
  <c r="C6" i="3"/>
  <c r="C20" i="3" s="1"/>
  <c r="C17" i="3"/>
  <c r="C46" i="3"/>
  <c r="C48" i="3" s="1"/>
  <c r="C23" i="3"/>
  <c r="D68" i="3" s="1"/>
  <c r="B74" i="3" s="1"/>
  <c r="C30" i="3"/>
  <c r="C22" i="3" s="1"/>
  <c r="D66" i="3" s="1"/>
  <c r="B72" i="3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C13" i="1"/>
  <c r="H19" i="2"/>
  <c r="E19" i="2"/>
  <c r="B19" i="2"/>
  <c r="H15" i="2"/>
  <c r="E15" i="2"/>
  <c r="B15" i="2"/>
  <c r="H16" i="2"/>
  <c r="E16" i="2"/>
  <c r="B16" i="2"/>
  <c r="D67" i="3" l="1"/>
  <c r="B73" i="3" s="1"/>
  <c r="H8" i="2"/>
  <c r="H12" i="2" s="1"/>
  <c r="H14" i="2" s="1"/>
  <c r="E8" i="2"/>
  <c r="E12" i="2" s="1"/>
  <c r="E14" i="2" s="1"/>
  <c r="B8" i="2"/>
  <c r="B12" i="2" s="1"/>
  <c r="B14" i="2" s="1"/>
  <c r="G46" i="1" l="1"/>
  <c r="E46" i="1"/>
  <c r="C46" i="1"/>
  <c r="G41" i="1"/>
  <c r="G37" i="1"/>
  <c r="G36" i="1"/>
  <c r="G35" i="1"/>
  <c r="G34" i="1"/>
  <c r="G23" i="1"/>
  <c r="G22" i="1"/>
  <c r="G18" i="1"/>
  <c r="G16" i="1"/>
  <c r="C14" i="1"/>
  <c r="C12" i="1"/>
  <c r="B12" i="1" s="1"/>
  <c r="G38" i="1" l="1"/>
  <c r="G17" i="1"/>
  <c r="G12" i="1"/>
  <c r="F12" i="1" s="1"/>
  <c r="G28" i="1"/>
  <c r="G29" i="1"/>
  <c r="G24" i="1"/>
  <c r="G39" i="1"/>
  <c r="E19" i="1"/>
  <c r="G25" i="1"/>
  <c r="G40" i="1"/>
  <c r="E31" i="1"/>
  <c r="G26" i="1"/>
  <c r="G27" i="1"/>
  <c r="G13" i="1"/>
  <c r="G14" i="1"/>
  <c r="G15" i="1"/>
  <c r="G30" i="1"/>
  <c r="G19" i="1"/>
  <c r="G31" i="1"/>
  <c r="C23" i="1"/>
  <c r="G20" i="1"/>
  <c r="G32" i="1"/>
  <c r="C22" i="1"/>
  <c r="G21" i="1"/>
  <c r="G33" i="1"/>
  <c r="E38" i="1"/>
  <c r="E32" i="1"/>
  <c r="C21" i="1"/>
  <c r="E21" i="1"/>
  <c r="E34" i="1"/>
  <c r="E23" i="1"/>
  <c r="E36" i="1"/>
  <c r="C36" i="1"/>
  <c r="E13" i="1"/>
  <c r="E26" i="1"/>
  <c r="C34" i="1"/>
  <c r="E15" i="1"/>
  <c r="E27" i="1"/>
  <c r="E39" i="1"/>
  <c r="E35" i="1"/>
  <c r="E37" i="1"/>
  <c r="E14" i="1"/>
  <c r="C33" i="1"/>
  <c r="E16" i="1"/>
  <c r="E28" i="1"/>
  <c r="E40" i="1"/>
  <c r="E20" i="1"/>
  <c r="E33" i="1"/>
  <c r="E22" i="1"/>
  <c r="C25" i="1"/>
  <c r="E17" i="1"/>
  <c r="E29" i="1"/>
  <c r="E41" i="1"/>
  <c r="C37" i="1"/>
  <c r="E24" i="1"/>
  <c r="E25" i="1"/>
  <c r="C35" i="1"/>
  <c r="C24" i="1"/>
  <c r="E18" i="1"/>
  <c r="E30" i="1"/>
  <c r="E12" i="1"/>
  <c r="D12" i="1" s="1"/>
  <c r="C16" i="1"/>
  <c r="C32" i="1"/>
  <c r="C20" i="1"/>
  <c r="C31" i="1"/>
  <c r="C19" i="1"/>
  <c r="B13" i="1"/>
  <c r="C30" i="1"/>
  <c r="C18" i="1"/>
  <c r="C41" i="1"/>
  <c r="C29" i="1"/>
  <c r="C17" i="1"/>
  <c r="C40" i="1"/>
  <c r="C28" i="1"/>
  <c r="C39" i="1"/>
  <c r="C27" i="1"/>
  <c r="C15" i="1"/>
  <c r="C38" i="1"/>
  <c r="C26" i="1"/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F42" i="1" l="1"/>
  <c r="F43" i="1" s="1"/>
  <c r="D42" i="1"/>
  <c r="D43" i="1" s="1"/>
  <c r="B42" i="1"/>
  <c r="B43" i="1" s="1"/>
  <c r="K42" i="1"/>
  <c r="J42" i="1"/>
  <c r="I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tc={3C96C22B-2452-4045-8EF0-9D7DC170E107}</author>
  </authors>
  <commentList>
    <comment ref="B7" authorId="0" shapeId="0" xr:uid="{3C96C22B-2452-4045-8EF0-9D7DC170E10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Usato l'ultimo link per definire la perdita di efficienza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RSE S.p.a</author>
  </authors>
  <commentList>
    <comment ref="A27" authorId="0" shapeId="0" xr:uid="{C832334E-77C9-47BA-BC4E-25CEEEF33371}">
      <text>
        <r>
          <rPr>
            <b/>
            <sz val="9"/>
            <color indexed="81"/>
            <rFont val="Tahoma"/>
            <family val="2"/>
          </rPr>
          <t>RSE S.p.a:</t>
        </r>
        <r>
          <rPr>
            <sz val="9"/>
            <color indexed="81"/>
            <rFont val="Tahoma"/>
            <family val="2"/>
          </rPr>
          <t xml:space="preserve">
Specifiche su scheda tecnica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tc={0F6CA749-397F-435F-B64B-05B168328FE6}</author>
    <author>tc={6348A0AC-DF5A-46B6-A43A-D8F5A9BDBEBE}</author>
    <author>tc={91110152-2961-417B-9596-583FD57C8649}</author>
    <author>tc={AC431E32-38B3-4DE5-BDF7-9AA5B4D38C65}</author>
  </authors>
  <commentList>
    <comment ref="C3" authorId="0" shapeId="0" xr:uid="{0F6CA749-397F-435F-B64B-05B168328FE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Dalle schede tecniche dovrebbe essere half-cut</t>
      </text>
    </comment>
    <comment ref="C10" authorId="1" shapeId="0" xr:uid="{6348A0AC-DF5A-46B6-A43A-D8F5A9BDBEB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Non ho trovato la scheda tecnica del modulo bifacciale quindi ho preso quella dove viene riportato il peso maggiore, e i mm del vetro da un modulo sempre dello stesso tipo bifacciale di dimensioni leggermente maggiore</t>
      </text>
    </comment>
    <comment ref="C26" authorId="2" shapeId="0" xr:uid="{91110152-2961-417B-9596-583FD57C864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Ricavato dalla proporzione dell'area del PERC (2.17m2) e peso della sua cornice 2.6 kg</t>
      </text>
    </comment>
    <comment ref="B42" authorId="3" shapeId="0" xr:uid="{AC431E32-38B3-4DE5-BDF7-9AA5B4D38C65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Si ipotizza che essendo vetro/vetro la differenza lunghezza sia uguale su entrambi i lati
</t>
      </text>
    </comment>
  </commentList>
</comments>
</file>

<file path=xl/sharedStrings.xml><?xml version="1.0" encoding="utf-8"?>
<sst xmlns="http://schemas.openxmlformats.org/spreadsheetml/2006/main" count="311" uniqueCount="212">
  <si>
    <t>FONTE per perdita di efficienza</t>
  </si>
  <si>
    <t>https://www.futurasun.com/wp-content/uploads/2024/01/FuturaSun_144_470W_Velvet-Pro_IT.pdf</t>
  </si>
  <si>
    <t>FuturaSUN</t>
  </si>
  <si>
    <t>greensun.ro/wp-content/uploads/2021/05/Jinko-Tiger-JKM565-585M-7RL4-V-A1.1-EN.pdf</t>
  </si>
  <si>
    <t>jinkosolar.com.au/wp-content/uploads/2021/01/TR-JKM555-575M-7RL4-TV-F1-EN-10122020.pdf</t>
  </si>
  <si>
    <t>Jinko Solar (Modulo in esame riportato nel file Dati tecnici impianto)</t>
  </si>
  <si>
    <t>ATTENZIONE!</t>
  </si>
  <si>
    <t>Dalle informazioni riportate su PVGIS emerge che il calcolo dell'energia elettrica tiene già conto delle perdite del modulo per questo non è necessario aggiungere la perdita di efficienza</t>
  </si>
  <si>
    <t>Perdita di efficienza al 1 anno</t>
  </si>
  <si>
    <t>Perdita di efficienza dal 2 anno</t>
  </si>
  <si>
    <t>La perdita di efficienza è già considerata nel calcolo con PVGIS</t>
  </si>
  <si>
    <t>CASO BASE</t>
  </si>
  <si>
    <t>ALTERNATIVA 1</t>
  </si>
  <si>
    <t>ALTERNATIVA 2</t>
  </si>
  <si>
    <t>Anno</t>
  </si>
  <si>
    <t>Produzione (GWh/anno) con incluse le perdite DC/AC</t>
  </si>
  <si>
    <t>Perdita di efficienza</t>
  </si>
  <si>
    <t>Perdita di efficieza</t>
  </si>
  <si>
    <t>Perdita di efficienza cumulata (controllo)</t>
  </si>
  <si>
    <t>Produzione (GWh/anno) considerato che PVGIS include le perdite</t>
  </si>
  <si>
    <t>TOT PROD. (GWh)</t>
  </si>
  <si>
    <t>TOT PROD. (kWh)</t>
  </si>
  <si>
    <t>*L'alternativa Base e 1 hanno uguale potenza, è diverso solo il sistema di sostegno dei moduli</t>
  </si>
  <si>
    <t>Num. Moduli</t>
  </si>
  <si>
    <t>Potenza totale (GW)</t>
  </si>
  <si>
    <t>CARATTERISTICHE IMPIANTO</t>
  </si>
  <si>
    <t>Potenza moduli (W)</t>
  </si>
  <si>
    <t>N moduli</t>
  </si>
  <si>
    <t>OPZIONE BASE - Base</t>
  </si>
  <si>
    <t>OPZIONE 2 - Alternativa 1</t>
  </si>
  <si>
    <t>OPZIONE 3 - Alternativa 2</t>
  </si>
  <si>
    <t>Informazioni da file:"Relazione impianto"</t>
  </si>
  <si>
    <t>DIMENSIONI</t>
  </si>
  <si>
    <t>L’asse centrale di rotazione sarà collegato a pali di sostegno verticali infissi nel terreno senza l’ausilio di opere in calcestruzzo</t>
  </si>
  <si>
    <t>Lunghezza stringa (m)</t>
  </si>
  <si>
    <t>I moduli saranno collegati tra di loro in serie a formare stringhe ciascuna delle quali composta da 26 moduli,</t>
  </si>
  <si>
    <t>Larghezza stringhe (m)</t>
  </si>
  <si>
    <t>I tracker a tripla stringa saranno realizzati in configurazione 2x39, due file da 39 moduli ciascuno con lato corto parallelo all’asse di rotazione, ed avranno una lunghezza complessiva di circa 45 metri.</t>
  </si>
  <si>
    <r>
      <t>Area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</si>
  <si>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La struttura di sostegno e fissaggio moduli fotovoltaici prevede la posa di montanti HEA in acciaio zincato infissi nel terreno, profondità di interramento minima 1,5 metri, che andranno a sostenere la trave di rotazione, anch’essa in acciaio zincato, senza la necessità di alcuna fondazione in calcestruzzo, compatibilmente alle caratteristiche geologiche del terreno e alle prove che dovranno essere eseguite per la fase di costruzione dell’impianto (penetrazione 26 e pull out test). Inoltre, le strutture dovranno essere in grado di supportare il peso dei moduli anche in presenza di raffiche di vento di elevata velocità, di neve e altri carichi accidentali</t>
  </si>
  <si>
    <t>Altezza minima (m)</t>
  </si>
  <si>
    <t>No fondazione in calcestruzzo</t>
  </si>
  <si>
    <t>Altezza massima (m)</t>
  </si>
  <si>
    <r>
      <t>Amodulo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</si>
  <si>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*tre pali di fondazione per stringa</t>
  </si>
  <si>
    <t>n moduli per stringa</t>
  </si>
  <si>
    <t>*le colonne vengono collegate tramite bulloni M16 su dei pali infissi nel terreno per circa 1200mm senza utilizzo di cls. Il telaio trasversale consiste in 3 colonne in acciaio S275 UPN100 con altezze di 724, 1703 e 2682mm in modo di dare l’inclinazione di 30° alla trave W 120x50x30x3 su cui verranno bullonati i sistemi di ancoraggio dei moduli fotovoltaici individuati nel progetto.</t>
  </si>
  <si>
    <t>n di stringhe per tracker</t>
  </si>
  <si>
    <t>n moduli per tracker</t>
  </si>
  <si>
    <t>Lunghezza complessiva</t>
  </si>
  <si>
    <t>Larghezza complessiva</t>
  </si>
  <si>
    <t>Tipologia di trave</t>
  </si>
  <si>
    <t>HEA</t>
  </si>
  <si>
    <t>H min di interramento (m)</t>
  </si>
  <si>
    <t>H totale palo (m)</t>
  </si>
  <si>
    <t>Materiale sia sostegno che trave di rotazione</t>
  </si>
  <si>
    <t>Acciaio zincato</t>
  </si>
  <si>
    <t>Numero di tracker Convert (considero che ogni tracker ha 26 moduli)</t>
  </si>
  <si>
    <t>Numero di tracker</t>
  </si>
  <si>
    <t>TRACKER CONVERT</t>
  </si>
  <si>
    <t>N moduli per tracker</t>
  </si>
  <si>
    <t>Lunghezza (m)</t>
  </si>
  <si>
    <t>Larghezza (m)</t>
  </si>
  <si>
    <t>N di pali</t>
  </si>
  <si>
    <t>Rapporto Hmax Base e Hmax A1 (DeltaP_Tracker)</t>
  </si>
  <si>
    <t>DATASET SIMAPRO SOLO MATERIALI 1 TRACKER CON CARATTERISTICHE SOPRA</t>
  </si>
  <si>
    <t>*si ipotizza lo stesso tracker per il caso Base e Alternativa 2. L'Alternativa 1 richiede una modifica dei materiali sulla base della dimensione dei pali</t>
  </si>
  <si>
    <t>Dati Tracker Convert (scheda tecnica presente nella cartella)</t>
  </si>
  <si>
    <t>Quantitativi Alternativa 1</t>
  </si>
  <si>
    <t>Quantitativi Alternativa 2</t>
  </si>
  <si>
    <t>Piles in CORTEN {RER}| electric production 2022 ECOINVENT 3.8 | Alloc Rec, U - RSE</t>
  </si>
  <si>
    <t>kg</t>
  </si>
  <si>
    <t>Beam in CORTEN {RER}| electric production 2022 ECOINVENT 3.8 | Alloc Rec, U - RSE</t>
  </si>
  <si>
    <t>Outreaches in CORTEN {RER}| electric production 2022 ECOINVENT 3.8 | Alloc Rec, U - RSE</t>
  </si>
  <si>
    <t>Mechanical components in CORTEN {RER}| electric production 2022 ECOINVENT 3.8 | Alloc Rec, U - RSE</t>
  </si>
  <si>
    <t>Aluminium per tracker, cast alloy {GLO}| market for | Alloc Rec, U -RSE</t>
  </si>
  <si>
    <t>N motori totali (1 motore per tracker) peso singolo motore 6 kg</t>
  </si>
  <si>
    <t>p</t>
  </si>
  <si>
    <t>N di motori sostituiti (1% anno durante la vita utile) ogni tracker ha un motore</t>
  </si>
  <si>
    <t>N schede elettroniche (1 scheda ogni 10 tracker) peso singola scheda 0.5 kg</t>
  </si>
  <si>
    <t>N schede elettroniche sostituite (0.4% anno)</t>
  </si>
  <si>
    <t>*L'aumento di materiale per l'alternativa2 è stato ipotizzato lineare con l'altezza dei pali e associato solo ai pali. Considerato che un aumento di altezza della struttura potrebbe portare a un aumento della sezione del palo stesso, si è verificato come l'aumento ulteriore di materiale possa portare a una variazione dei risultati per la categoria Land Use. Ciò è stato necessario perchè non si sono trovate informazioni sulle schede tecniche quindi ha rappresentato il criterio per verificare la necessità di ricercare o meno informazioni in letteratura</t>
  </si>
  <si>
    <t>*Variazione dei risultati inferiore al 10% in quasi tutte le categorie selezionate. La differenza nell'indicatore Land Use è trascurabile. Ad ogni modo si è applicata la variazione in peso lineare con l'altezza a tutti i componenti in acciaio.</t>
  </si>
  <si>
    <t>CARATTERISTICHE MODULO</t>
  </si>
  <si>
    <t>CEA</t>
  </si>
  <si>
    <t>Jinko Solar</t>
  </si>
  <si>
    <t>Celle</t>
  </si>
  <si>
    <t>N-type</t>
  </si>
  <si>
    <t>P-type</t>
  </si>
  <si>
    <t>N celle</t>
  </si>
  <si>
    <t>144 celle half-cut</t>
  </si>
  <si>
    <t>152 celle half-cut</t>
  </si>
  <si>
    <t>Dimensione modulo (m2)</t>
  </si>
  <si>
    <t>efficienza</t>
  </si>
  <si>
    <t>Dimensione cella (m2)</t>
  </si>
  <si>
    <t>Dimensione wafer (dimensione wafer ipotizzato in base a quello che si avvicina di più)</t>
  </si>
  <si>
    <t>M2</t>
  </si>
  <si>
    <t>M9</t>
  </si>
  <si>
    <t>Frame</t>
  </si>
  <si>
    <t>|</t>
  </si>
  <si>
    <t>Alluminio</t>
  </si>
  <si>
    <t>Vetro/Retro (mm)</t>
  </si>
  <si>
    <t>Peso modulo (kg)</t>
  </si>
  <si>
    <t>Peso modulo senza frame (kg)</t>
  </si>
  <si>
    <r>
      <t>Area modulo CEA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</si>
  <si>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DATASET DA SIMAPRO</t>
  </si>
  <si>
    <t>Valori da Modulo CEA</t>
  </si>
  <si>
    <t>Valori nuovi Jinko solar (in base all'area)</t>
  </si>
  <si>
    <r>
      <t xml:space="preserve">Valori nuovi Jinko solar (in base al peso) </t>
    </r>
    <r>
      <rPr>
        <sz val="8"/>
        <color rgb="FFFF0000"/>
        <rFont val="Calibri"/>
        <family val="2"/>
        <scheme val="minor"/>
      </rPr>
      <t>*In rosso i valori modificati in base alla superficie</t>
    </r>
  </si>
  <si>
    <t>Products</t>
  </si>
  <si>
    <t>Photovoltaic module, HJT bifacial_3SUN| Jinko Solar {CN}| production 2024 | Alloc Rec, U - RSE</t>
  </si>
  <si>
    <t>Materials/fuels</t>
  </si>
  <si>
    <t>Tab ribbon, Photovoltaic GOPV module {RER}| market for | Alloc Rec, U - RSE</t>
  </si>
  <si>
    <t>Corrugated board box {RER}| market for corrugated board box | Cut-off, U</t>
  </si>
  <si>
    <t>Glass fibre reinforced plastic, polyamide, injection moulded {GLO}| market for glass fibre reinforced plastic, polyamide, injection moulded | Cut-off, U</t>
  </si>
  <si>
    <t>Photovoltaic cell, HJT_3SUN {RER}| production 2022 ECOINVENT 3.8 | Alloc Rec, U - RSE</t>
  </si>
  <si>
    <t>Photovoltaic panel factory {GLO}| market for photovoltaic panel factory | Cut-off, U</t>
  </si>
  <si>
    <t>Solar glass, low-iron {GLO}| market for solar glass, low-iron | Cut-off, U</t>
  </si>
  <si>
    <t>Bus ribbon, Photovoltaic GOPV module {RER}| market for | Alloc Rec, U - RSE</t>
  </si>
  <si>
    <t>N-olefins {GLO}| market for n-olefins | Cut-off, U</t>
  </si>
  <si>
    <t>Anti-reflex-coating, etching, solar glass {fKm}| processing | Alloc Rec, U - RSE</t>
  </si>
  <si>
    <t>m2</t>
  </si>
  <si>
    <t>Aluminium alloy, Al6063-T5 {GLO}| ECOINVENT 3.8 market for | Alloc Rec, U - RSE</t>
  </si>
  <si>
    <t>è presente il FRAME?</t>
  </si>
  <si>
    <t>Metal working, average for aluminium product manufacturing {GLO}| market for metal working, average for aluminium product manufacturing | Cut-off, U</t>
  </si>
  <si>
    <t>*Dubbio che si tratti di celle PERC tuttavia confrontando i due moduli la dfferenza nel Land Use è trascurabile. Vedi grafico sotto confronto per W</t>
  </si>
  <si>
    <t>TOTALE</t>
  </si>
  <si>
    <r>
      <t>V vetro (m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</si>
  <si>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rPr>
        <b/>
        <sz val="11"/>
        <color rgb="FFFF0000"/>
        <rFont val="Calibri"/>
        <family val="2"/>
        <scheme val="minor"/>
      </rPr>
      <t>CALCOLO DIMENSIONI FRAME</t>
    </r>
    <r>
      <rPr>
        <sz val="11"/>
        <color theme="1"/>
        <rFont val="Calibri"/>
        <family val="2"/>
        <scheme val="minor"/>
      </rPr>
      <t xml:space="preserve"> (Disegno da scheda tecnica bifacciale con dimensioni leggermente maggiori) si ipotizza uguale spessore del frame per tutti i moduli</t>
    </r>
  </si>
  <si>
    <t>Largezza interna (mm)</t>
  </si>
  <si>
    <t>Larghezza esterna (mm)</t>
  </si>
  <si>
    <t>Delta larghezza (mm)</t>
  </si>
  <si>
    <t>Lunghezza (mm)</t>
  </si>
  <si>
    <t>H frame (mm)</t>
  </si>
  <si>
    <t>L frame (mm)</t>
  </si>
  <si>
    <t>Hp Lmin frame (mm)</t>
  </si>
  <si>
    <r>
      <t>V Frame lunghezza (mm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</si>
  <si>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 Frame lunghezza buco (mm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</si>
  <si>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 Frame lunghezza reale (mm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</si>
  <si>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 Frame larghezza (mm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</si>
  <si>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 Frame tot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</si>
  <si>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D alluminio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</si>
  <si>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EOL Moduli  1p</t>
  </si>
  <si>
    <t>Numero moduli</t>
  </si>
  <si>
    <t>%</t>
  </si>
  <si>
    <t>Peso modulo</t>
  </si>
  <si>
    <t>Peso vetro in un modulo</t>
  </si>
  <si>
    <t>Peso alluminio in un modulo</t>
  </si>
  <si>
    <t>Peso rame in un modulo</t>
  </si>
  <si>
    <t>End of life of PERC PV module</t>
  </si>
  <si>
    <t>1kg</t>
  </si>
  <si>
    <t>Treatment, c-Si PV modules</t>
  </si>
  <si>
    <t>Glass cullets, recovered from c-Si PV module treatment</t>
  </si>
  <si>
    <t>Aluminium scrap, recovered from c-Si PV module treatment</t>
  </si>
  <si>
    <t>Copper scrap, recovered from c-Si PV module treatment</t>
  </si>
  <si>
    <t>INVERTER</t>
  </si>
  <si>
    <t>Informazioni inverter SUNGROW modello SG 3400HV-M-30V</t>
  </si>
  <si>
    <t xml:space="preserve">https://it.enfsolar.com/pv/inverter-datasheet/14244 </t>
  </si>
  <si>
    <t>Inverter REFU</t>
  </si>
  <si>
    <t>Inverter Sungrow</t>
  </si>
  <si>
    <t>Peso (kg)</t>
  </si>
  <si>
    <t>Inverter</t>
  </si>
  <si>
    <t>Cable, unspecified {GLO}| market for | Alloc Rec, U - RSE</t>
  </si>
  <si>
    <t>Aluminium, cast alloy {GLO}| market for | Alloc Rec, U -RSE</t>
  </si>
  <si>
    <t>Epoxy resin, liquid {RER}| market for| Alloc Rec, U - RSE</t>
  </si>
  <si>
    <t>Heat sink in aluminium | Alloc Rec, U - RSE</t>
  </si>
  <si>
    <t>Printed wiring board, surface mounted, unspecified, Pb free {GLO}| market for | Alloc Rec, U - RSE</t>
  </si>
  <si>
    <t>Con Andrea si è deciso che è più conservativo aumentare tutto</t>
  </si>
  <si>
    <t>Inductor, ring core choke type {GLO}| market for | Alloc Rec, U - RSE</t>
  </si>
  <si>
    <t>Switch, toggle type {GLO}| market for switch, toggle type | Cut-off, U</t>
  </si>
  <si>
    <t>Electric connector, peripheral type buss {GLO}| market for electric connector, peripheral type buss | Cut-off, U</t>
  </si>
  <si>
    <t>EOL INVERTER - Fonte EPD SUNGROW</t>
  </si>
  <si>
    <t>Materiale</t>
  </si>
  <si>
    <t>%Riciclata</t>
  </si>
  <si>
    <t>%Disposal rate</t>
  </si>
  <si>
    <t>Processo di trattamento</t>
  </si>
  <si>
    <t>Peso Inverter Sungrow tot per categoria di materiale</t>
  </si>
  <si>
    <t>%Ric</t>
  </si>
  <si>
    <t>%Treat</t>
  </si>
  <si>
    <t>Dataset</t>
  </si>
  <si>
    <t>Metalli</t>
  </si>
  <si>
    <t>Landfill</t>
  </si>
  <si>
    <t>Aluminium (waste treatment) {GLO}| recycling of aluminium | Cut-off, U</t>
  </si>
  <si>
    <t>Plastica</t>
  </si>
  <si>
    <t>Incineration</t>
  </si>
  <si>
    <t>Mixed plastics (waste treatment) {GLO}| recycling of mixed plastics | Cut-off, U</t>
  </si>
  <si>
    <t>PCBA</t>
  </si>
  <si>
    <t>10% Incineration/25% landfill</t>
  </si>
  <si>
    <t>Waste electric and electronic equipment {GLO}| market for waste electric and electronic equipment | Cut-off, U</t>
  </si>
  <si>
    <t>Cavi</t>
  </si>
  <si>
    <t>Waste electric wiring {CH}| market for waste electric wiring | Cut-off, U</t>
  </si>
  <si>
    <t>Gomma</t>
  </si>
  <si>
    <t>EOL Tracker (valori per singolo tracker)</t>
  </si>
  <si>
    <t>*Non si sono trovati documenti con informazioni specifiche quindi si utilizzano i dataset di ecoinvent relativi al trattamento e smaltimento dei componenti riportati in tabella</t>
  </si>
  <si>
    <t>Dati Tracker Convert (scheda tecnica presente nella cartella) Alternativa Base</t>
  </si>
  <si>
    <t>Ipotesi</t>
  </si>
  <si>
    <t>Acciaio</t>
  </si>
  <si>
    <t>Si ipotizza che il 10% dell'acciaio sia mandato a incenerimento</t>
  </si>
  <si>
    <t>Motore (incluso sostituzioni)</t>
  </si>
  <si>
    <t>Schede elettroniche (incluso sostituzioni)</t>
  </si>
  <si>
    <t>VIABILITà DELL'IMPIANTO</t>
  </si>
  <si>
    <t>Il progetto include strade sterrate in ghiaia per la viabilità, verificare se è solo strada sterrata o mettono qualcosa</t>
  </si>
  <si>
    <t>Dimensioni viabilità perimetrale: 8568 m x 4 m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</si>
  <si>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</si>
  <si>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Ipotesi di volume, si ipotizza che lo strato per la ghiaia sia 5 cm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</si>
  <si>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</si>
  <si>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Densità ghiaia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</si>
  <si>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</si>
  <si>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Peso tot</t>
  </si>
  <si>
    <t>Due dataset disponibili al momento si è preso il più impattante</t>
  </si>
  <si>
    <t>Gravel, crushed {CH}| market for gravel, crushed | Cut-off, U</t>
  </si>
  <si>
    <t>Gravel, round {CH}| market for gravel, round | Cut-off,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</si>
</sst>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00"/>
    <numFmt numFmtId="166" formatCode="0.0000"/>
    <numFmt numFmtId="167" formatCode="0.000"/>
    <numFmt numFmtId="168" formatCode="0.0"/>
    <numFmt numFmtId="169" formatCode="#,##0.000"/>
    <numFmt numFmtId="170" formatCode="#,##0.00000"/>
    <numFmt numFmtId="171" formatCode="0.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6">
    <xf numFmtId="0" fontId="0" fillId="0" borderId="0" xfId="0"/>
    <xf numFmtId="2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164" fontId="0" fillId="0" borderId="7" xfId="1" applyNumberFormat="1" applyFont="1" applyBorder="1"/>
    <xf numFmtId="2" fontId="0" fillId="0" borderId="9" xfId="0" applyNumberFormat="1" applyBorder="1"/>
    <xf numFmtId="164" fontId="0" fillId="0" borderId="5" xfId="1" applyNumberFormat="1" applyFont="1" applyBorder="1"/>
    <xf numFmtId="2" fontId="0" fillId="0" borderId="6" xfId="0" applyNumberFormat="1" applyBorder="1"/>
    <xf numFmtId="2" fontId="0" fillId="0" borderId="4" xfId="0" applyNumberFormat="1" applyBorder="1"/>
    <xf numFmtId="0" fontId="2" fillId="0" borderId="0" xfId="0" applyFont="1"/>
    <xf numFmtId="0" fontId="4" fillId="0" borderId="0" xfId="0" applyFont="1"/>
    <xf numFmtId="0" fontId="4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3" xfId="0" applyFont="1" applyFill="1" applyBorder="1"/>
    <xf numFmtId="0" fontId="0" fillId="5" borderId="2" xfId="0" applyFill="1" applyBorder="1"/>
    <xf numFmtId="0" fontId="0" fillId="5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167" fontId="4" fillId="6" borderId="2" xfId="0" applyNumberFormat="1" applyFont="1" applyFill="1" applyBorder="1"/>
    <xf numFmtId="0" fontId="4" fillId="6" borderId="3" xfId="0" applyFont="1" applyFill="1" applyBorder="1"/>
    <xf numFmtId="2" fontId="4" fillId="6" borderId="4" xfId="0" applyNumberFormat="1" applyFont="1" applyFill="1" applyBorder="1"/>
    <xf numFmtId="0" fontId="4" fillId="6" borderId="5" xfId="0" applyFont="1" applyFill="1" applyBorder="1"/>
    <xf numFmtId="167" fontId="4" fillId="3" borderId="8" xfId="0" applyNumberFormat="1" applyFont="1" applyFill="1" applyBorder="1"/>
    <xf numFmtId="0" fontId="4" fillId="3" borderId="3" xfId="0" applyFont="1" applyFill="1" applyBorder="1"/>
    <xf numFmtId="2" fontId="4" fillId="3" borderId="9" xfId="0" applyNumberFormat="1" applyFont="1" applyFill="1" applyBorder="1"/>
    <xf numFmtId="0" fontId="4" fillId="3" borderId="5" xfId="0" applyFont="1" applyFill="1" applyBorder="1"/>
    <xf numFmtId="167" fontId="4" fillId="4" borderId="8" xfId="0" applyNumberFormat="1" applyFont="1" applyFill="1" applyBorder="1"/>
    <xf numFmtId="0" fontId="4" fillId="4" borderId="3" xfId="0" applyFont="1" applyFill="1" applyBorder="1"/>
    <xf numFmtId="2" fontId="4" fillId="4" borderId="9" xfId="0" applyNumberFormat="1" applyFont="1" applyFill="1" applyBorder="1"/>
    <xf numFmtId="0" fontId="4" fillId="4" borderId="5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0" borderId="12" xfId="0" applyFont="1" applyBorder="1"/>
    <xf numFmtId="0" fontId="3" fillId="0" borderId="10" xfId="0" applyFont="1" applyBorder="1"/>
    <xf numFmtId="0" fontId="4" fillId="0" borderId="2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0" xfId="2"/>
    <xf numFmtId="0" fontId="0" fillId="0" borderId="1" xfId="0" applyBorder="1"/>
    <xf numFmtId="2" fontId="0" fillId="0" borderId="1" xfId="0" applyNumberFormat="1" applyBorder="1"/>
    <xf numFmtId="0" fontId="3" fillId="0" borderId="1" xfId="0" applyFont="1" applyBorder="1"/>
    <xf numFmtId="168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right"/>
    </xf>
    <xf numFmtId="0" fontId="3" fillId="0" borderId="0" xfId="0" applyFont="1"/>
    <xf numFmtId="3" fontId="0" fillId="0" borderId="1" xfId="0" applyNumberFormat="1" applyBorder="1"/>
    <xf numFmtId="10" fontId="0" fillId="0" borderId="1" xfId="1" applyNumberFormat="1" applyFont="1" applyBorder="1"/>
    <xf numFmtId="165" fontId="0" fillId="0" borderId="1" xfId="0" applyNumberFormat="1" applyBorder="1"/>
    <xf numFmtId="169" fontId="0" fillId="0" borderId="1" xfId="0" applyNumberFormat="1" applyBorder="1"/>
    <xf numFmtId="0" fontId="9" fillId="0" borderId="0" xfId="0" applyFont="1"/>
    <xf numFmtId="0" fontId="9" fillId="0" borderId="1" xfId="0" applyFont="1" applyBorder="1"/>
    <xf numFmtId="17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wrapText="1"/>
    </xf>
    <xf numFmtId="2" fontId="0" fillId="0" borderId="15" xfId="0" applyNumberFormat="1" applyBorder="1"/>
    <xf numFmtId="165" fontId="0" fillId="0" borderId="1" xfId="0" applyNumberFormat="1" applyBorder="1" applyAlignment="1">
      <alignment horizontal="right"/>
    </xf>
    <xf numFmtId="170" fontId="0" fillId="0" borderId="1" xfId="0" applyNumberFormat="1" applyBorder="1" applyAlignment="1">
      <alignment horizontal="right"/>
    </xf>
    <xf numFmtId="0" fontId="10" fillId="0" borderId="1" xfId="0" applyFont="1" applyBorder="1"/>
    <xf numFmtId="168" fontId="0" fillId="0" borderId="0" xfId="0" applyNumberFormat="1"/>
    <xf numFmtId="0" fontId="9" fillId="0" borderId="12" xfId="0" applyFont="1" applyBorder="1"/>
    <xf numFmtId="165" fontId="0" fillId="0" borderId="14" xfId="0" applyNumberFormat="1" applyBorder="1"/>
    <xf numFmtId="0" fontId="2" fillId="0" borderId="1" xfId="0" applyFont="1" applyBorder="1"/>
    <xf numFmtId="0" fontId="1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13" fillId="0" borderId="1" xfId="0" applyFont="1" applyBorder="1"/>
    <xf numFmtId="9" fontId="0" fillId="0" borderId="1" xfId="0" applyNumberFormat="1" applyBorder="1"/>
    <xf numFmtId="0" fontId="1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0" fillId="0" borderId="1" xfId="1" applyFont="1" applyBorder="1"/>
    <xf numFmtId="0" fontId="0" fillId="7" borderId="1" xfId="0" applyFill="1" applyBorder="1"/>
    <xf numFmtId="171" fontId="0" fillId="0" borderId="0" xfId="0" applyNumberFormat="1"/>
    <xf numFmtId="169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6" fillId="0" borderId="0" xfId="2" applyFont="1"/>
    <xf numFmtId="0" fontId="17" fillId="0" borderId="0" xfId="0" applyFont="1"/>
    <xf numFmtId="0" fontId="3" fillId="2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16" xfId="0" applyBorder="1"/>
    <xf numFmtId="2" fontId="0" fillId="0" borderId="16" xfId="0" applyNumberFormat="1" applyBorder="1"/>
    <xf numFmtId="0" fontId="0" fillId="0" borderId="2" xfId="0" applyBorder="1"/>
    <xf numFmtId="0" fontId="0" fillId="2" borderId="15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167" fontId="4" fillId="6" borderId="20" xfId="0" applyNumberFormat="1" applyFont="1" applyFill="1" applyBorder="1"/>
    <xf numFmtId="2" fontId="0" fillId="0" borderId="21" xfId="0" applyNumberFormat="1" applyBorder="1"/>
    <xf numFmtId="2" fontId="0" fillId="0" borderId="22" xfId="0" applyNumberFormat="1" applyBorder="1"/>
    <xf numFmtId="167" fontId="4" fillId="3" borderId="23" xfId="0" applyNumberFormat="1" applyFont="1" applyFill="1" applyBorder="1"/>
    <xf numFmtId="2" fontId="0" fillId="0" borderId="10" xfId="0" applyNumberFormat="1" applyBorder="1"/>
    <xf numFmtId="2" fontId="0" fillId="0" borderId="11" xfId="0" applyNumberFormat="1" applyBorder="1"/>
    <xf numFmtId="167" fontId="4" fillId="4" borderId="24" xfId="0" applyNumberFormat="1" applyFont="1" applyFill="1" applyBorder="1"/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440055</xdr:colOff>
      <xdr:row>54</xdr:row>
      <xdr:rowOff>104775</xdr:rowOff>
    </xdr:from>
    <xdr:to>
      <xdr:col>23</xdr:col>
      <xdr:colOff>444494</xdr:colOff>
      <xdr:row>62</xdr:row>
      <xdr:rowOff>143005</xdr:rowOff>
    </xdr:to>
    <xdr:grpSp>
      <xdr:nvGrpSpPr>
        <xdr:cNvPr id="8" name="Gruppo 7">
          <a:extLst>
            <a:ext uri="{FF2B5EF4-FFF2-40B4-BE49-F238E27FC236}">
              <a16:creationId xmlns:a16="http://schemas.microsoft.com/office/drawing/2014/main" id="{B042AA39-4DA7-1720-7030-E0A3E63D0ABA}"/>
            </a:ext>
          </a:extLst>
        </xdr:cNvPr>
        <xdr:cNvGrpSpPr/>
      </xdr:nvGrpSpPr>
      <xdr:grpSpPr>
        <a:xfrm>
          <a:off x="16051530" y="12058650"/>
          <a:ext cx="7929239" cy="1562230"/>
          <a:chOff x="579120" y="5074920"/>
          <a:chExt cx="7262489" cy="1501270"/>
        </a:xfrm>
      </xdr:grpSpPr>
      <xdr:pic>
        <xdr:nvPicPr>
          <xdr:cNvPr id="6" name="Immagine 5">
            <a:extLst>
              <a:ext uri="{FF2B5EF4-FFF2-40B4-BE49-F238E27FC236}">
                <a16:creationId xmlns:a16="http://schemas.microsoft.com/office/drawing/2014/main" id="{1A25917E-3AB5-2413-A64B-5A7F07C244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" y="5074920"/>
            <a:ext cx="7262489" cy="1501270"/>
          </a:xfrm>
          <a:prstGeom prst="rect">
            <a:avLst/>
          </a:prstGeom>
        </xdr:spPr>
      </xdr:pic>
      <xdr:sp macro="" textlink="">
        <xdr:nvSpPr>
          <xdr:cNvPr id="7" name="CasellaDiTesto 6">
            <a:extLst>
              <a:ext uri="{FF2B5EF4-FFF2-40B4-BE49-F238E27FC236}">
                <a16:creationId xmlns:a16="http://schemas.microsoft.com/office/drawing/2014/main" id="{6B8965D4-2636-B90D-E390-7673470C49FD}"/>
              </a:ext>
            </a:extLst>
          </xdr:cNvPr>
          <xdr:cNvSpPr txBox="1"/>
        </xdr:nvSpPr>
        <xdr:spPr>
          <a:xfrm>
            <a:off x="967740" y="5105400"/>
            <a:ext cx="228600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Disegno da scheda tecnica Convert</a:t>
            </a:r>
          </a:p>
        </xdr:txBody>
      </xdr:sp>
    </xdr:grpSp>
    <xdr:clientData/>
  </xdr:twoCellAnchor>
  <xdr:twoCellAnchor>
    <xdr:from>
      <xdr:col>10</xdr:col>
      <xdr:colOff>289560</xdr:colOff>
      <xdr:row>31</xdr:row>
      <xdr:rowOff>173272</xdr:rowOff>
    </xdr:from>
    <xdr:to>
      <xdr:col>24</xdr:col>
      <xdr:colOff>480971</xdr:colOff>
      <xdr:row>53</xdr:row>
      <xdr:rowOff>99377</xdr:rowOff>
    </xdr:to>
    <xdr:grpSp>
      <xdr:nvGrpSpPr>
        <xdr:cNvPr id="12" name="Gruppo 11">
          <a:extLst>
            <a:ext uri="{FF2B5EF4-FFF2-40B4-BE49-F238E27FC236}">
              <a16:creationId xmlns:a16="http://schemas.microsoft.com/office/drawing/2014/main" id="{ABBD507E-30B7-195D-5672-D12A2A3BA54A}"/>
            </a:ext>
          </a:extLst>
        </xdr:cNvPr>
        <xdr:cNvGrpSpPr/>
      </xdr:nvGrpSpPr>
      <xdr:grpSpPr>
        <a:xfrm>
          <a:off x="15901035" y="6174022"/>
          <a:ext cx="8725811" cy="5688730"/>
          <a:chOff x="10096500" y="5339632"/>
          <a:chExt cx="8725811" cy="3035065"/>
        </a:xfrm>
      </xdr:grpSpPr>
      <xdr:pic>
        <xdr:nvPicPr>
          <xdr:cNvPr id="5" name="Immagine 4">
            <a:extLst>
              <a:ext uri="{FF2B5EF4-FFF2-40B4-BE49-F238E27FC236}">
                <a16:creationId xmlns:a16="http://schemas.microsoft.com/office/drawing/2014/main" id="{396A87B5-3C38-9348-9354-C28FA928BF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096500" y="5339632"/>
            <a:ext cx="8725811" cy="3035065"/>
          </a:xfrm>
          <a:prstGeom prst="rect">
            <a:avLst/>
          </a:prstGeom>
        </xdr:spPr>
      </xdr:pic>
      <xdr:sp macro="" textlink="">
        <xdr:nvSpPr>
          <xdr:cNvPr id="9" name="CasellaDiTesto 8">
            <a:extLst>
              <a:ext uri="{FF2B5EF4-FFF2-40B4-BE49-F238E27FC236}">
                <a16:creationId xmlns:a16="http://schemas.microsoft.com/office/drawing/2014/main" id="{1BAA88B1-893E-4FEF-9F85-39F78095816D}"/>
              </a:ext>
            </a:extLst>
          </xdr:cNvPr>
          <xdr:cNvSpPr txBox="1"/>
        </xdr:nvSpPr>
        <xdr:spPr>
          <a:xfrm>
            <a:off x="11269980" y="5415832"/>
            <a:ext cx="447294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Disegno da relazione tecnica progetto in esame</a:t>
            </a:r>
          </a:p>
        </xdr:txBody>
      </xdr:sp>
    </xdr:grpSp>
    <xdr:clientData/>
  </xdr:twoCellAnchor>
  <xdr:twoCellAnchor>
    <xdr:from>
      <xdr:col>10</xdr:col>
      <xdr:colOff>299084</xdr:colOff>
      <xdr:row>14</xdr:row>
      <xdr:rowOff>6430</xdr:rowOff>
    </xdr:from>
    <xdr:to>
      <xdr:col>21</xdr:col>
      <xdr:colOff>461919</xdr:colOff>
      <xdr:row>32</xdr:row>
      <xdr:rowOff>40446</xdr:rowOff>
    </xdr:to>
    <xdr:grpSp>
      <xdr:nvGrpSpPr>
        <xdr:cNvPr id="11" name="Gruppo 10">
          <a:extLst>
            <a:ext uri="{FF2B5EF4-FFF2-40B4-BE49-F238E27FC236}">
              <a16:creationId xmlns:a16="http://schemas.microsoft.com/office/drawing/2014/main" id="{8154195D-399C-FCE2-5CE5-7D2DE32E161D}"/>
            </a:ext>
          </a:extLst>
        </xdr:cNvPr>
        <xdr:cNvGrpSpPr/>
      </xdr:nvGrpSpPr>
      <xdr:grpSpPr>
        <a:xfrm>
          <a:off x="15910559" y="2730580"/>
          <a:ext cx="6868435" cy="3501116"/>
          <a:chOff x="10106024" y="2063830"/>
          <a:chExt cx="6868435" cy="3325856"/>
        </a:xfrm>
      </xdr:grpSpPr>
      <xdr:pic>
        <xdr:nvPicPr>
          <xdr:cNvPr id="3" name="Immagine 2">
            <a:extLst>
              <a:ext uri="{FF2B5EF4-FFF2-40B4-BE49-F238E27FC236}">
                <a16:creationId xmlns:a16="http://schemas.microsoft.com/office/drawing/2014/main" id="{60B40D86-2AFE-DCE7-ECEB-887C324D4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106024" y="2063830"/>
            <a:ext cx="6868435" cy="3325856"/>
          </a:xfrm>
          <a:prstGeom prst="rect">
            <a:avLst/>
          </a:prstGeom>
        </xdr:spPr>
      </xdr:pic>
      <xdr:sp macro="" textlink="">
        <xdr:nvSpPr>
          <xdr:cNvPr id="10" name="CasellaDiTesto 9">
            <a:extLst>
              <a:ext uri="{FF2B5EF4-FFF2-40B4-BE49-F238E27FC236}">
                <a16:creationId xmlns:a16="http://schemas.microsoft.com/office/drawing/2014/main" id="{A0B9EB69-7374-45E1-B680-E570A430F7A3}"/>
              </a:ext>
            </a:extLst>
          </xdr:cNvPr>
          <xdr:cNvSpPr txBox="1"/>
        </xdr:nvSpPr>
        <xdr:spPr>
          <a:xfrm>
            <a:off x="10106024" y="2063830"/>
            <a:ext cx="447294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Disegno da relazione tecnica progetto in esame</a:t>
            </a:r>
          </a:p>
        </xdr:txBody>
      </xdr:sp>
    </xdr:grpSp>
    <xdr:clientData/>
  </xdr:twoCellAnchor>
  <xdr:twoCellAnchor>
    <xdr:from>
      <xdr:col>0</xdr:col>
      <xdr:colOff>240031</xdr:colOff>
      <xdr:row>48</xdr:row>
      <xdr:rowOff>20955</xdr:rowOff>
    </xdr:from>
    <xdr:to>
      <xdr:col>6</xdr:col>
      <xdr:colOff>470240</xdr:colOff>
      <xdr:row>75</xdr:row>
      <xdr:rowOff>161925</xdr:rowOff>
    </xdr:to>
    <xdr:grpSp>
      <xdr:nvGrpSpPr>
        <xdr:cNvPr id="15" name="Gruppo 14">
          <a:extLst>
            <a:ext uri="{FF2B5EF4-FFF2-40B4-BE49-F238E27FC236}">
              <a16:creationId xmlns:a16="http://schemas.microsoft.com/office/drawing/2014/main" id="{DD9710F9-6C7A-2E9C-A935-18F639AABBDF}"/>
            </a:ext>
          </a:extLst>
        </xdr:cNvPr>
        <xdr:cNvGrpSpPr/>
      </xdr:nvGrpSpPr>
      <xdr:grpSpPr>
        <a:xfrm>
          <a:off x="240031" y="10831830"/>
          <a:ext cx="11974534" cy="5284470"/>
          <a:chOff x="240031" y="8488680"/>
          <a:chExt cx="12984184" cy="5027295"/>
        </a:xfrm>
      </xdr:grpSpPr>
      <xdr:pic>
        <xdr:nvPicPr>
          <xdr:cNvPr id="13" name="Immagine 12">
            <a:extLst>
              <a:ext uri="{FF2B5EF4-FFF2-40B4-BE49-F238E27FC236}">
                <a16:creationId xmlns:a16="http://schemas.microsoft.com/office/drawing/2014/main" id="{1EC80616-1AF6-C86B-7B39-78618C24D3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40031" y="8488680"/>
            <a:ext cx="12984184" cy="4940719"/>
          </a:xfrm>
          <a:prstGeom prst="rect">
            <a:avLst/>
          </a:prstGeom>
        </xdr:spPr>
      </xdr:pic>
      <xdr:sp macro="" textlink="">
        <xdr:nvSpPr>
          <xdr:cNvPr id="14" name="CasellaDiTesto 13">
            <a:extLst>
              <a:ext uri="{FF2B5EF4-FFF2-40B4-BE49-F238E27FC236}">
                <a16:creationId xmlns:a16="http://schemas.microsoft.com/office/drawing/2014/main" id="{D5CBB677-2111-F119-0502-11722A6001C9}"/>
              </a:ext>
            </a:extLst>
          </xdr:cNvPr>
          <xdr:cNvSpPr txBox="1"/>
        </xdr:nvSpPr>
        <xdr:spPr>
          <a:xfrm>
            <a:off x="8818245" y="13091159"/>
            <a:ext cx="3288030" cy="42481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900"/>
              <a:t>Set 1= aumento lineare in</a:t>
            </a:r>
            <a:r>
              <a:rPr lang="it-IT" sz="900" baseline="0"/>
              <a:t> base ad altezza palo </a:t>
            </a:r>
          </a:p>
          <a:p>
            <a:r>
              <a:rPr lang="it-IT" sz="900" baseline="0"/>
              <a:t>Set 2=aggiunta del 30% di materiale rispetto a Set 1</a:t>
            </a:r>
            <a:endParaRPr lang="it-IT" sz="9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33</xdr:row>
      <xdr:rowOff>47625</xdr:rowOff>
    </xdr:from>
    <xdr:to>
      <xdr:col>0</xdr:col>
      <xdr:colOff>5469725</xdr:colOff>
      <xdr:row>58</xdr:row>
      <xdr:rowOff>129953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B877C2D-819E-FE70-4A6C-2A9AFA25C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895975"/>
          <a:ext cx="5429720" cy="4768628"/>
        </a:xfrm>
        <a:prstGeom prst="rect">
          <a:avLst/>
        </a:prstGeom>
      </xdr:spPr>
    </xdr:pic>
    <xdr:clientData/>
  </xdr:twoCellAnchor>
  <xdr:twoCellAnchor editAs="oneCell">
    <xdr:from>
      <xdr:col>4</xdr:col>
      <xdr:colOff>721995</xdr:colOff>
      <xdr:row>54</xdr:row>
      <xdr:rowOff>167640</xdr:rowOff>
    </xdr:from>
    <xdr:to>
      <xdr:col>7</xdr:col>
      <xdr:colOff>497453</xdr:colOff>
      <xdr:row>71</xdr:row>
      <xdr:rowOff>150760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E904E54A-EB39-DC1C-23F4-9D70FB9C9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99470" y="11083290"/>
          <a:ext cx="2852033" cy="3059695"/>
        </a:xfrm>
        <a:prstGeom prst="rect">
          <a:avLst/>
        </a:prstGeom>
      </xdr:spPr>
    </xdr:pic>
    <xdr:clientData/>
  </xdr:twoCellAnchor>
  <xdr:twoCellAnchor editAs="oneCell">
    <xdr:from>
      <xdr:col>4</xdr:col>
      <xdr:colOff>11821</xdr:colOff>
      <xdr:row>29</xdr:row>
      <xdr:rowOff>28575</xdr:rowOff>
    </xdr:from>
    <xdr:to>
      <xdr:col>23</xdr:col>
      <xdr:colOff>532730</xdr:colOff>
      <xdr:row>56</xdr:row>
      <xdr:rowOff>133830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74CFA09-F8DE-EE08-5F3B-6CADD0F73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08571" y="5124450"/>
          <a:ext cx="13330129" cy="5182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1648344</xdr:colOff>
      <xdr:row>40</xdr:row>
      <xdr:rowOff>135435</xdr:rowOff>
    </xdr:from>
    <xdr:to>
      <xdr:col>8</xdr:col>
      <xdr:colOff>81406</xdr:colOff>
      <xdr:row>67</xdr:row>
      <xdr:rowOff>56412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A2988CF-581B-991B-65CB-FA48A5BAE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1653" y="7796999"/>
          <a:ext cx="12326920" cy="47972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ivio Elisabetta (RSE)" id="{7B42C00A-7B4D-42F7-A10F-7C1C22BDFFB8}" userId="S::BRIVIO@rse-web.it::3ea8ead1-c449-42b1-a495-132723d3e6ff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4-07-30T08:17:35.55" personId="{7B42C00A-7B4D-42F7-A10F-7C1C22BDFFB8}" id="{3C96C22B-2452-4045-8EF0-9D7DC170E107}">
    <text>Usato l'ultimo link per definire la perdita di efficienza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4-07-30T08:22:18.06" personId="{7B42C00A-7B4D-42F7-A10F-7C1C22BDFFB8}" id="{0F6CA749-397F-435F-B64B-05B168328FE6}">
    <text>Dalle schede tecniche dovrebbe essere half-cut</text>
  </threadedComment>
  <threadedComment ref="C10" dT="2024-07-30T08:20:41.86" personId="{7B42C00A-7B4D-42F7-A10F-7C1C22BDFFB8}" id="{6348A0AC-DF5A-46B6-A43A-D8F5A9BDBEBE}">
    <text>Non ho trovato la scheda tecnica del modulo bifacciale quindi ho preso quella dove viene riportato il peso maggiore, e i mm del vetro da un modulo sempre dello stesso tipo bifacciale di dimensioni leggermente maggiore</text>
  </threadedComment>
  <threadedComment ref="C26" dT="2024-08-02T09:39:54.65" personId="{7B42C00A-7B4D-42F7-A10F-7C1C22BDFFB8}" id="{91110152-2961-417B-9596-583FD57C8649}">
    <text>Ricavato dalla proporzione dell'area del PERC (2.17m2) e peso della sua cornice 2.6 kg</text>
  </threadedComment>
  <threadedComment ref="B42" dT="2024-07-30T10:04:28.99" personId="{7B42C00A-7B4D-42F7-A10F-7C1C22BDFFB8}" id="{AC431E32-38B3-4DE5-BDF7-9AA5B4D38C65}">
    <text xml:space="preserve">Si ipotizza che essendo vetro/vetro la differenza lunghezza sia uguale su entrambi i lati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inkosolar.com/uploads/619f40ec/JKM550-570N-72HL4-BDV-F1-EN.pdf" TargetMode="External"/><Relationship Id="rId1" Type="http://schemas.openxmlformats.org/officeDocument/2006/relationships/hyperlink" Target="https://www.futurasun.com/wp-content/uploads/2024/01/FuturaSun_144_470W_Velvet-Pro_IT.pdf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t.enfsolar.com/pv/inverter-datasheet/142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DE26-A99A-413C-8190-374B7FD4E4ED}">
  <dimension ref="A1:L49"/>
  <sheetViews>
    <sheetView topLeftCell="A29" zoomScaleNormal="100" workbookViewId="0">
      <selection activeCell="A45" sqref="A45"/>
    </sheetView>
  </sheetViews>
  <sheetFormatPr defaultRowHeight="15" x14ac:dyDescent="0.25"/>
  <cols>
    <col min="1" max="1" width="25.5703125" customWidth="1"/>
    <col min="2" max="2" width="27" customWidth="1"/>
    <col min="3" max="3" width="17.7109375" bestFit="1" customWidth="1"/>
    <col min="4" max="4" width="25.7109375" customWidth="1"/>
    <col min="5" max="5" width="19" customWidth="1"/>
    <col min="6" max="6" width="26.28515625" customWidth="1"/>
    <col min="7" max="7" width="17.28515625" customWidth="1"/>
    <col min="8" max="8" width="18.5703125" customWidth="1"/>
    <col min="9" max="9" width="18.140625" customWidth="1"/>
    <col min="10" max="10" width="18.85546875" customWidth="1"/>
    <col min="11" max="11" width="19" customWidth="1"/>
    <col min="12" max="12" width="13.42578125" customWidth="1"/>
  </cols>
  <sheetData>
    <row r="1" spans="1:12" x14ac:dyDescent="0.25">
      <c r="A1" t="s">
        <v>0</v>
      </c>
      <c r="B1" s="57" t="s">
        <v>1</v>
      </c>
      <c r="C1" t="s">
        <v>2</v>
      </c>
    </row>
    <row r="2" spans="1:12" x14ac:dyDescent="0.25">
      <c r="B2" s="57" t="s">
        <v>3</v>
      </c>
    </row>
    <row r="3" spans="1:12" x14ac:dyDescent="0.25">
      <c r="B3" s="57" t="s">
        <v>4</v>
      </c>
      <c r="C3" t="s">
        <v>5</v>
      </c>
    </row>
    <row r="4" spans="1:12" x14ac:dyDescent="0.25">
      <c r="B4" s="57"/>
    </row>
    <row r="5" spans="1:12" x14ac:dyDescent="0.25">
      <c r="A5" s="106" t="s">
        <v>6</v>
      </c>
      <c r="B5" s="105" t="s">
        <v>7</v>
      </c>
    </row>
    <row r="6" spans="1:12" x14ac:dyDescent="0.25">
      <c r="B6" s="57"/>
    </row>
    <row r="7" spans="1:12" x14ac:dyDescent="0.25">
      <c r="B7" s="54" t="s">
        <v>8</v>
      </c>
      <c r="C7" s="13">
        <f>2/100</f>
        <v>0.02</v>
      </c>
    </row>
    <row r="8" spans="1:12" x14ac:dyDescent="0.25">
      <c r="B8" s="55" t="s">
        <v>9</v>
      </c>
      <c r="C8" s="56">
        <f>0.45/100</f>
        <v>4.5000000000000005E-3</v>
      </c>
      <c r="I8" s="12" t="s">
        <v>10</v>
      </c>
    </row>
    <row r="9" spans="1:12" x14ac:dyDescent="0.25">
      <c r="A9" s="23"/>
      <c r="B9" s="17" t="s">
        <v>11</v>
      </c>
      <c r="C9" s="18"/>
      <c r="D9" s="19" t="s">
        <v>12</v>
      </c>
      <c r="E9" s="20"/>
      <c r="F9" s="21" t="s">
        <v>13</v>
      </c>
      <c r="G9" s="22"/>
      <c r="I9" s="107" t="s">
        <v>11</v>
      </c>
      <c r="J9" s="19" t="s">
        <v>12</v>
      </c>
      <c r="K9" s="108" t="s">
        <v>13</v>
      </c>
    </row>
    <row r="10" spans="1:12" ht="27.6" customHeight="1" thickBot="1" x14ac:dyDescent="0.3">
      <c r="A10" s="24" t="s">
        <v>14</v>
      </c>
      <c r="B10" s="25" t="s">
        <v>15</v>
      </c>
      <c r="C10" s="26" t="s">
        <v>16</v>
      </c>
      <c r="D10" s="27" t="s">
        <v>15</v>
      </c>
      <c r="E10" s="28" t="s">
        <v>17</v>
      </c>
      <c r="F10" s="29" t="s">
        <v>15</v>
      </c>
      <c r="G10" s="30" t="s">
        <v>16</v>
      </c>
      <c r="H10" s="85" t="s">
        <v>18</v>
      </c>
      <c r="I10" s="112" t="s">
        <v>19</v>
      </c>
      <c r="J10" s="113" t="s">
        <v>19</v>
      </c>
      <c r="K10" s="114" t="s">
        <v>19</v>
      </c>
      <c r="L10" s="115" t="s">
        <v>16</v>
      </c>
    </row>
    <row r="11" spans="1:12" ht="27.6" customHeight="1" x14ac:dyDescent="0.25">
      <c r="A11" s="3">
        <v>0</v>
      </c>
      <c r="B11" s="9">
        <v>95.741</v>
      </c>
      <c r="C11" s="4"/>
      <c r="D11" s="1">
        <v>95.741</v>
      </c>
      <c r="E11" s="4"/>
      <c r="F11" s="1">
        <v>67.01870000000001</v>
      </c>
      <c r="G11" s="4"/>
      <c r="H11" s="3">
        <v>1</v>
      </c>
      <c r="I11" s="121">
        <v>95.741</v>
      </c>
      <c r="J11" s="123">
        <v>95.741</v>
      </c>
      <c r="K11" s="123">
        <v>67.01870000000001</v>
      </c>
      <c r="L11" s="116">
        <v>1</v>
      </c>
    </row>
    <row r="12" spans="1:12" x14ac:dyDescent="0.25">
      <c r="A12" s="3">
        <v>1</v>
      </c>
      <c r="B12" s="9">
        <f>B11*C12</f>
        <v>93.826179999999994</v>
      </c>
      <c r="C12" s="5">
        <f>1-C7</f>
        <v>0.98</v>
      </c>
      <c r="D12" s="1">
        <f>D11*E12</f>
        <v>93.826179999999994</v>
      </c>
      <c r="E12" s="5">
        <f>1-C7</f>
        <v>0.98</v>
      </c>
      <c r="F12" s="1">
        <f>F11*G12</f>
        <v>65.678326000000013</v>
      </c>
      <c r="G12" s="5">
        <f>1-C7</f>
        <v>0.98</v>
      </c>
      <c r="H12" s="9">
        <f>H11-C7</f>
        <v>0.98</v>
      </c>
      <c r="I12" s="118">
        <f>I11*$L12</f>
        <v>95.741</v>
      </c>
      <c r="J12" s="75">
        <f>J11*$L12</f>
        <v>95.741</v>
      </c>
      <c r="K12" s="75">
        <f>K11*$L12</f>
        <v>67.01870000000001</v>
      </c>
      <c r="L12" s="117">
        <v>1</v>
      </c>
    </row>
    <row r="13" spans="1:12" x14ac:dyDescent="0.25">
      <c r="A13" s="3">
        <v>2</v>
      </c>
      <c r="B13" s="9">
        <f t="shared" ref="B13:B41" si="0">B12*C13</f>
        <v>93.403962190000001</v>
      </c>
      <c r="C13" s="6">
        <f t="shared" ref="C13:C41" si="1">1-$C$8</f>
        <v>0.99550000000000005</v>
      </c>
      <c r="D13" s="1">
        <f t="shared" ref="D13:D41" si="2">D12*E13</f>
        <v>93.403962190000001</v>
      </c>
      <c r="E13" s="6">
        <f>1-$C$8</f>
        <v>0.99550000000000005</v>
      </c>
      <c r="F13" s="1">
        <f t="shared" ref="F13:F41" si="3">F12*G13</f>
        <v>65.382773533000019</v>
      </c>
      <c r="G13" s="6">
        <f>1-$C$8</f>
        <v>0.99550000000000005</v>
      </c>
      <c r="H13" s="9">
        <f>H12-C8</f>
        <v>0.97550000000000003</v>
      </c>
      <c r="I13" s="118">
        <f t="shared" ref="I13:I41" si="4">I12*$L13</f>
        <v>95.741</v>
      </c>
      <c r="J13" s="75">
        <f t="shared" ref="J13:J41" si="5">J12*$L13</f>
        <v>95.741</v>
      </c>
      <c r="K13" s="75">
        <f t="shared" ref="K13:K41" si="6">K12*$L13</f>
        <v>67.01870000000001</v>
      </c>
      <c r="L13" s="117">
        <v>1</v>
      </c>
    </row>
    <row r="14" spans="1:12" x14ac:dyDescent="0.25">
      <c r="A14" s="3">
        <v>3</v>
      </c>
      <c r="B14" s="9">
        <f t="shared" si="0"/>
        <v>92.983644360145007</v>
      </c>
      <c r="C14" s="6">
        <f t="shared" si="1"/>
        <v>0.99550000000000005</v>
      </c>
      <c r="D14" s="1">
        <f t="shared" si="2"/>
        <v>92.983644360145007</v>
      </c>
      <c r="E14" s="6">
        <f t="shared" ref="E14:G41" si="7">1-$C$8</f>
        <v>0.99550000000000005</v>
      </c>
      <c r="F14" s="1">
        <f t="shared" si="3"/>
        <v>65.088551052101522</v>
      </c>
      <c r="G14" s="6">
        <f t="shared" si="7"/>
        <v>0.99550000000000005</v>
      </c>
      <c r="H14" s="9">
        <f>H13-$C$8</f>
        <v>0.97100000000000009</v>
      </c>
      <c r="I14" s="118">
        <f t="shared" si="4"/>
        <v>95.741</v>
      </c>
      <c r="J14" s="75">
        <f t="shared" si="5"/>
        <v>95.741</v>
      </c>
      <c r="K14" s="75">
        <f t="shared" si="6"/>
        <v>67.01870000000001</v>
      </c>
      <c r="L14" s="117">
        <v>1</v>
      </c>
    </row>
    <row r="15" spans="1:12" x14ac:dyDescent="0.25">
      <c r="A15" s="3">
        <v>4</v>
      </c>
      <c r="B15" s="9">
        <f t="shared" si="0"/>
        <v>92.565217960524365</v>
      </c>
      <c r="C15" s="6">
        <f t="shared" si="1"/>
        <v>0.99550000000000005</v>
      </c>
      <c r="D15" s="1">
        <f t="shared" si="2"/>
        <v>92.565217960524365</v>
      </c>
      <c r="E15" s="6">
        <f t="shared" si="7"/>
        <v>0.99550000000000005</v>
      </c>
      <c r="F15" s="1">
        <f t="shared" si="3"/>
        <v>64.795652572367075</v>
      </c>
      <c r="G15" s="6">
        <f t="shared" si="7"/>
        <v>0.99550000000000005</v>
      </c>
      <c r="H15" s="9">
        <f t="shared" ref="H15:H41" si="8">H14-$C$8</f>
        <v>0.96650000000000014</v>
      </c>
      <c r="I15" s="118">
        <f t="shared" si="4"/>
        <v>95.741</v>
      </c>
      <c r="J15" s="75">
        <f t="shared" si="5"/>
        <v>95.741</v>
      </c>
      <c r="K15" s="75">
        <f t="shared" si="6"/>
        <v>67.01870000000001</v>
      </c>
      <c r="L15" s="117">
        <v>1</v>
      </c>
    </row>
    <row r="16" spans="1:12" x14ac:dyDescent="0.25">
      <c r="A16" s="3">
        <v>5</v>
      </c>
      <c r="B16" s="9">
        <f t="shared" si="0"/>
        <v>92.148674479702009</v>
      </c>
      <c r="C16" s="6">
        <f t="shared" si="1"/>
        <v>0.99550000000000005</v>
      </c>
      <c r="D16" s="1">
        <f t="shared" si="2"/>
        <v>92.148674479702009</v>
      </c>
      <c r="E16" s="6">
        <f t="shared" si="7"/>
        <v>0.99550000000000005</v>
      </c>
      <c r="F16" s="1">
        <f t="shared" si="3"/>
        <v>64.504072135791432</v>
      </c>
      <c r="G16" s="6">
        <f t="shared" si="7"/>
        <v>0.99550000000000005</v>
      </c>
      <c r="H16" s="9">
        <f t="shared" si="8"/>
        <v>0.96200000000000019</v>
      </c>
      <c r="I16" s="118">
        <f t="shared" si="4"/>
        <v>95.741</v>
      </c>
      <c r="J16" s="75">
        <f t="shared" si="5"/>
        <v>95.741</v>
      </c>
      <c r="K16" s="75">
        <f t="shared" si="6"/>
        <v>67.01870000000001</v>
      </c>
      <c r="L16" s="117">
        <v>1</v>
      </c>
    </row>
    <row r="17" spans="1:12" x14ac:dyDescent="0.25">
      <c r="A17" s="3">
        <v>6</v>
      </c>
      <c r="B17" s="9">
        <f t="shared" si="0"/>
        <v>91.734005444543357</v>
      </c>
      <c r="C17" s="6">
        <f t="shared" si="1"/>
        <v>0.99550000000000005</v>
      </c>
      <c r="D17" s="1">
        <f t="shared" si="2"/>
        <v>91.734005444543357</v>
      </c>
      <c r="E17" s="6">
        <f t="shared" si="7"/>
        <v>0.99550000000000005</v>
      </c>
      <c r="F17" s="1">
        <f t="shared" si="3"/>
        <v>64.21380381118037</v>
      </c>
      <c r="G17" s="6">
        <f t="shared" si="7"/>
        <v>0.99550000000000005</v>
      </c>
      <c r="H17" s="9">
        <f t="shared" si="8"/>
        <v>0.95750000000000024</v>
      </c>
      <c r="I17" s="118">
        <f t="shared" si="4"/>
        <v>95.741</v>
      </c>
      <c r="J17" s="75">
        <f t="shared" si="5"/>
        <v>95.741</v>
      </c>
      <c r="K17" s="75">
        <f t="shared" si="6"/>
        <v>67.01870000000001</v>
      </c>
      <c r="L17" s="117">
        <v>1</v>
      </c>
    </row>
    <row r="18" spans="1:12" x14ac:dyDescent="0.25">
      <c r="A18" s="3">
        <v>7</v>
      </c>
      <c r="B18" s="9">
        <f t="shared" si="0"/>
        <v>91.321202420042923</v>
      </c>
      <c r="C18" s="6">
        <f t="shared" si="1"/>
        <v>0.99550000000000005</v>
      </c>
      <c r="D18" s="1">
        <f t="shared" si="2"/>
        <v>91.321202420042923</v>
      </c>
      <c r="E18" s="6">
        <f t="shared" si="7"/>
        <v>0.99550000000000005</v>
      </c>
      <c r="F18" s="1">
        <f t="shared" si="3"/>
        <v>63.924841694030064</v>
      </c>
      <c r="G18" s="6">
        <f t="shared" si="7"/>
        <v>0.99550000000000005</v>
      </c>
      <c r="H18" s="9">
        <f t="shared" si="8"/>
        <v>0.95300000000000029</v>
      </c>
      <c r="I18" s="118">
        <f t="shared" si="4"/>
        <v>95.741</v>
      </c>
      <c r="J18" s="75">
        <f t="shared" si="5"/>
        <v>95.741</v>
      </c>
      <c r="K18" s="75">
        <f t="shared" si="6"/>
        <v>67.01870000000001</v>
      </c>
      <c r="L18" s="117">
        <v>1</v>
      </c>
    </row>
    <row r="19" spans="1:12" x14ac:dyDescent="0.25">
      <c r="A19" s="3">
        <v>8</v>
      </c>
      <c r="B19" s="9">
        <f t="shared" si="0"/>
        <v>90.91025700915273</v>
      </c>
      <c r="C19" s="6">
        <f t="shared" si="1"/>
        <v>0.99550000000000005</v>
      </c>
      <c r="D19" s="1">
        <f t="shared" si="2"/>
        <v>90.91025700915273</v>
      </c>
      <c r="E19" s="6">
        <f t="shared" si="7"/>
        <v>0.99550000000000005</v>
      </c>
      <c r="F19" s="1">
        <f t="shared" si="3"/>
        <v>63.637179906406935</v>
      </c>
      <c r="G19" s="6">
        <f t="shared" si="7"/>
        <v>0.99550000000000005</v>
      </c>
      <c r="H19" s="9">
        <f t="shared" si="8"/>
        <v>0.94850000000000034</v>
      </c>
      <c r="I19" s="118">
        <f t="shared" si="4"/>
        <v>95.741</v>
      </c>
      <c r="J19" s="75">
        <f t="shared" si="5"/>
        <v>95.741</v>
      </c>
      <c r="K19" s="75">
        <f t="shared" si="6"/>
        <v>67.01870000000001</v>
      </c>
      <c r="L19" s="117">
        <v>1</v>
      </c>
    </row>
    <row r="20" spans="1:12" x14ac:dyDescent="0.25">
      <c r="A20" s="3">
        <v>9</v>
      </c>
      <c r="B20" s="9">
        <f t="shared" si="0"/>
        <v>90.501160852611548</v>
      </c>
      <c r="C20" s="6">
        <f t="shared" si="1"/>
        <v>0.99550000000000005</v>
      </c>
      <c r="D20" s="1">
        <f t="shared" si="2"/>
        <v>90.501160852611548</v>
      </c>
      <c r="E20" s="6">
        <f t="shared" si="7"/>
        <v>0.99550000000000005</v>
      </c>
      <c r="F20" s="1">
        <f t="shared" si="3"/>
        <v>63.350812596828106</v>
      </c>
      <c r="G20" s="6">
        <f t="shared" si="7"/>
        <v>0.99550000000000005</v>
      </c>
      <c r="H20" s="9">
        <f t="shared" si="8"/>
        <v>0.94400000000000039</v>
      </c>
      <c r="I20" s="118">
        <f t="shared" si="4"/>
        <v>95.741</v>
      </c>
      <c r="J20" s="75">
        <f t="shared" si="5"/>
        <v>95.741</v>
      </c>
      <c r="K20" s="75">
        <f t="shared" si="6"/>
        <v>67.01870000000001</v>
      </c>
      <c r="L20" s="117">
        <v>1</v>
      </c>
    </row>
    <row r="21" spans="1:12" x14ac:dyDescent="0.25">
      <c r="A21" s="3">
        <v>10</v>
      </c>
      <c r="B21" s="9">
        <f t="shared" si="0"/>
        <v>90.093905628774806</v>
      </c>
      <c r="C21" s="6">
        <f t="shared" si="1"/>
        <v>0.99550000000000005</v>
      </c>
      <c r="D21" s="1">
        <f t="shared" si="2"/>
        <v>90.093905628774806</v>
      </c>
      <c r="E21" s="6">
        <f t="shared" si="7"/>
        <v>0.99550000000000005</v>
      </c>
      <c r="F21" s="1">
        <f t="shared" si="3"/>
        <v>63.06573394014238</v>
      </c>
      <c r="G21" s="6">
        <f t="shared" si="7"/>
        <v>0.99550000000000005</v>
      </c>
      <c r="H21" s="9">
        <f t="shared" si="8"/>
        <v>0.93950000000000045</v>
      </c>
      <c r="I21" s="118">
        <f t="shared" si="4"/>
        <v>95.741</v>
      </c>
      <c r="J21" s="75">
        <f t="shared" si="5"/>
        <v>95.741</v>
      </c>
      <c r="K21" s="75">
        <f t="shared" si="6"/>
        <v>67.01870000000001</v>
      </c>
      <c r="L21" s="117">
        <v>1</v>
      </c>
    </row>
    <row r="22" spans="1:12" x14ac:dyDescent="0.25">
      <c r="A22" s="3">
        <v>11</v>
      </c>
      <c r="B22" s="9">
        <f t="shared" si="0"/>
        <v>89.688483053445324</v>
      </c>
      <c r="C22" s="6">
        <f t="shared" si="1"/>
        <v>0.99550000000000005</v>
      </c>
      <c r="D22" s="1">
        <f t="shared" si="2"/>
        <v>89.688483053445324</v>
      </c>
      <c r="E22" s="6">
        <f t="shared" si="7"/>
        <v>0.99550000000000005</v>
      </c>
      <c r="F22" s="1">
        <f t="shared" si="3"/>
        <v>62.781938137411743</v>
      </c>
      <c r="G22" s="6">
        <f t="shared" si="7"/>
        <v>0.99550000000000005</v>
      </c>
      <c r="H22" s="9">
        <f t="shared" si="8"/>
        <v>0.9350000000000005</v>
      </c>
      <c r="I22" s="118">
        <f t="shared" si="4"/>
        <v>95.741</v>
      </c>
      <c r="J22" s="75">
        <f t="shared" si="5"/>
        <v>95.741</v>
      </c>
      <c r="K22" s="75">
        <f t="shared" si="6"/>
        <v>67.01870000000001</v>
      </c>
      <c r="L22" s="117">
        <v>1</v>
      </c>
    </row>
    <row r="23" spans="1:12" x14ac:dyDescent="0.25">
      <c r="A23" s="3">
        <v>12</v>
      </c>
      <c r="B23" s="9">
        <f t="shared" si="0"/>
        <v>89.284884879704819</v>
      </c>
      <c r="C23" s="6">
        <f t="shared" si="1"/>
        <v>0.99550000000000005</v>
      </c>
      <c r="D23" s="1">
        <f t="shared" si="2"/>
        <v>89.284884879704819</v>
      </c>
      <c r="E23" s="6">
        <f t="shared" si="7"/>
        <v>0.99550000000000005</v>
      </c>
      <c r="F23" s="1">
        <f t="shared" si="3"/>
        <v>62.49941941579339</v>
      </c>
      <c r="G23" s="6">
        <f t="shared" si="7"/>
        <v>0.99550000000000005</v>
      </c>
      <c r="H23" s="9">
        <f t="shared" si="8"/>
        <v>0.93050000000000055</v>
      </c>
      <c r="I23" s="118">
        <f t="shared" si="4"/>
        <v>95.741</v>
      </c>
      <c r="J23" s="75">
        <f t="shared" si="5"/>
        <v>95.741</v>
      </c>
      <c r="K23" s="75">
        <f t="shared" si="6"/>
        <v>67.01870000000001</v>
      </c>
      <c r="L23" s="117">
        <v>1</v>
      </c>
    </row>
    <row r="24" spans="1:12" x14ac:dyDescent="0.25">
      <c r="A24" s="3">
        <v>13</v>
      </c>
      <c r="B24" s="9">
        <f t="shared" si="0"/>
        <v>88.883102897746156</v>
      </c>
      <c r="C24" s="6">
        <f t="shared" si="1"/>
        <v>0.99550000000000005</v>
      </c>
      <c r="D24" s="1">
        <f t="shared" si="2"/>
        <v>88.883102897746156</v>
      </c>
      <c r="E24" s="6">
        <f t="shared" si="7"/>
        <v>0.99550000000000005</v>
      </c>
      <c r="F24" s="1">
        <f t="shared" si="3"/>
        <v>62.218172028422323</v>
      </c>
      <c r="G24" s="6">
        <f t="shared" si="7"/>
        <v>0.99550000000000005</v>
      </c>
      <c r="H24" s="9">
        <f t="shared" si="8"/>
        <v>0.9260000000000006</v>
      </c>
      <c r="I24" s="118">
        <f t="shared" si="4"/>
        <v>95.741</v>
      </c>
      <c r="J24" s="75">
        <f t="shared" si="5"/>
        <v>95.741</v>
      </c>
      <c r="K24" s="75">
        <f t="shared" si="6"/>
        <v>67.01870000000001</v>
      </c>
      <c r="L24" s="117">
        <v>1</v>
      </c>
    </row>
    <row r="25" spans="1:12" x14ac:dyDescent="0.25">
      <c r="A25" s="3">
        <v>14</v>
      </c>
      <c r="B25" s="9">
        <f t="shared" si="0"/>
        <v>88.483128934706301</v>
      </c>
      <c r="C25" s="6">
        <f t="shared" si="1"/>
        <v>0.99550000000000005</v>
      </c>
      <c r="D25" s="1">
        <f t="shared" si="2"/>
        <v>88.483128934706301</v>
      </c>
      <c r="E25" s="6">
        <f t="shared" si="7"/>
        <v>0.99550000000000005</v>
      </c>
      <c r="F25" s="1">
        <f t="shared" si="3"/>
        <v>61.938190254294426</v>
      </c>
      <c r="G25" s="6">
        <f t="shared" si="7"/>
        <v>0.99550000000000005</v>
      </c>
      <c r="H25" s="9">
        <f t="shared" si="8"/>
        <v>0.92150000000000065</v>
      </c>
      <c r="I25" s="118">
        <f t="shared" si="4"/>
        <v>95.741</v>
      </c>
      <c r="J25" s="75">
        <f t="shared" si="5"/>
        <v>95.741</v>
      </c>
      <c r="K25" s="75">
        <f t="shared" si="6"/>
        <v>67.01870000000001</v>
      </c>
      <c r="L25" s="117">
        <v>1</v>
      </c>
    </row>
    <row r="26" spans="1:12" x14ac:dyDescent="0.25">
      <c r="A26" s="3">
        <v>15</v>
      </c>
      <c r="B26" s="9">
        <f t="shared" si="0"/>
        <v>88.084954854500126</v>
      </c>
      <c r="C26" s="6">
        <f t="shared" si="1"/>
        <v>0.99550000000000005</v>
      </c>
      <c r="D26" s="1">
        <f t="shared" si="2"/>
        <v>88.084954854500126</v>
      </c>
      <c r="E26" s="6">
        <f t="shared" si="7"/>
        <v>0.99550000000000005</v>
      </c>
      <c r="F26" s="1">
        <f t="shared" si="3"/>
        <v>61.659468398150103</v>
      </c>
      <c r="G26" s="6">
        <f t="shared" si="7"/>
        <v>0.99550000000000005</v>
      </c>
      <c r="H26" s="9">
        <f t="shared" si="8"/>
        <v>0.9170000000000007</v>
      </c>
      <c r="I26" s="118">
        <f t="shared" si="4"/>
        <v>95.741</v>
      </c>
      <c r="J26" s="75">
        <f t="shared" si="5"/>
        <v>95.741</v>
      </c>
      <c r="K26" s="75">
        <f t="shared" si="6"/>
        <v>67.01870000000001</v>
      </c>
      <c r="L26" s="117">
        <v>1</v>
      </c>
    </row>
    <row r="27" spans="1:12" x14ac:dyDescent="0.25">
      <c r="A27" s="3">
        <v>16</v>
      </c>
      <c r="B27" s="9">
        <f t="shared" si="0"/>
        <v>87.688572557654879</v>
      </c>
      <c r="C27" s="6">
        <f t="shared" si="1"/>
        <v>0.99550000000000005</v>
      </c>
      <c r="D27" s="1">
        <f t="shared" si="2"/>
        <v>87.688572557654879</v>
      </c>
      <c r="E27" s="6">
        <f t="shared" si="7"/>
        <v>0.99550000000000005</v>
      </c>
      <c r="F27" s="1">
        <f t="shared" si="3"/>
        <v>61.382000790358433</v>
      </c>
      <c r="G27" s="6">
        <f t="shared" si="7"/>
        <v>0.99550000000000005</v>
      </c>
      <c r="H27" s="9">
        <f t="shared" si="8"/>
        <v>0.91250000000000075</v>
      </c>
      <c r="I27" s="118">
        <f t="shared" si="4"/>
        <v>95.741</v>
      </c>
      <c r="J27" s="75">
        <f t="shared" si="5"/>
        <v>95.741</v>
      </c>
      <c r="K27" s="75">
        <f t="shared" si="6"/>
        <v>67.01870000000001</v>
      </c>
      <c r="L27" s="117">
        <v>1</v>
      </c>
    </row>
    <row r="28" spans="1:12" x14ac:dyDescent="0.25">
      <c r="A28" s="3">
        <v>17</v>
      </c>
      <c r="B28" s="9">
        <f t="shared" si="0"/>
        <v>87.293973981145442</v>
      </c>
      <c r="C28" s="6">
        <f t="shared" si="1"/>
        <v>0.99550000000000005</v>
      </c>
      <c r="D28" s="1">
        <f t="shared" si="2"/>
        <v>87.293973981145442</v>
      </c>
      <c r="E28" s="6">
        <f t="shared" si="7"/>
        <v>0.99550000000000005</v>
      </c>
      <c r="F28" s="1">
        <f t="shared" si="3"/>
        <v>61.10578178680182</v>
      </c>
      <c r="G28" s="6">
        <f t="shared" si="7"/>
        <v>0.99550000000000005</v>
      </c>
      <c r="H28" s="9">
        <f t="shared" si="8"/>
        <v>0.90800000000000081</v>
      </c>
      <c r="I28" s="118">
        <f t="shared" si="4"/>
        <v>95.741</v>
      </c>
      <c r="J28" s="75">
        <f t="shared" si="5"/>
        <v>95.741</v>
      </c>
      <c r="K28" s="75">
        <f t="shared" si="6"/>
        <v>67.01870000000001</v>
      </c>
      <c r="L28" s="117">
        <v>1</v>
      </c>
    </row>
    <row r="29" spans="1:12" x14ac:dyDescent="0.25">
      <c r="A29" s="3">
        <v>18</v>
      </c>
      <c r="B29" s="9">
        <f t="shared" si="0"/>
        <v>86.901151098230287</v>
      </c>
      <c r="C29" s="6">
        <f t="shared" si="1"/>
        <v>0.99550000000000005</v>
      </c>
      <c r="D29" s="1">
        <f t="shared" si="2"/>
        <v>86.901151098230287</v>
      </c>
      <c r="E29" s="6">
        <f t="shared" si="7"/>
        <v>0.99550000000000005</v>
      </c>
      <c r="F29" s="1">
        <f t="shared" si="3"/>
        <v>60.830805768761216</v>
      </c>
      <c r="G29" s="6">
        <f t="shared" si="7"/>
        <v>0.99550000000000005</v>
      </c>
      <c r="H29" s="9">
        <f t="shared" si="8"/>
        <v>0.90350000000000086</v>
      </c>
      <c r="I29" s="118">
        <f t="shared" si="4"/>
        <v>95.741</v>
      </c>
      <c r="J29" s="75">
        <f t="shared" si="5"/>
        <v>95.741</v>
      </c>
      <c r="K29" s="75">
        <f t="shared" si="6"/>
        <v>67.01870000000001</v>
      </c>
      <c r="L29" s="117">
        <v>1</v>
      </c>
    </row>
    <row r="30" spans="1:12" x14ac:dyDescent="0.25">
      <c r="A30" s="3">
        <v>19</v>
      </c>
      <c r="B30" s="9">
        <f t="shared" si="0"/>
        <v>86.510095918288258</v>
      </c>
      <c r="C30" s="6">
        <f t="shared" si="1"/>
        <v>0.99550000000000005</v>
      </c>
      <c r="D30" s="1">
        <f t="shared" si="2"/>
        <v>86.510095918288258</v>
      </c>
      <c r="E30" s="6">
        <f t="shared" si="7"/>
        <v>0.99550000000000005</v>
      </c>
      <c r="F30" s="1">
        <f t="shared" si="3"/>
        <v>60.557067142801792</v>
      </c>
      <c r="G30" s="6">
        <f t="shared" si="7"/>
        <v>0.99550000000000005</v>
      </c>
      <c r="H30" s="9">
        <f t="shared" si="8"/>
        <v>0.89900000000000091</v>
      </c>
      <c r="I30" s="118">
        <f t="shared" si="4"/>
        <v>95.741</v>
      </c>
      <c r="J30" s="75">
        <f t="shared" si="5"/>
        <v>95.741</v>
      </c>
      <c r="K30" s="75">
        <f t="shared" si="6"/>
        <v>67.01870000000001</v>
      </c>
      <c r="L30" s="117">
        <v>1</v>
      </c>
    </row>
    <row r="31" spans="1:12" x14ac:dyDescent="0.25">
      <c r="A31" s="3">
        <v>20</v>
      </c>
      <c r="B31" s="9">
        <f t="shared" si="0"/>
        <v>86.120800486655966</v>
      </c>
      <c r="C31" s="6">
        <f t="shared" si="1"/>
        <v>0.99550000000000005</v>
      </c>
      <c r="D31" s="1">
        <f t="shared" si="2"/>
        <v>86.120800486655966</v>
      </c>
      <c r="E31" s="6">
        <f t="shared" si="7"/>
        <v>0.99550000000000005</v>
      </c>
      <c r="F31" s="1">
        <f t="shared" si="3"/>
        <v>60.284560340659183</v>
      </c>
      <c r="G31" s="6">
        <f t="shared" si="7"/>
        <v>0.99550000000000005</v>
      </c>
      <c r="H31" s="9">
        <f t="shared" si="8"/>
        <v>0.89450000000000096</v>
      </c>
      <c r="I31" s="118">
        <f t="shared" si="4"/>
        <v>95.741</v>
      </c>
      <c r="J31" s="75">
        <f t="shared" si="5"/>
        <v>95.741</v>
      </c>
      <c r="K31" s="75">
        <f t="shared" si="6"/>
        <v>67.01870000000001</v>
      </c>
      <c r="L31" s="117">
        <v>1</v>
      </c>
    </row>
    <row r="32" spans="1:12" x14ac:dyDescent="0.25">
      <c r="A32" s="3">
        <v>21</v>
      </c>
      <c r="B32" s="9">
        <f t="shared" si="0"/>
        <v>85.733256884466016</v>
      </c>
      <c r="C32" s="6">
        <f t="shared" si="1"/>
        <v>0.99550000000000005</v>
      </c>
      <c r="D32" s="1">
        <f t="shared" si="2"/>
        <v>85.733256884466016</v>
      </c>
      <c r="E32" s="6">
        <f t="shared" si="7"/>
        <v>0.99550000000000005</v>
      </c>
      <c r="F32" s="1">
        <f t="shared" si="3"/>
        <v>60.013279819126218</v>
      </c>
      <c r="G32" s="6">
        <f t="shared" si="7"/>
        <v>0.99550000000000005</v>
      </c>
      <c r="H32" s="9">
        <f t="shared" si="8"/>
        <v>0.89000000000000101</v>
      </c>
      <c r="I32" s="118">
        <f t="shared" si="4"/>
        <v>91.911360000000002</v>
      </c>
      <c r="J32" s="75">
        <f t="shared" si="5"/>
        <v>91.911360000000002</v>
      </c>
      <c r="K32" s="75">
        <f t="shared" si="6"/>
        <v>64.337952000000001</v>
      </c>
      <c r="L32" s="117">
        <v>0.96</v>
      </c>
    </row>
    <row r="33" spans="1:12" x14ac:dyDescent="0.25">
      <c r="A33" s="3">
        <v>22</v>
      </c>
      <c r="B33" s="9">
        <f t="shared" si="0"/>
        <v>85.347457228485922</v>
      </c>
      <c r="C33" s="6">
        <f t="shared" si="1"/>
        <v>0.99550000000000005</v>
      </c>
      <c r="D33" s="1">
        <f t="shared" si="2"/>
        <v>85.347457228485922</v>
      </c>
      <c r="E33" s="6">
        <f t="shared" si="7"/>
        <v>0.99550000000000005</v>
      </c>
      <c r="F33" s="1">
        <f t="shared" si="3"/>
        <v>59.743220059940157</v>
      </c>
      <c r="G33" s="6">
        <f t="shared" si="7"/>
        <v>0.99550000000000005</v>
      </c>
      <c r="H33" s="9">
        <f t="shared" si="8"/>
        <v>0.88550000000000106</v>
      </c>
      <c r="I33" s="118">
        <f t="shared" si="4"/>
        <v>88.234905600000005</v>
      </c>
      <c r="J33" s="75">
        <f t="shared" si="5"/>
        <v>88.234905600000005</v>
      </c>
      <c r="K33" s="75">
        <f t="shared" si="6"/>
        <v>61.764433920000002</v>
      </c>
      <c r="L33" s="117">
        <v>0.96</v>
      </c>
    </row>
    <row r="34" spans="1:12" x14ac:dyDescent="0.25">
      <c r="A34" s="3">
        <v>23</v>
      </c>
      <c r="B34" s="9">
        <f t="shared" si="0"/>
        <v>84.963393670957743</v>
      </c>
      <c r="C34" s="6">
        <f t="shared" si="1"/>
        <v>0.99550000000000005</v>
      </c>
      <c r="D34" s="1">
        <f t="shared" si="2"/>
        <v>84.963393670957743</v>
      </c>
      <c r="E34" s="6">
        <f t="shared" si="7"/>
        <v>0.99550000000000005</v>
      </c>
      <c r="F34" s="1">
        <f t="shared" si="3"/>
        <v>59.474375569670428</v>
      </c>
      <c r="G34" s="6">
        <f t="shared" si="7"/>
        <v>0.99550000000000005</v>
      </c>
      <c r="H34" s="9">
        <f t="shared" si="8"/>
        <v>0.88100000000000112</v>
      </c>
      <c r="I34" s="118">
        <f t="shared" si="4"/>
        <v>84.705509375999995</v>
      </c>
      <c r="J34" s="75">
        <f t="shared" si="5"/>
        <v>84.705509375999995</v>
      </c>
      <c r="K34" s="75">
        <f t="shared" si="6"/>
        <v>59.293856563200002</v>
      </c>
      <c r="L34" s="117">
        <v>0.96</v>
      </c>
    </row>
    <row r="35" spans="1:12" x14ac:dyDescent="0.25">
      <c r="A35" s="3">
        <v>24</v>
      </c>
      <c r="B35" s="9">
        <f t="shared" si="0"/>
        <v>84.581058399438433</v>
      </c>
      <c r="C35" s="6">
        <f t="shared" si="1"/>
        <v>0.99550000000000005</v>
      </c>
      <c r="D35" s="1">
        <f t="shared" si="2"/>
        <v>84.581058399438433</v>
      </c>
      <c r="E35" s="6">
        <f t="shared" si="7"/>
        <v>0.99550000000000005</v>
      </c>
      <c r="F35" s="1">
        <f t="shared" si="3"/>
        <v>59.206740879606912</v>
      </c>
      <c r="G35" s="6">
        <f t="shared" si="7"/>
        <v>0.99550000000000005</v>
      </c>
      <c r="H35" s="9">
        <f t="shared" si="8"/>
        <v>0.87650000000000117</v>
      </c>
      <c r="I35" s="118">
        <f t="shared" si="4"/>
        <v>81.317289000959988</v>
      </c>
      <c r="J35" s="75">
        <f t="shared" si="5"/>
        <v>81.317289000959988</v>
      </c>
      <c r="K35" s="75">
        <f t="shared" si="6"/>
        <v>56.922102300672002</v>
      </c>
      <c r="L35" s="117">
        <v>0.96</v>
      </c>
    </row>
    <row r="36" spans="1:12" x14ac:dyDescent="0.25">
      <c r="A36" s="3">
        <v>25</v>
      </c>
      <c r="B36" s="9">
        <f t="shared" si="0"/>
        <v>84.200443636640969</v>
      </c>
      <c r="C36" s="6">
        <f t="shared" si="1"/>
        <v>0.99550000000000005</v>
      </c>
      <c r="D36" s="1">
        <f t="shared" si="2"/>
        <v>84.200443636640969</v>
      </c>
      <c r="E36" s="6">
        <f t="shared" si="7"/>
        <v>0.99550000000000005</v>
      </c>
      <c r="F36" s="1">
        <f t="shared" si="3"/>
        <v>58.940310545648686</v>
      </c>
      <c r="G36" s="6">
        <f t="shared" si="7"/>
        <v>0.99550000000000005</v>
      </c>
      <c r="H36" s="9">
        <f t="shared" si="8"/>
        <v>0.87200000000000122</v>
      </c>
      <c r="I36" s="118">
        <f t="shared" si="4"/>
        <v>78.064597440921588</v>
      </c>
      <c r="J36" s="75">
        <f t="shared" si="5"/>
        <v>78.064597440921588</v>
      </c>
      <c r="K36" s="75">
        <f t="shared" si="6"/>
        <v>54.645218208645119</v>
      </c>
      <c r="L36" s="117">
        <v>0.96</v>
      </c>
    </row>
    <row r="37" spans="1:12" x14ac:dyDescent="0.25">
      <c r="A37" s="3">
        <v>26</v>
      </c>
      <c r="B37" s="9">
        <f t="shared" si="0"/>
        <v>83.821541640276095</v>
      </c>
      <c r="C37" s="6">
        <f t="shared" si="1"/>
        <v>0.99550000000000005</v>
      </c>
      <c r="D37" s="1">
        <f t="shared" si="2"/>
        <v>83.821541640276095</v>
      </c>
      <c r="E37" s="6">
        <f t="shared" si="7"/>
        <v>0.99550000000000005</v>
      </c>
      <c r="F37" s="1">
        <f t="shared" si="3"/>
        <v>58.675079148193269</v>
      </c>
      <c r="G37" s="6">
        <f t="shared" si="7"/>
        <v>0.99550000000000005</v>
      </c>
      <c r="H37" s="9">
        <f t="shared" si="8"/>
        <v>0.86750000000000127</v>
      </c>
      <c r="I37" s="118">
        <f t="shared" si="4"/>
        <v>74.942013543284716</v>
      </c>
      <c r="J37" s="75">
        <f t="shared" si="5"/>
        <v>74.942013543284716</v>
      </c>
      <c r="K37" s="75">
        <f t="shared" si="6"/>
        <v>52.459409480299314</v>
      </c>
      <c r="L37" s="117">
        <v>0.96</v>
      </c>
    </row>
    <row r="38" spans="1:12" x14ac:dyDescent="0.25">
      <c r="A38" s="3">
        <v>27</v>
      </c>
      <c r="B38" s="9">
        <f t="shared" si="0"/>
        <v>83.444344702894853</v>
      </c>
      <c r="C38" s="6">
        <f t="shared" si="1"/>
        <v>0.99550000000000005</v>
      </c>
      <c r="D38" s="1">
        <f t="shared" si="2"/>
        <v>83.444344702894853</v>
      </c>
      <c r="E38" s="6">
        <f t="shared" si="7"/>
        <v>0.99550000000000005</v>
      </c>
      <c r="F38" s="1">
        <f t="shared" si="3"/>
        <v>58.411041292026404</v>
      </c>
      <c r="G38" s="6">
        <f t="shared" si="7"/>
        <v>0.99550000000000005</v>
      </c>
      <c r="H38" s="9">
        <f t="shared" si="8"/>
        <v>0.86300000000000132</v>
      </c>
      <c r="I38" s="118">
        <f t="shared" si="4"/>
        <v>71.944333001553318</v>
      </c>
      <c r="J38" s="75">
        <f t="shared" si="5"/>
        <v>71.944333001553318</v>
      </c>
      <c r="K38" s="75">
        <f t="shared" si="6"/>
        <v>50.361033101087337</v>
      </c>
      <c r="L38" s="117">
        <v>0.96</v>
      </c>
    </row>
    <row r="39" spans="1:12" x14ac:dyDescent="0.25">
      <c r="A39" s="3">
        <v>28</v>
      </c>
      <c r="B39" s="9">
        <f t="shared" si="0"/>
        <v>83.068845151731836</v>
      </c>
      <c r="C39" s="6">
        <f t="shared" si="1"/>
        <v>0.99550000000000005</v>
      </c>
      <c r="D39" s="1">
        <f t="shared" si="2"/>
        <v>83.068845151731836</v>
      </c>
      <c r="E39" s="6">
        <f t="shared" si="7"/>
        <v>0.99550000000000005</v>
      </c>
      <c r="F39" s="1">
        <f t="shared" si="3"/>
        <v>58.148191606212286</v>
      </c>
      <c r="G39" s="6">
        <f t="shared" si="7"/>
        <v>0.99550000000000005</v>
      </c>
      <c r="H39" s="9">
        <f t="shared" si="8"/>
        <v>0.85850000000000137</v>
      </c>
      <c r="I39" s="118">
        <f t="shared" si="4"/>
        <v>69.066559681491185</v>
      </c>
      <c r="J39" s="75">
        <f t="shared" si="5"/>
        <v>69.066559681491185</v>
      </c>
      <c r="K39" s="75">
        <f t="shared" si="6"/>
        <v>48.346591777043841</v>
      </c>
      <c r="L39" s="117">
        <v>0.96</v>
      </c>
    </row>
    <row r="40" spans="1:12" x14ac:dyDescent="0.25">
      <c r="A40" s="3">
        <v>29</v>
      </c>
      <c r="B40" s="9">
        <f t="shared" si="0"/>
        <v>82.695035348549041</v>
      </c>
      <c r="C40" s="6">
        <f t="shared" si="1"/>
        <v>0.99550000000000005</v>
      </c>
      <c r="D40" s="1">
        <f t="shared" si="2"/>
        <v>82.695035348549041</v>
      </c>
      <c r="E40" s="6">
        <f t="shared" si="7"/>
        <v>0.99550000000000005</v>
      </c>
      <c r="F40" s="1">
        <f t="shared" si="3"/>
        <v>57.886524743984332</v>
      </c>
      <c r="G40" s="6">
        <f t="shared" si="7"/>
        <v>0.99550000000000005</v>
      </c>
      <c r="H40" s="9">
        <f t="shared" si="8"/>
        <v>0.85400000000000142</v>
      </c>
      <c r="I40" s="118">
        <f t="shared" si="4"/>
        <v>66.303897294231533</v>
      </c>
      <c r="J40" s="75">
        <f t="shared" si="5"/>
        <v>66.303897294231533</v>
      </c>
      <c r="K40" s="75">
        <f t="shared" si="6"/>
        <v>46.412728105962088</v>
      </c>
      <c r="L40" s="117">
        <v>0.96</v>
      </c>
    </row>
    <row r="41" spans="1:12" ht="15.75" thickBot="1" x14ac:dyDescent="0.3">
      <c r="A41" s="2">
        <v>30</v>
      </c>
      <c r="B41" s="10">
        <f t="shared" si="0"/>
        <v>82.322907689480573</v>
      </c>
      <c r="C41" s="8">
        <f t="shared" si="1"/>
        <v>0.99550000000000005</v>
      </c>
      <c r="D41" s="7">
        <f t="shared" si="2"/>
        <v>82.322907689480573</v>
      </c>
      <c r="E41" s="8">
        <f t="shared" si="7"/>
        <v>0.99550000000000005</v>
      </c>
      <c r="F41" s="7">
        <f t="shared" si="3"/>
        <v>57.626035382636402</v>
      </c>
      <c r="G41" s="8">
        <f t="shared" si="7"/>
        <v>0.99550000000000005</v>
      </c>
      <c r="H41" s="10">
        <f t="shared" si="8"/>
        <v>0.84950000000000148</v>
      </c>
      <c r="I41" s="118">
        <f t="shared" si="4"/>
        <v>63.651741402462271</v>
      </c>
      <c r="J41" s="124">
        <f t="shared" si="5"/>
        <v>63.651741402462271</v>
      </c>
      <c r="K41" s="124">
        <f t="shared" si="6"/>
        <v>44.556218981723603</v>
      </c>
      <c r="L41" s="117">
        <v>0.96</v>
      </c>
    </row>
    <row r="42" spans="1:12" ht="15.75" thickBot="1" x14ac:dyDescent="0.3">
      <c r="A42" s="43" t="s">
        <v>20</v>
      </c>
      <c r="B42" s="31">
        <f>SUM(B11:B41)</f>
        <v>2734.3466433604954</v>
      </c>
      <c r="C42" s="32"/>
      <c r="D42" s="35">
        <f>SUM(D11:D41)</f>
        <v>2734.3466433604954</v>
      </c>
      <c r="E42" s="36"/>
      <c r="F42" s="39">
        <f>SUM(F11:F41)</f>
        <v>1914.0426503523474</v>
      </c>
      <c r="G42" s="40"/>
      <c r="H42" s="111"/>
      <c r="I42" s="119">
        <f ca="1">SUM(I11:I46)</f>
        <v>2967.971</v>
      </c>
      <c r="J42" s="122">
        <f ca="1">SUM(J11:J46)</f>
        <v>2967.971</v>
      </c>
      <c r="K42" s="125">
        <f ca="1">SUM(K11:K46)</f>
        <v>2077.5797000000011</v>
      </c>
      <c r="L42" s="120"/>
    </row>
    <row r="43" spans="1:12" x14ac:dyDescent="0.25">
      <c r="A43" s="44" t="s">
        <v>21</v>
      </c>
      <c r="B43" s="33">
        <f>B42*1000*1000</f>
        <v>2734346643.3604956</v>
      </c>
      <c r="C43" s="34"/>
      <c r="D43" s="37">
        <f>D42*1000*1000</f>
        <v>2734346643.3604956</v>
      </c>
      <c r="E43" s="38"/>
      <c r="F43" s="41">
        <f>F42*1000*1000</f>
        <v>1914042650.3523474</v>
      </c>
      <c r="G43" s="42"/>
      <c r="I43" s="1"/>
      <c r="J43" s="1"/>
      <c r="K43" s="1"/>
      <c r="L43" s="1"/>
    </row>
    <row r="44" spans="1:12" x14ac:dyDescent="0.25">
      <c r="B44" t="s">
        <v>22</v>
      </c>
      <c r="I44" s="1"/>
      <c r="J44" s="1"/>
      <c r="K44" s="1"/>
      <c r="L44" s="1"/>
    </row>
    <row r="45" spans="1:12" x14ac:dyDescent="0.25">
      <c r="B45" s="14" t="s">
        <v>23</v>
      </c>
      <c r="C45" s="15" t="s">
        <v>24</v>
      </c>
      <c r="D45" s="16" t="s">
        <v>23</v>
      </c>
      <c r="E45" s="16" t="s">
        <v>24</v>
      </c>
      <c r="F45" s="14" t="s">
        <v>23</v>
      </c>
      <c r="G45" s="15" t="s">
        <v>24</v>
      </c>
      <c r="I45" s="1"/>
      <c r="J45" s="1"/>
      <c r="K45" s="1"/>
      <c r="L45" s="1"/>
    </row>
    <row r="46" spans="1:12" x14ac:dyDescent="0.25">
      <c r="A46" s="52" t="s">
        <v>25</v>
      </c>
      <c r="B46" s="48">
        <v>98293</v>
      </c>
      <c r="C46" s="49">
        <f>B46*A49/1000000</f>
        <v>56.027009999999997</v>
      </c>
      <c r="D46" s="50">
        <v>98293</v>
      </c>
      <c r="E46" s="51">
        <f>D46*A49/1000000</f>
        <v>56.027009999999997</v>
      </c>
      <c r="F46" s="48">
        <v>68796</v>
      </c>
      <c r="G46" s="49">
        <f>F46*A49/1000000</f>
        <v>39.213720000000002</v>
      </c>
      <c r="I46" s="1"/>
      <c r="J46" s="1"/>
      <c r="K46" s="1"/>
      <c r="L46" s="1"/>
    </row>
    <row r="48" spans="1:12" x14ac:dyDescent="0.25">
      <c r="A48" s="53" t="s">
        <v>26</v>
      </c>
    </row>
    <row r="49" spans="1:1" x14ac:dyDescent="0.25">
      <c r="A49" s="47">
        <v>570</v>
      </c>
    </row>
  </sheetData>
  <hyperlinks>
    <hyperlink ref="B1" r:id="rId1" xr:uid="{D0509F98-A82A-46D2-AE57-DCCD2536C211}"/>
    <hyperlink ref="B2" r:id="rId2" display="www.jinkosolar.com/uploads/619f40ec/JKM550-570N-72HL4-BDV-F1-EN.pdf" xr:uid="{338E0001-BBE1-4EFF-8738-5C4E60C8BA0A}"/>
  </hyperlinks>
  <pageMargins left="0.7" right="0.7" top="0.75" bottom="0.75" header="0.3" footer="0.3"/>
  <pageSetup paperSize="9" orientation="portrait" r:id="rId3"/>
  <ignoredErrors>
    <ignoredError sqref="C12:C41 E12:E41 D13:D39 F13:F41" formula="1"/>
  </ignoredErrors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DDFD-0717-4F10-A715-3BDBE113EA7B}">
  <dimension ref="A2:K46"/>
  <sheetViews>
    <sheetView topLeftCell="A45" zoomScaleNormal="100" workbookViewId="0">
      <selection activeCell="A46" sqref="A46"/>
    </sheetView>
  </sheetViews>
  <sheetFormatPr defaultRowHeight="15" x14ac:dyDescent="0.25"/>
  <cols>
    <col min="1" max="1" width="96.7109375" bestFit="1" customWidth="1"/>
    <col min="2" max="2" width="28.28515625" customWidth="1"/>
    <col min="3" max="3" width="12.85546875" customWidth="1"/>
    <col min="4" max="4" width="15.85546875" customWidth="1"/>
    <col min="5" max="5" width="13.28515625" bestFit="1" customWidth="1"/>
    <col min="7" max="7" width="26.42578125" customWidth="1"/>
    <col min="8" max="8" width="13.28515625" bestFit="1" customWidth="1"/>
  </cols>
  <sheetData>
    <row r="2" spans="1:11" x14ac:dyDescent="0.25">
      <c r="A2" s="58" t="s">
        <v>27</v>
      </c>
      <c r="B2" s="58">
        <v>98280</v>
      </c>
      <c r="C2" s="58"/>
      <c r="D2" s="58"/>
      <c r="E2" s="58">
        <v>98280</v>
      </c>
      <c r="F2" s="58"/>
      <c r="G2" s="58"/>
      <c r="H2" s="58">
        <v>68796</v>
      </c>
    </row>
    <row r="4" spans="1:11" x14ac:dyDescent="0.25">
      <c r="A4" s="11" t="s">
        <v>28</v>
      </c>
      <c r="D4" s="11" t="s">
        <v>29</v>
      </c>
      <c r="G4" s="11" t="s">
        <v>30</v>
      </c>
      <c r="K4" t="s">
        <v>31</v>
      </c>
    </row>
    <row r="5" spans="1:11" x14ac:dyDescent="0.25">
      <c r="A5" s="60" t="s">
        <v>32</v>
      </c>
      <c r="D5" s="60" t="s">
        <v>32</v>
      </c>
      <c r="G5" s="60" t="s">
        <v>32</v>
      </c>
      <c r="K5" t="s">
        <v>33</v>
      </c>
    </row>
    <row r="6" spans="1:11" x14ac:dyDescent="0.25">
      <c r="A6" s="58" t="s">
        <v>34</v>
      </c>
      <c r="B6" s="58">
        <v>14.74</v>
      </c>
      <c r="D6" s="58" t="s">
        <v>34</v>
      </c>
      <c r="E6" s="58">
        <v>14.74</v>
      </c>
      <c r="G6" s="58" t="s">
        <v>34</v>
      </c>
      <c r="H6" s="58">
        <v>14.74</v>
      </c>
      <c r="K6" t="s">
        <v>35</v>
      </c>
    </row>
    <row r="7" spans="1:11" x14ac:dyDescent="0.25">
      <c r="A7" s="58" t="s">
        <v>36</v>
      </c>
      <c r="B7" s="58">
        <v>4.82</v>
      </c>
      <c r="D7" s="58" t="s">
        <v>36</v>
      </c>
      <c r="E7" s="58">
        <v>4.82</v>
      </c>
      <c r="G7" s="58" t="s">
        <v>36</v>
      </c>
      <c r="H7" s="58">
        <v>4.82</v>
      </c>
      <c r="K7" t="s">
        <v>37</v>
      </c>
    </row>
    <row r="8" spans="1:11" ht="17.25" x14ac:dyDescent="0.25">
      <c r="A8" s="58" t="s">
        <v>38</v>
      </c>
      <c r="B8" s="59">
        <f>B6*B7</f>
        <v>71.046800000000005</v>
      </c>
      <c r="D8" s="58" t="s">
        <v>38</v>
      </c>
      <c r="E8" s="59">
        <f>E6*E7</f>
        <v>71.046800000000005</v>
      </c>
      <c r="G8" s="58" t="s">
        <v>38</v>
      </c>
      <c r="H8" s="59">
        <f>H6*H7</f>
        <v>71.046800000000005</v>
      </c>
      <c r="K8" t="s">
        <v>39</v>
      </c>
    </row>
    <row r="9" spans="1:11" x14ac:dyDescent="0.25">
      <c r="A9" s="58" t="s">
        <v>40</v>
      </c>
      <c r="B9" s="58">
        <v>0.5</v>
      </c>
      <c r="D9" s="58" t="s">
        <v>40</v>
      </c>
      <c r="E9" s="58">
        <v>2.5</v>
      </c>
      <c r="G9" s="58" t="s">
        <v>40</v>
      </c>
      <c r="H9" s="58">
        <v>0.5</v>
      </c>
      <c r="K9" t="s">
        <v>41</v>
      </c>
    </row>
    <row r="10" spans="1:11" x14ac:dyDescent="0.25">
      <c r="A10" s="58" t="s">
        <v>42</v>
      </c>
      <c r="B10" s="58">
        <v>4.68</v>
      </c>
      <c r="D10" s="58" t="s">
        <v>42</v>
      </c>
      <c r="E10" s="58">
        <v>6.68</v>
      </c>
      <c r="G10" s="58" t="s">
        <v>42</v>
      </c>
      <c r="H10" s="58">
        <v>4.68</v>
      </c>
    </row>
    <row r="11" spans="1:11" ht="17.25" x14ac:dyDescent="0.25">
      <c r="A11" s="58" t="s">
        <v>43</v>
      </c>
      <c r="B11" s="58">
        <v>2.73</v>
      </c>
      <c r="D11" s="58" t="s">
        <v>43</v>
      </c>
      <c r="E11" s="58">
        <v>2.73</v>
      </c>
      <c r="G11" s="58" t="s">
        <v>43</v>
      </c>
      <c r="H11" s="58">
        <v>2.73</v>
      </c>
      <c r="K11" t="s">
        <v>44</v>
      </c>
    </row>
    <row r="12" spans="1:11" x14ac:dyDescent="0.25">
      <c r="A12" s="58" t="s">
        <v>45</v>
      </c>
      <c r="B12" s="61">
        <f>B8/B11</f>
        <v>26.024468864468865</v>
      </c>
      <c r="D12" s="58" t="s">
        <v>45</v>
      </c>
      <c r="E12" s="61">
        <f>E8/E11</f>
        <v>26.024468864468865</v>
      </c>
      <c r="G12" s="58" t="s">
        <v>45</v>
      </c>
      <c r="H12" s="61">
        <f>H8/H11</f>
        <v>26.024468864468865</v>
      </c>
      <c r="K12" t="s">
        <v>46</v>
      </c>
    </row>
    <row r="13" spans="1:11" x14ac:dyDescent="0.25">
      <c r="A13" s="58" t="s">
        <v>47</v>
      </c>
      <c r="B13" s="61">
        <v>3</v>
      </c>
      <c r="D13" s="58" t="s">
        <v>47</v>
      </c>
      <c r="E13" s="61">
        <v>3</v>
      </c>
      <c r="G13" s="58" t="s">
        <v>47</v>
      </c>
      <c r="H13" s="61">
        <v>3</v>
      </c>
    </row>
    <row r="14" spans="1:11" x14ac:dyDescent="0.25">
      <c r="A14" s="58" t="s">
        <v>48</v>
      </c>
      <c r="B14" s="61">
        <f>B12*3</f>
        <v>78.073406593406588</v>
      </c>
      <c r="D14" s="58" t="s">
        <v>48</v>
      </c>
      <c r="E14" s="61">
        <f>E12*3</f>
        <v>78.073406593406588</v>
      </c>
      <c r="G14" s="58" t="s">
        <v>48</v>
      </c>
      <c r="H14" s="61">
        <f>H12*3</f>
        <v>78.073406593406588</v>
      </c>
    </row>
    <row r="15" spans="1:11" x14ac:dyDescent="0.25">
      <c r="A15" s="58" t="s">
        <v>49</v>
      </c>
      <c r="B15" s="58">
        <f>B6*B13</f>
        <v>44.22</v>
      </c>
      <c r="D15" s="58" t="s">
        <v>49</v>
      </c>
      <c r="E15" s="58">
        <f>E6*E13</f>
        <v>44.22</v>
      </c>
      <c r="G15" s="58" t="s">
        <v>49</v>
      </c>
      <c r="H15" s="58">
        <f>H6*H13</f>
        <v>44.22</v>
      </c>
    </row>
    <row r="16" spans="1:11" x14ac:dyDescent="0.25">
      <c r="A16" s="58" t="s">
        <v>50</v>
      </c>
      <c r="B16" s="58">
        <f>B7</f>
        <v>4.82</v>
      </c>
      <c r="D16" s="58" t="s">
        <v>50</v>
      </c>
      <c r="E16" s="58">
        <f>E7</f>
        <v>4.82</v>
      </c>
      <c r="G16" s="58" t="s">
        <v>50</v>
      </c>
      <c r="H16" s="58">
        <f>H7</f>
        <v>4.82</v>
      </c>
    </row>
    <row r="17" spans="1:8" x14ac:dyDescent="0.25">
      <c r="A17" s="58" t="s">
        <v>51</v>
      </c>
      <c r="B17" s="64" t="s">
        <v>52</v>
      </c>
      <c r="D17" s="58" t="s">
        <v>51</v>
      </c>
      <c r="E17" s="64" t="s">
        <v>52</v>
      </c>
      <c r="G17" s="58" t="s">
        <v>51</v>
      </c>
      <c r="H17" s="64" t="s">
        <v>52</v>
      </c>
    </row>
    <row r="18" spans="1:8" x14ac:dyDescent="0.25">
      <c r="A18" s="58" t="s">
        <v>53</v>
      </c>
      <c r="B18" s="58">
        <v>1.5</v>
      </c>
      <c r="D18" s="58" t="s">
        <v>53</v>
      </c>
      <c r="E18" s="64">
        <v>1.5</v>
      </c>
      <c r="G18" s="58" t="s">
        <v>53</v>
      </c>
      <c r="H18" s="64">
        <v>1.5</v>
      </c>
    </row>
    <row r="19" spans="1:8" x14ac:dyDescent="0.25">
      <c r="A19" s="58" t="s">
        <v>54</v>
      </c>
      <c r="B19" s="58">
        <f>(2182+1500)/1000</f>
        <v>3.6819999999999999</v>
      </c>
      <c r="D19" s="58" t="s">
        <v>54</v>
      </c>
      <c r="E19" s="58">
        <f>(2182+1500)/1000</f>
        <v>3.6819999999999999</v>
      </c>
      <c r="G19" s="58" t="s">
        <v>54</v>
      </c>
      <c r="H19" s="58">
        <f>(2182+1500)/1000</f>
        <v>3.6819999999999999</v>
      </c>
    </row>
    <row r="20" spans="1:8" x14ac:dyDescent="0.25">
      <c r="A20" s="58" t="s">
        <v>55</v>
      </c>
      <c r="B20" s="58" t="s">
        <v>56</v>
      </c>
      <c r="D20" s="58" t="s">
        <v>55</v>
      </c>
      <c r="E20" s="64" t="s">
        <v>56</v>
      </c>
      <c r="G20" s="58" t="s">
        <v>55</v>
      </c>
      <c r="H20" s="64" t="s">
        <v>56</v>
      </c>
    </row>
    <row r="21" spans="1:8" x14ac:dyDescent="0.25">
      <c r="A21" s="58" t="s">
        <v>57</v>
      </c>
      <c r="B21" s="58">
        <f>B2/26</f>
        <v>3780</v>
      </c>
      <c r="D21" s="58" t="s">
        <v>58</v>
      </c>
      <c r="E21" s="58">
        <f>E2/26</f>
        <v>3780</v>
      </c>
      <c r="G21" s="58" t="s">
        <v>58</v>
      </c>
      <c r="H21" s="58">
        <f>H2/26</f>
        <v>2646</v>
      </c>
    </row>
    <row r="23" spans="1:8" x14ac:dyDescent="0.25">
      <c r="A23" s="60" t="s">
        <v>59</v>
      </c>
    </row>
    <row r="24" spans="1:8" x14ac:dyDescent="0.25">
      <c r="A24" s="58" t="s">
        <v>60</v>
      </c>
      <c r="B24" s="58">
        <v>26</v>
      </c>
    </row>
    <row r="25" spans="1:8" x14ac:dyDescent="0.25">
      <c r="A25" s="58" t="s">
        <v>61</v>
      </c>
      <c r="B25" s="58">
        <v>14</v>
      </c>
    </row>
    <row r="26" spans="1:8" x14ac:dyDescent="0.25">
      <c r="A26" s="58" t="s">
        <v>62</v>
      </c>
      <c r="B26" s="58">
        <v>4.2</v>
      </c>
    </row>
    <row r="27" spans="1:8" ht="15.75" thickBot="1" x14ac:dyDescent="0.3">
      <c r="A27" s="46" t="s">
        <v>63</v>
      </c>
      <c r="B27" s="46">
        <v>3</v>
      </c>
    </row>
    <row r="28" spans="1:8" ht="16.5" thickTop="1" thickBot="1" x14ac:dyDescent="0.3">
      <c r="A28" s="109" t="s">
        <v>64</v>
      </c>
      <c r="B28" s="110">
        <f>E10/B10</f>
        <v>1.4273504273504274</v>
      </c>
    </row>
    <row r="29" spans="1:8" ht="15.75" thickTop="1" x14ac:dyDescent="0.25"/>
    <row r="31" spans="1:8" x14ac:dyDescent="0.25">
      <c r="D31">
        <f>E10/B10</f>
        <v>1.4273504273504274</v>
      </c>
    </row>
    <row r="32" spans="1:8" x14ac:dyDescent="0.25">
      <c r="A32" s="12" t="s">
        <v>65</v>
      </c>
    </row>
    <row r="33" spans="1:5" ht="34.15" customHeight="1" x14ac:dyDescent="0.25">
      <c r="A33" s="83" t="s">
        <v>66</v>
      </c>
      <c r="B33" s="74" t="s">
        <v>67</v>
      </c>
      <c r="C33" s="74" t="s">
        <v>68</v>
      </c>
      <c r="D33" s="74" t="s">
        <v>69</v>
      </c>
    </row>
    <row r="34" spans="1:5" x14ac:dyDescent="0.25">
      <c r="A34" s="58" t="s">
        <v>70</v>
      </c>
      <c r="B34" s="58">
        <v>176.3</v>
      </c>
      <c r="C34" s="59">
        <f>B34*$B$28</f>
        <v>251.64188034188035</v>
      </c>
      <c r="D34" s="58">
        <f>B34</f>
        <v>176.3</v>
      </c>
      <c r="E34" s="58" t="s">
        <v>71</v>
      </c>
    </row>
    <row r="35" spans="1:5" x14ac:dyDescent="0.25">
      <c r="A35" s="58" t="s">
        <v>72</v>
      </c>
      <c r="B35" s="58">
        <v>175.7</v>
      </c>
      <c r="C35" s="61">
        <f>B35*B28</f>
        <v>250.78547008547008</v>
      </c>
      <c r="D35" s="58">
        <f t="shared" ref="D35:D38" si="0">B35</f>
        <v>175.7</v>
      </c>
      <c r="E35" s="58" t="s">
        <v>71</v>
      </c>
    </row>
    <row r="36" spans="1:5" x14ac:dyDescent="0.25">
      <c r="A36" s="58" t="s">
        <v>73</v>
      </c>
      <c r="B36" s="58">
        <v>191.8</v>
      </c>
      <c r="C36" s="61">
        <f>B36*B28</f>
        <v>273.76581196581196</v>
      </c>
      <c r="D36" s="58">
        <f t="shared" si="0"/>
        <v>191.8</v>
      </c>
      <c r="E36" s="58" t="s">
        <v>71</v>
      </c>
    </row>
    <row r="37" spans="1:5" x14ac:dyDescent="0.25">
      <c r="A37" s="58" t="s">
        <v>74</v>
      </c>
      <c r="B37" s="58">
        <v>71.099999999999994</v>
      </c>
      <c r="C37" s="61">
        <f>B37*B28</f>
        <v>101.48461538461538</v>
      </c>
      <c r="D37" s="58">
        <f t="shared" si="0"/>
        <v>71.099999999999994</v>
      </c>
      <c r="E37" s="58" t="s">
        <v>71</v>
      </c>
    </row>
    <row r="38" spans="1:5" x14ac:dyDescent="0.25">
      <c r="A38" s="58" t="s">
        <v>75</v>
      </c>
      <c r="B38" s="58">
        <v>0</v>
      </c>
      <c r="C38" s="58">
        <v>0</v>
      </c>
      <c r="D38" s="58">
        <f t="shared" si="0"/>
        <v>0</v>
      </c>
      <c r="E38" s="58" t="s">
        <v>71</v>
      </c>
    </row>
    <row r="39" spans="1:5" x14ac:dyDescent="0.25">
      <c r="A39" s="58" t="s">
        <v>76</v>
      </c>
      <c r="B39" s="58">
        <f>B21</f>
        <v>3780</v>
      </c>
      <c r="C39" s="58">
        <f>E21</f>
        <v>3780</v>
      </c>
      <c r="D39" s="58">
        <f>H21</f>
        <v>2646</v>
      </c>
      <c r="E39" s="58" t="s">
        <v>77</v>
      </c>
    </row>
    <row r="40" spans="1:5" x14ac:dyDescent="0.25">
      <c r="A40" s="58" t="s">
        <v>78</v>
      </c>
      <c r="B40" s="58">
        <f>B21*0.01*30</f>
        <v>1134.0000000000002</v>
      </c>
      <c r="C40" s="58">
        <f>E21*0.01*30</f>
        <v>1134.0000000000002</v>
      </c>
      <c r="D40" s="58">
        <f>H21*0.01*30</f>
        <v>793.80000000000007</v>
      </c>
      <c r="E40" s="58" t="s">
        <v>77</v>
      </c>
    </row>
    <row r="41" spans="1:5" x14ac:dyDescent="0.25">
      <c r="A41" s="58" t="s">
        <v>79</v>
      </c>
      <c r="B41" s="58">
        <f>B21/10</f>
        <v>378</v>
      </c>
      <c r="C41" s="58">
        <f>E21/10</f>
        <v>378</v>
      </c>
      <c r="D41" s="58">
        <f>H21/10</f>
        <v>264.60000000000002</v>
      </c>
      <c r="E41" s="58" t="s">
        <v>77</v>
      </c>
    </row>
    <row r="42" spans="1:5" x14ac:dyDescent="0.25">
      <c r="A42" s="58" t="s">
        <v>80</v>
      </c>
      <c r="B42" s="58">
        <f>B41*0.004*30</f>
        <v>45.36</v>
      </c>
      <c r="C42" s="58">
        <f>C41*0.004*30</f>
        <v>45.36</v>
      </c>
      <c r="D42" s="58">
        <f>D41*0.004*30</f>
        <v>31.751999999999999</v>
      </c>
      <c r="E42" s="58" t="s">
        <v>77</v>
      </c>
    </row>
    <row r="43" spans="1:5" x14ac:dyDescent="0.25">
      <c r="B43">
        <f>B34+B35+B36+B37+(6*(B39+B40)/B39)+0.5*(B41+B42)/B41</f>
        <v>623.25999999999988</v>
      </c>
      <c r="C43" s="1">
        <f t="shared" ref="C43:D43" si="1">C34+C35+C36+C37+(6*(C39+C40)/C39)+0.5*(C41+C42)/C41</f>
        <v>886.03777777777771</v>
      </c>
      <c r="D43">
        <f t="shared" si="1"/>
        <v>623.25999999999988</v>
      </c>
    </row>
    <row r="45" spans="1:5" ht="90" x14ac:dyDescent="0.25">
      <c r="A45" s="84" t="s">
        <v>81</v>
      </c>
    </row>
    <row r="46" spans="1:5" ht="45" x14ac:dyDescent="0.25">
      <c r="A46" s="84" t="s">
        <v>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9689-1366-48F2-94D5-822CF3EC3C9A}">
  <dimension ref="A1:F74"/>
  <sheetViews>
    <sheetView topLeftCell="A47" zoomScale="102" zoomScaleNormal="102" workbookViewId="0">
      <selection activeCell="A71" sqref="A71"/>
    </sheetView>
  </sheetViews>
  <sheetFormatPr defaultRowHeight="15" x14ac:dyDescent="0.25"/>
  <cols>
    <col min="1" max="1" width="96.28515625" customWidth="1"/>
    <col min="2" max="2" width="19.7109375" customWidth="1"/>
    <col min="3" max="3" width="21.42578125" customWidth="1"/>
    <col min="4" max="4" width="12.28515625" customWidth="1"/>
    <col min="5" max="5" width="27.140625" customWidth="1"/>
  </cols>
  <sheetData>
    <row r="1" spans="1:5" x14ac:dyDescent="0.25">
      <c r="A1" s="65" t="s">
        <v>83</v>
      </c>
      <c r="B1" s="65" t="s">
        <v>84</v>
      </c>
      <c r="C1" s="65" t="s">
        <v>85</v>
      </c>
    </row>
    <row r="2" spans="1:5" x14ac:dyDescent="0.25">
      <c r="A2" s="58" t="s">
        <v>86</v>
      </c>
      <c r="B2" s="58" t="s">
        <v>87</v>
      </c>
      <c r="C2" s="58" t="s">
        <v>88</v>
      </c>
    </row>
    <row r="3" spans="1:5" x14ac:dyDescent="0.25">
      <c r="A3" s="58" t="s">
        <v>89</v>
      </c>
      <c r="B3" s="64" t="s">
        <v>90</v>
      </c>
      <c r="C3" s="64" t="s">
        <v>91</v>
      </c>
    </row>
    <row r="4" spans="1:5" x14ac:dyDescent="0.25">
      <c r="A4" s="58" t="s">
        <v>92</v>
      </c>
      <c r="B4" s="58">
        <v>1.97</v>
      </c>
      <c r="C4" s="69">
        <f>2411*1134/1000/1000</f>
        <v>2.7340740000000001</v>
      </c>
    </row>
    <row r="5" spans="1:5" x14ac:dyDescent="0.25">
      <c r="A5" s="58" t="s">
        <v>93</v>
      </c>
      <c r="B5" s="58"/>
      <c r="C5" s="67">
        <v>0.20849999999999999</v>
      </c>
    </row>
    <row r="6" spans="1:5" x14ac:dyDescent="0.25">
      <c r="A6" s="58" t="s">
        <v>94</v>
      </c>
      <c r="B6" s="72">
        <v>2.443E-2</v>
      </c>
      <c r="C6" s="68">
        <f>C4/(152/2)</f>
        <v>3.597465789473684E-2</v>
      </c>
    </row>
    <row r="7" spans="1:5" x14ac:dyDescent="0.25">
      <c r="A7" s="97" t="s">
        <v>95</v>
      </c>
      <c r="B7" s="77" t="s">
        <v>96</v>
      </c>
      <c r="C7" s="76" t="s">
        <v>97</v>
      </c>
    </row>
    <row r="8" spans="1:5" x14ac:dyDescent="0.25">
      <c r="A8" s="58" t="s">
        <v>98</v>
      </c>
      <c r="B8" s="73" t="s">
        <v>99</v>
      </c>
      <c r="C8" s="64" t="s">
        <v>100</v>
      </c>
    </row>
    <row r="9" spans="1:5" x14ac:dyDescent="0.25">
      <c r="A9" s="46" t="s">
        <v>101</v>
      </c>
      <c r="B9" s="73" t="s">
        <v>99</v>
      </c>
      <c r="C9" s="46">
        <v>2</v>
      </c>
    </row>
    <row r="10" spans="1:5" x14ac:dyDescent="0.25">
      <c r="A10" s="58" t="s">
        <v>102</v>
      </c>
      <c r="B10" s="58">
        <f>B17+B19+B22+B23+B24</f>
        <v>31.429074999999997</v>
      </c>
      <c r="C10" s="58">
        <v>30.6</v>
      </c>
    </row>
    <row r="11" spans="1:5" x14ac:dyDescent="0.25">
      <c r="A11" s="58" t="s">
        <v>103</v>
      </c>
      <c r="B11" s="58"/>
      <c r="C11" s="59">
        <f>C10-C26</f>
        <v>27.324150967741936</v>
      </c>
    </row>
    <row r="12" spans="1:5" ht="15" customHeight="1" x14ac:dyDescent="0.25">
      <c r="A12" s="58" t="s">
        <v>104</v>
      </c>
      <c r="B12" s="58"/>
      <c r="C12" s="58"/>
    </row>
    <row r="13" spans="1:5" ht="45" customHeight="1" x14ac:dyDescent="0.25">
      <c r="A13" s="100" t="s">
        <v>105</v>
      </c>
      <c r="B13" s="100" t="s">
        <v>106</v>
      </c>
      <c r="C13" s="101" t="s">
        <v>107</v>
      </c>
      <c r="D13" s="102"/>
      <c r="E13" s="101" t="s">
        <v>108</v>
      </c>
    </row>
    <row r="14" spans="1:5" x14ac:dyDescent="0.25">
      <c r="A14" s="78" t="s">
        <v>109</v>
      </c>
      <c r="B14" s="71"/>
      <c r="C14" s="58"/>
      <c r="D14" s="71"/>
      <c r="E14" s="58"/>
    </row>
    <row r="15" spans="1:5" x14ac:dyDescent="0.25">
      <c r="A15" s="98" t="s">
        <v>110</v>
      </c>
      <c r="B15" s="71">
        <v>1</v>
      </c>
      <c r="C15" s="58">
        <v>1</v>
      </c>
      <c r="D15" s="71" t="s">
        <v>77</v>
      </c>
      <c r="E15" s="58">
        <v>1</v>
      </c>
    </row>
    <row r="16" spans="1:5" x14ac:dyDescent="0.25">
      <c r="A16" s="99" t="s">
        <v>111</v>
      </c>
      <c r="B16" s="71"/>
      <c r="C16" s="58"/>
      <c r="D16" s="71"/>
      <c r="E16" s="58"/>
    </row>
    <row r="17" spans="1:6" x14ac:dyDescent="0.25">
      <c r="A17" s="98" t="s">
        <v>112</v>
      </c>
      <c r="B17" s="71">
        <v>0.16</v>
      </c>
      <c r="C17" s="62">
        <f>B17/B4*C4</f>
        <v>0.22205677157360409</v>
      </c>
      <c r="D17" s="71" t="s">
        <v>71</v>
      </c>
      <c r="E17" s="63">
        <f>B17/$B$10*$C$11</f>
        <v>0.13910253976099235</v>
      </c>
    </row>
    <row r="18" spans="1:6" x14ac:dyDescent="0.25">
      <c r="A18" s="98" t="s">
        <v>113</v>
      </c>
      <c r="B18" s="71">
        <v>2.1680000000000001</v>
      </c>
      <c r="C18" s="58">
        <v>0</v>
      </c>
      <c r="D18" s="71" t="s">
        <v>71</v>
      </c>
      <c r="E18" s="58">
        <v>0</v>
      </c>
    </row>
    <row r="19" spans="1:6" ht="30" x14ac:dyDescent="0.25">
      <c r="A19" s="98" t="s">
        <v>114</v>
      </c>
      <c r="B19" s="71">
        <v>0.16800000000000001</v>
      </c>
      <c r="C19" s="71">
        <v>0.16800000000000001</v>
      </c>
      <c r="D19" s="71" t="s">
        <v>71</v>
      </c>
      <c r="E19" s="63">
        <f t="shared" ref="E19:E24" si="0">B19/$B$10*$C$11</f>
        <v>0.14605766674904194</v>
      </c>
    </row>
    <row r="20" spans="1:6" x14ac:dyDescent="0.25">
      <c r="A20" s="98" t="s">
        <v>115</v>
      </c>
      <c r="B20" s="71">
        <v>72</v>
      </c>
      <c r="C20" s="59">
        <f>B20/B6*C6</f>
        <v>106.02437038154125</v>
      </c>
      <c r="D20" s="71" t="s">
        <v>77</v>
      </c>
      <c r="E20" s="95">
        <f>C20</f>
        <v>106.02437038154125</v>
      </c>
    </row>
    <row r="21" spans="1:6" x14ac:dyDescent="0.25">
      <c r="A21" s="98" t="s">
        <v>116</v>
      </c>
      <c r="B21" s="71">
        <f>0.000004*1.979034</f>
        <v>7.9161359999999988E-6</v>
      </c>
      <c r="C21" s="58">
        <f>0.000004*C4</f>
        <v>1.0936296E-5</v>
      </c>
      <c r="D21" s="71" t="s">
        <v>77</v>
      </c>
      <c r="E21" s="95">
        <f>C21</f>
        <v>1.0936296E-5</v>
      </c>
    </row>
    <row r="22" spans="1:6" x14ac:dyDescent="0.25">
      <c r="A22" s="98" t="s">
        <v>117</v>
      </c>
      <c r="B22" s="71">
        <v>30.24</v>
      </c>
      <c r="C22" s="59">
        <f>B22/B30*C30</f>
        <v>27.97915321827411</v>
      </c>
      <c r="D22" s="71" t="s">
        <v>71</v>
      </c>
      <c r="E22" s="61">
        <f t="shared" si="0"/>
        <v>26.290380014827548</v>
      </c>
    </row>
    <row r="23" spans="1:6" x14ac:dyDescent="0.25">
      <c r="A23" s="98" t="s">
        <v>118</v>
      </c>
      <c r="B23" s="71">
        <v>0.02</v>
      </c>
      <c r="C23" s="63">
        <f>B23/B4*C4</f>
        <v>2.7757096446700512E-2</v>
      </c>
      <c r="D23" s="71" t="s">
        <v>71</v>
      </c>
      <c r="E23" s="63">
        <f t="shared" si="0"/>
        <v>1.7387817470124044E-2</v>
      </c>
    </row>
    <row r="24" spans="1:6" x14ac:dyDescent="0.25">
      <c r="A24" s="98" t="s">
        <v>119</v>
      </c>
      <c r="B24" s="71">
        <f>425*1.979/1000</f>
        <v>0.84107500000000002</v>
      </c>
      <c r="C24" s="68">
        <f>425*C4/1000</f>
        <v>1.1619814500000001</v>
      </c>
      <c r="D24" s="71" t="s">
        <v>71</v>
      </c>
      <c r="E24" s="63">
        <f t="shared" si="0"/>
        <v>0.73122292893422891</v>
      </c>
    </row>
    <row r="25" spans="1:6" x14ac:dyDescent="0.25">
      <c r="A25" s="98" t="s">
        <v>120</v>
      </c>
      <c r="B25" s="71">
        <f>B4</f>
        <v>1.97</v>
      </c>
      <c r="C25" s="69">
        <f>C4</f>
        <v>2.7340740000000001</v>
      </c>
      <c r="D25" s="71" t="s">
        <v>121</v>
      </c>
      <c r="E25" s="94">
        <f>C25</f>
        <v>2.7340740000000001</v>
      </c>
    </row>
    <row r="26" spans="1:6" x14ac:dyDescent="0.25">
      <c r="A26" s="96" t="s">
        <v>122</v>
      </c>
      <c r="B26" s="71">
        <v>0</v>
      </c>
      <c r="C26" s="1">
        <f>2.6/2.17*C4</f>
        <v>3.2758490322580651</v>
      </c>
      <c r="D26" s="71" t="s">
        <v>71</v>
      </c>
      <c r="E26" s="95">
        <f>C26</f>
        <v>3.2758490322580651</v>
      </c>
      <c r="F26" s="11" t="s">
        <v>123</v>
      </c>
    </row>
    <row r="27" spans="1:6" ht="30" x14ac:dyDescent="0.25">
      <c r="A27" s="96" t="s">
        <v>124</v>
      </c>
      <c r="B27" s="71"/>
      <c r="C27" s="59">
        <v>3.2758490322580651</v>
      </c>
      <c r="D27" s="71" t="s">
        <v>71</v>
      </c>
      <c r="E27" s="95">
        <f>C27</f>
        <v>3.2758490322580651</v>
      </c>
      <c r="F27" s="11" t="s">
        <v>125</v>
      </c>
    </row>
    <row r="28" spans="1:6" x14ac:dyDescent="0.25">
      <c r="A28" s="58" t="s">
        <v>126</v>
      </c>
      <c r="B28" s="71">
        <f>B17+B18+B19+B22+B23+B24</f>
        <v>33.597075000000004</v>
      </c>
      <c r="C28" s="59">
        <f>C17+C19+C22+C23+C24+C26</f>
        <v>32.834797568552474</v>
      </c>
      <c r="D28" s="71"/>
      <c r="E28" s="59">
        <f>SUM(E17)+E19+E22+E23+E24+C26</f>
        <v>30.6</v>
      </c>
    </row>
    <row r="29" spans="1:6" x14ac:dyDescent="0.25">
      <c r="C29" s="93"/>
    </row>
    <row r="30" spans="1:6" ht="17.25" x14ac:dyDescent="0.25">
      <c r="A30" s="80" t="s">
        <v>127</v>
      </c>
      <c r="B30" s="45">
        <f>B4*(6/1000)</f>
        <v>1.1820000000000001E-2</v>
      </c>
      <c r="C30" s="81">
        <f>C4*4/1000</f>
        <v>1.0936296E-2</v>
      </c>
    </row>
    <row r="31" spans="1:6" x14ac:dyDescent="0.25">
      <c r="A31" s="70"/>
      <c r="B31" s="79"/>
    </row>
    <row r="32" spans="1:6" x14ac:dyDescent="0.25">
      <c r="B32" s="1"/>
    </row>
    <row r="33" spans="1:3" x14ac:dyDescent="0.25">
      <c r="A33" t="s">
        <v>128</v>
      </c>
    </row>
    <row r="37" spans="1:3" x14ac:dyDescent="0.25">
      <c r="B37" s="58" t="s">
        <v>129</v>
      </c>
      <c r="C37" s="58">
        <v>1086</v>
      </c>
    </row>
    <row r="38" spans="1:3" x14ac:dyDescent="0.25">
      <c r="B38" s="58" t="s">
        <v>130</v>
      </c>
      <c r="C38" s="58">
        <v>1134</v>
      </c>
    </row>
    <row r="39" spans="1:3" x14ac:dyDescent="0.25">
      <c r="B39" s="58" t="s">
        <v>131</v>
      </c>
      <c r="C39" s="58">
        <f>C38-C37</f>
        <v>48</v>
      </c>
    </row>
    <row r="40" spans="1:3" x14ac:dyDescent="0.25">
      <c r="B40" s="58" t="s">
        <v>132</v>
      </c>
      <c r="C40" s="58">
        <v>2411</v>
      </c>
    </row>
    <row r="41" spans="1:3" x14ac:dyDescent="0.25">
      <c r="B41" s="58" t="s">
        <v>133</v>
      </c>
      <c r="C41" s="58">
        <v>35</v>
      </c>
    </row>
    <row r="42" spans="1:3" x14ac:dyDescent="0.25">
      <c r="B42" s="58" t="s">
        <v>134</v>
      </c>
      <c r="C42" s="58">
        <v>33</v>
      </c>
    </row>
    <row r="43" spans="1:3" x14ac:dyDescent="0.25">
      <c r="B43" s="58" t="s">
        <v>135</v>
      </c>
      <c r="C43" s="58">
        <f>C42/2</f>
        <v>16.5</v>
      </c>
    </row>
    <row r="44" spans="1:3" ht="17.25" x14ac:dyDescent="0.25">
      <c r="B44" s="58" t="s">
        <v>136</v>
      </c>
      <c r="C44" s="58">
        <f>C41/1000*C42/1000*C40/1000</f>
        <v>2.7847049999999997E-3</v>
      </c>
    </row>
    <row r="45" spans="1:3" ht="17.25" x14ac:dyDescent="0.25">
      <c r="B45" s="58" t="s">
        <v>137</v>
      </c>
      <c r="C45" s="58">
        <f>C41/1000*C43/1000*C40/1000</f>
        <v>1.3923524999999999E-3</v>
      </c>
    </row>
    <row r="46" spans="1:3" ht="17.25" x14ac:dyDescent="0.25">
      <c r="B46" s="58" t="s">
        <v>138</v>
      </c>
      <c r="C46" s="58">
        <f>C44-C45</f>
        <v>1.3923524999999999E-3</v>
      </c>
    </row>
    <row r="47" spans="1:3" ht="17.25" x14ac:dyDescent="0.25">
      <c r="B47" s="58" t="s">
        <v>139</v>
      </c>
      <c r="C47" s="58">
        <f>((C41*C41)-(C43*C42))*C37</f>
        <v>739023</v>
      </c>
    </row>
    <row r="48" spans="1:3" ht="17.25" x14ac:dyDescent="0.25">
      <c r="B48" s="58" t="s">
        <v>140</v>
      </c>
      <c r="C48" s="58">
        <f>(C46*2+C47*2)/1000/1000/1000</f>
        <v>1.4780460027847052E-3</v>
      </c>
    </row>
    <row r="49" spans="1:4" ht="17.25" x14ac:dyDescent="0.25">
      <c r="B49" s="58" t="s">
        <v>141</v>
      </c>
      <c r="C49" s="58">
        <v>2710</v>
      </c>
    </row>
    <row r="63" spans="1:4" x14ac:dyDescent="0.25">
      <c r="A63" s="65" t="s">
        <v>142</v>
      </c>
    </row>
    <row r="64" spans="1:4" x14ac:dyDescent="0.25">
      <c r="A64" s="58" t="s">
        <v>143</v>
      </c>
      <c r="B64" s="66"/>
      <c r="C64" s="58"/>
      <c r="D64" s="58" t="s">
        <v>144</v>
      </c>
    </row>
    <row r="65" spans="1:4" x14ac:dyDescent="0.25">
      <c r="A65" s="58" t="s">
        <v>145</v>
      </c>
      <c r="B65" s="58">
        <f>C10</f>
        <v>30.6</v>
      </c>
      <c r="C65" s="58" t="s">
        <v>71</v>
      </c>
      <c r="D65" s="91">
        <v>1</v>
      </c>
    </row>
    <row r="66" spans="1:4" x14ac:dyDescent="0.25">
      <c r="A66" s="58" t="s">
        <v>146</v>
      </c>
      <c r="B66" s="59">
        <f>E22</f>
        <v>26.290380014827548</v>
      </c>
      <c r="C66" s="58" t="s">
        <v>71</v>
      </c>
      <c r="D66" s="91">
        <f>B66/$B$65</f>
        <v>0.85916274558259953</v>
      </c>
    </row>
    <row r="67" spans="1:4" x14ac:dyDescent="0.25">
      <c r="A67" s="58" t="s">
        <v>147</v>
      </c>
      <c r="B67" s="59">
        <f>E26</f>
        <v>3.2758490322580651</v>
      </c>
      <c r="C67" s="58" t="s">
        <v>71</v>
      </c>
      <c r="D67" s="91">
        <f t="shared" ref="D67:D68" si="1">B67/$B$65</f>
        <v>0.10705388994307402</v>
      </c>
    </row>
    <row r="68" spans="1:4" x14ac:dyDescent="0.25">
      <c r="A68" s="58" t="s">
        <v>148</v>
      </c>
      <c r="B68" s="63">
        <f>E23</f>
        <v>1.7387817470124044E-2</v>
      </c>
      <c r="C68" s="58" t="s">
        <v>71</v>
      </c>
      <c r="D68" s="67">
        <f t="shared" si="1"/>
        <v>5.6822932908902096E-4</v>
      </c>
    </row>
    <row r="69" spans="1:4" x14ac:dyDescent="0.25">
      <c r="A69" s="58"/>
      <c r="B69" s="59"/>
      <c r="C69" s="58"/>
      <c r="D69" s="58"/>
    </row>
    <row r="70" spans="1:4" x14ac:dyDescent="0.25">
      <c r="A70" s="58" t="s">
        <v>149</v>
      </c>
      <c r="B70" s="64" t="s">
        <v>150</v>
      </c>
      <c r="C70" s="58"/>
      <c r="D70" s="58"/>
    </row>
    <row r="71" spans="1:4" x14ac:dyDescent="0.25">
      <c r="A71" s="58" t="s">
        <v>151</v>
      </c>
      <c r="B71" s="59">
        <f>D65</f>
        <v>1</v>
      </c>
      <c r="C71" s="58" t="s">
        <v>71</v>
      </c>
      <c r="D71" s="58"/>
    </row>
    <row r="72" spans="1:4" x14ac:dyDescent="0.25">
      <c r="A72" s="58" t="s">
        <v>152</v>
      </c>
      <c r="B72" s="59">
        <f t="shared" ref="B72:B74" si="2">D66</f>
        <v>0.85916274558259953</v>
      </c>
      <c r="C72" s="58" t="s">
        <v>71</v>
      </c>
      <c r="D72" s="58"/>
    </row>
    <row r="73" spans="1:4" x14ac:dyDescent="0.25">
      <c r="A73" s="58" t="s">
        <v>153</v>
      </c>
      <c r="B73" s="59">
        <f t="shared" si="2"/>
        <v>0.10705388994307402</v>
      </c>
      <c r="C73" s="58" t="s">
        <v>71</v>
      </c>
      <c r="D73" s="58"/>
    </row>
    <row r="74" spans="1:4" x14ac:dyDescent="0.25">
      <c r="A74" s="58" t="s">
        <v>154</v>
      </c>
      <c r="B74" s="62">
        <f t="shared" si="2"/>
        <v>5.6822932908902096E-4</v>
      </c>
      <c r="C74" s="58" t="s">
        <v>71</v>
      </c>
      <c r="D74" s="5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FC65-B774-451A-BCA3-509C39A63919}">
  <dimension ref="A1:I40"/>
  <sheetViews>
    <sheetView tabSelected="1" topLeftCell="A72" zoomScale="99" zoomScaleNormal="99" workbookViewId="0">
      <selection activeCell="A10" sqref="A10"/>
    </sheetView>
  </sheetViews>
  <sheetFormatPr defaultRowHeight="15" x14ac:dyDescent="0.25"/>
  <cols>
    <col min="1" max="1" width="85.42578125" customWidth="1"/>
    <col min="2" max="2" width="13.42578125" customWidth="1"/>
    <col min="3" max="3" width="15.7109375" customWidth="1"/>
    <col min="4" max="4" width="25.28515625" customWidth="1"/>
    <col min="5" max="5" width="23.85546875" customWidth="1"/>
    <col min="8" max="8" width="95" bestFit="1" customWidth="1"/>
  </cols>
  <sheetData>
    <row r="1" spans="1:5" x14ac:dyDescent="0.25">
      <c r="A1" s="88" t="s">
        <v>155</v>
      </c>
    </row>
    <row r="2" spans="1:5" x14ac:dyDescent="0.25">
      <c r="A2" s="65" t="s">
        <v>156</v>
      </c>
      <c r="B2" s="57" t="s">
        <v>157</v>
      </c>
    </row>
    <row r="3" spans="1:5" x14ac:dyDescent="0.25">
      <c r="A3" s="65"/>
      <c r="B3" s="65" t="s">
        <v>158</v>
      </c>
      <c r="C3" s="65" t="s">
        <v>159</v>
      </c>
    </row>
    <row r="4" spans="1:5" x14ac:dyDescent="0.25">
      <c r="A4" s="58" t="s">
        <v>160</v>
      </c>
      <c r="B4" s="58">
        <v>100</v>
      </c>
      <c r="C4" s="58">
        <v>3200</v>
      </c>
      <c r="D4" t="s">
        <v>71</v>
      </c>
    </row>
    <row r="5" spans="1:5" x14ac:dyDescent="0.25">
      <c r="A5" s="70"/>
      <c r="B5" s="70"/>
      <c r="C5" s="70"/>
    </row>
    <row r="6" spans="1:5" x14ac:dyDescent="0.25">
      <c r="A6" s="86" t="s">
        <v>161</v>
      </c>
      <c r="B6" s="71">
        <v>1</v>
      </c>
      <c r="C6" s="58">
        <v>1</v>
      </c>
      <c r="D6" s="71" t="s">
        <v>77</v>
      </c>
    </row>
    <row r="7" spans="1:5" x14ac:dyDescent="0.25">
      <c r="A7" s="78" t="s">
        <v>111</v>
      </c>
      <c r="B7" s="71"/>
      <c r="C7" s="58"/>
      <c r="D7" s="71"/>
    </row>
    <row r="8" spans="1:5" x14ac:dyDescent="0.25">
      <c r="A8" s="98" t="s">
        <v>162</v>
      </c>
      <c r="B8" s="71">
        <v>4</v>
      </c>
      <c r="C8" s="58">
        <f>B8/$B$4*C4</f>
        <v>128</v>
      </c>
      <c r="D8" s="71" t="s">
        <v>71</v>
      </c>
    </row>
    <row r="9" spans="1:5" x14ac:dyDescent="0.25">
      <c r="A9" s="98" t="s">
        <v>163</v>
      </c>
      <c r="B9" s="71">
        <v>20</v>
      </c>
      <c r="C9" s="58">
        <f>B9/$B$4*C4</f>
        <v>640</v>
      </c>
      <c r="D9" s="71" t="s">
        <v>71</v>
      </c>
    </row>
    <row r="10" spans="1:5" x14ac:dyDescent="0.25">
      <c r="A10" s="98" t="s">
        <v>164</v>
      </c>
      <c r="B10" s="71">
        <v>8</v>
      </c>
      <c r="C10" s="58">
        <f>B10/$B$4*$C$4</f>
        <v>256</v>
      </c>
      <c r="D10" s="71" t="s">
        <v>71</v>
      </c>
    </row>
    <row r="11" spans="1:5" x14ac:dyDescent="0.25">
      <c r="A11" s="98" t="s">
        <v>165</v>
      </c>
      <c r="B11" s="71">
        <v>15</v>
      </c>
      <c r="C11" s="58">
        <f t="shared" ref="C11:C12" si="0">B11/$B$4*$C$4</f>
        <v>480</v>
      </c>
      <c r="D11" s="71" t="s">
        <v>71</v>
      </c>
    </row>
    <row r="12" spans="1:5" ht="30" x14ac:dyDescent="0.25">
      <c r="A12" s="96" t="s">
        <v>166</v>
      </c>
      <c r="B12" s="71">
        <v>9</v>
      </c>
      <c r="C12" s="58">
        <f t="shared" si="0"/>
        <v>288</v>
      </c>
      <c r="D12" s="71" t="s">
        <v>71</v>
      </c>
      <c r="E12" s="11" t="s">
        <v>167</v>
      </c>
    </row>
    <row r="13" spans="1:5" x14ac:dyDescent="0.25">
      <c r="A13" s="96" t="s">
        <v>168</v>
      </c>
      <c r="B13" s="71">
        <v>40</v>
      </c>
      <c r="C13" s="58">
        <f>B13/$B$4*$C$4</f>
        <v>1280</v>
      </c>
      <c r="D13" s="71" t="s">
        <v>71</v>
      </c>
      <c r="E13" s="11" t="s">
        <v>167</v>
      </c>
    </row>
    <row r="14" spans="1:5" x14ac:dyDescent="0.25">
      <c r="A14" s="98" t="s">
        <v>169</v>
      </c>
      <c r="B14" s="71">
        <v>2</v>
      </c>
      <c r="C14" s="58">
        <f t="shared" ref="C14:C15" si="1">B14/$B$4*$C$4</f>
        <v>64</v>
      </c>
      <c r="D14" s="71" t="s">
        <v>71</v>
      </c>
      <c r="E14" s="11" t="s">
        <v>167</v>
      </c>
    </row>
    <row r="15" spans="1:5" ht="30" x14ac:dyDescent="0.25">
      <c r="A15" s="98" t="s">
        <v>170</v>
      </c>
      <c r="B15" s="71">
        <v>2</v>
      </c>
      <c r="C15" s="58">
        <f t="shared" si="1"/>
        <v>64</v>
      </c>
      <c r="D15" s="71" t="s">
        <v>71</v>
      </c>
    </row>
    <row r="18" spans="1:9" x14ac:dyDescent="0.25">
      <c r="A18" s="88" t="s">
        <v>171</v>
      </c>
    </row>
    <row r="19" spans="1:9" ht="45" x14ac:dyDescent="0.25">
      <c r="A19" s="60" t="s">
        <v>172</v>
      </c>
      <c r="B19" s="89" t="s">
        <v>173</v>
      </c>
      <c r="C19" s="89" t="s">
        <v>174</v>
      </c>
      <c r="D19" s="90" t="s">
        <v>175</v>
      </c>
      <c r="E19" s="90" t="s">
        <v>176</v>
      </c>
      <c r="F19" s="90" t="s">
        <v>177</v>
      </c>
      <c r="G19" s="90" t="s">
        <v>178</v>
      </c>
      <c r="H19" s="90" t="s">
        <v>179</v>
      </c>
      <c r="I19" s="74"/>
    </row>
    <row r="20" spans="1:9" x14ac:dyDescent="0.25">
      <c r="A20" s="58" t="s">
        <v>180</v>
      </c>
      <c r="B20" s="87">
        <v>0.9</v>
      </c>
      <c r="C20" s="87">
        <v>0.1</v>
      </c>
      <c r="D20" s="58" t="s">
        <v>181</v>
      </c>
      <c r="E20" s="58">
        <f>C9+C11</f>
        <v>1120</v>
      </c>
      <c r="F20" s="58">
        <f>E20*B20</f>
        <v>1008</v>
      </c>
      <c r="G20" s="58">
        <f>E20*C20</f>
        <v>112</v>
      </c>
      <c r="H20" s="4" t="s">
        <v>182</v>
      </c>
      <c r="I20">
        <f>E20/$C$4</f>
        <v>0.35</v>
      </c>
    </row>
    <row r="21" spans="1:9" x14ac:dyDescent="0.25">
      <c r="A21" s="58" t="s">
        <v>183</v>
      </c>
      <c r="B21" s="87">
        <v>0.6</v>
      </c>
      <c r="C21" s="87">
        <v>0.4</v>
      </c>
      <c r="D21" s="58" t="s">
        <v>184</v>
      </c>
      <c r="E21" s="58">
        <f>C10</f>
        <v>256</v>
      </c>
      <c r="F21" s="58">
        <f t="shared" ref="F21:F24" si="2">E21*B21</f>
        <v>153.6</v>
      </c>
      <c r="G21" s="58">
        <f t="shared" ref="G21:G23" si="3">E21*C21</f>
        <v>102.4</v>
      </c>
      <c r="H21" s="58" t="s">
        <v>185</v>
      </c>
      <c r="I21">
        <f t="shared" ref="I21:I23" si="4">E21/$C$4</f>
        <v>0.08</v>
      </c>
    </row>
    <row r="22" spans="1:9" x14ac:dyDescent="0.25">
      <c r="A22" s="58" t="s">
        <v>186</v>
      </c>
      <c r="B22" s="87">
        <v>0.65</v>
      </c>
      <c r="C22" s="87">
        <v>0.35</v>
      </c>
      <c r="D22" s="58" t="s">
        <v>187</v>
      </c>
      <c r="E22" s="58">
        <f>C12+C13+C14+C15</f>
        <v>1696</v>
      </c>
      <c r="F22" s="58">
        <f t="shared" si="2"/>
        <v>1102.4000000000001</v>
      </c>
      <c r="G22" s="58">
        <f t="shared" si="3"/>
        <v>593.59999999999991</v>
      </c>
      <c r="H22" s="58" t="s">
        <v>188</v>
      </c>
      <c r="I22">
        <f t="shared" si="4"/>
        <v>0.53</v>
      </c>
    </row>
    <row r="23" spans="1:9" x14ac:dyDescent="0.25">
      <c r="A23" s="58" t="s">
        <v>189</v>
      </c>
      <c r="B23" s="87">
        <v>0.65</v>
      </c>
      <c r="C23" s="87">
        <v>0.35</v>
      </c>
      <c r="D23" s="58" t="s">
        <v>187</v>
      </c>
      <c r="E23" s="58">
        <f>C8</f>
        <v>128</v>
      </c>
      <c r="F23" s="58">
        <f t="shared" si="2"/>
        <v>83.2</v>
      </c>
      <c r="G23" s="58">
        <f t="shared" si="3"/>
        <v>44.8</v>
      </c>
      <c r="H23" s="58" t="s">
        <v>190</v>
      </c>
      <c r="I23">
        <f t="shared" si="4"/>
        <v>0.04</v>
      </c>
    </row>
    <row r="24" spans="1:9" x14ac:dyDescent="0.25">
      <c r="A24" s="58" t="s">
        <v>191</v>
      </c>
      <c r="B24" s="87">
        <v>0</v>
      </c>
      <c r="C24" s="87">
        <v>1</v>
      </c>
      <c r="D24" s="58" t="s">
        <v>184</v>
      </c>
      <c r="E24" s="58">
        <v>0</v>
      </c>
      <c r="F24" s="58">
        <f t="shared" si="2"/>
        <v>0</v>
      </c>
      <c r="G24" s="58">
        <f>E24*C24</f>
        <v>0</v>
      </c>
      <c r="H24" s="58">
        <v>0</v>
      </c>
    </row>
    <row r="25" spans="1:9" x14ac:dyDescent="0.25">
      <c r="E25">
        <f>SUM(E20:E23)</f>
        <v>3200</v>
      </c>
    </row>
    <row r="26" spans="1:9" x14ac:dyDescent="0.25">
      <c r="A26" s="88" t="s">
        <v>192</v>
      </c>
    </row>
    <row r="27" spans="1:9" ht="120" x14ac:dyDescent="0.25">
      <c r="A27" s="83" t="s">
        <v>193</v>
      </c>
      <c r="B27" s="103" t="s">
        <v>194</v>
      </c>
      <c r="C27" s="103" t="s">
        <v>68</v>
      </c>
      <c r="D27" s="103" t="s">
        <v>69</v>
      </c>
      <c r="E27" s="104"/>
      <c r="F27" s="103" t="s">
        <v>179</v>
      </c>
      <c r="G27" s="103" t="s">
        <v>195</v>
      </c>
    </row>
    <row r="28" spans="1:9" x14ac:dyDescent="0.25">
      <c r="A28" s="58" t="s">
        <v>196</v>
      </c>
      <c r="B28" s="58">
        <f>'Supporto moduli'!B34+'Supporto moduli'!B35+'Supporto moduli'!B36+'Supporto moduli'!B37</f>
        <v>614.9</v>
      </c>
      <c r="C28" s="59">
        <f>'Supporto moduli'!C34+'Supporto moduli'!C35+'Supporto moduli'!C36+'Supporto moduli'!C37</f>
        <v>877.67777777777781</v>
      </c>
      <c r="D28" s="58">
        <f>'Supporto moduli'!D34+'Supporto moduli'!D35+'Supporto moduli'!D36+'Supporto moduli'!D37</f>
        <v>614.9</v>
      </c>
      <c r="E28" s="58" t="s">
        <v>71</v>
      </c>
      <c r="F28" s="58"/>
      <c r="G28" s="58" t="s">
        <v>197</v>
      </c>
    </row>
    <row r="29" spans="1:9" x14ac:dyDescent="0.25">
      <c r="A29" s="58" t="s">
        <v>198</v>
      </c>
      <c r="B29" s="58">
        <f>'Supporto moduli'!B39+'Supporto moduli'!B40</f>
        <v>4914</v>
      </c>
      <c r="C29" s="58">
        <f>'Supporto moduli'!C39+'Supporto moduli'!C40</f>
        <v>4914</v>
      </c>
      <c r="D29" s="58">
        <f>'Supporto moduli'!D39+'Supporto moduli'!D40</f>
        <v>3439.8</v>
      </c>
      <c r="E29" s="58" t="s">
        <v>77</v>
      </c>
      <c r="F29" s="58"/>
      <c r="G29" s="58"/>
    </row>
    <row r="30" spans="1:9" x14ac:dyDescent="0.25">
      <c r="A30" s="58" t="s">
        <v>199</v>
      </c>
      <c r="B30" s="58">
        <f>'Supporto moduli'!B41+'Supporto moduli'!B42</f>
        <v>423.36</v>
      </c>
      <c r="C30" s="58">
        <f>'Supporto moduli'!C41+'Supporto moduli'!C42</f>
        <v>423.36</v>
      </c>
      <c r="D30" s="58">
        <f>'Supporto moduli'!D41+'Supporto moduli'!D42</f>
        <v>296.35200000000003</v>
      </c>
      <c r="E30" s="58" t="s">
        <v>77</v>
      </c>
      <c r="F30" s="58"/>
      <c r="G30" s="58"/>
    </row>
    <row r="32" spans="1:9" x14ac:dyDescent="0.25">
      <c r="A32" s="65" t="s">
        <v>200</v>
      </c>
    </row>
    <row r="33" spans="1:3" x14ac:dyDescent="0.25">
      <c r="A33" s="82" t="s">
        <v>201</v>
      </c>
      <c r="B33" s="58"/>
    </row>
    <row r="34" spans="1:3" ht="17.25" x14ac:dyDescent="0.25">
      <c r="A34" s="58" t="s">
        <v>202</v>
      </c>
      <c r="B34" s="58">
        <f>8568*4</f>
        <v>34272</v>
      </c>
      <c r="C34" s="58" t="s">
        <v>203</v>
      </c>
    </row>
    <row r="35" spans="1:3" ht="17.25" x14ac:dyDescent="0.25">
      <c r="A35" s="58" t="s">
        <v>204</v>
      </c>
      <c r="B35" s="58">
        <f>B34*5/100</f>
        <v>1713.6</v>
      </c>
      <c r="C35" s="58" t="s">
        <v>205</v>
      </c>
    </row>
    <row r="36" spans="1:3" ht="17.25" x14ac:dyDescent="0.25">
      <c r="A36" s="58" t="s">
        <v>206</v>
      </c>
      <c r="B36" s="58">
        <v>1500</v>
      </c>
      <c r="C36" s="58" t="s">
        <v>207</v>
      </c>
    </row>
    <row r="37" spans="1:3" x14ac:dyDescent="0.25">
      <c r="A37" s="58" t="s">
        <v>208</v>
      </c>
      <c r="B37" s="58">
        <f>B36*B35</f>
        <v>2570400</v>
      </c>
      <c r="C37" s="58" t="s">
        <v>71</v>
      </c>
    </row>
    <row r="38" spans="1:3" x14ac:dyDescent="0.25">
      <c r="A38" s="82" t="s">
        <v>209</v>
      </c>
      <c r="B38" s="58"/>
    </row>
    <row r="39" spans="1:3" x14ac:dyDescent="0.25">
      <c r="A39" s="92" t="s">
        <v>210</v>
      </c>
      <c r="B39" s="58"/>
    </row>
    <row r="40" spans="1:3" x14ac:dyDescent="0.25">
      <c r="A40" s="58" t="s">
        <v>211</v>
      </c>
      <c r="B40" s="58"/>
    </row>
  </sheetData>
  <hyperlinks>
    <hyperlink ref="B2" r:id="rId1" xr:uid="{8669B286-EF32-41BE-97C4-F6D4C40F0D09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Produzione energetica</vt:lpstr>
      <vt:lpstr>Supporto moduli</vt:lpstr>
      <vt:lpstr>Modulo HJT</vt:lpstr>
      <vt:lpstr>Altri dataset e componenti</vt:lpstr>
    </vt:vector>
  </TitlesOfParts>
  <Manager/>
  <Company>RSE S.P.A.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Brivio Elisabetta (RSE)</dc:creator>
  <cp:keywords/>
  <dc:description/>
  <cp:lastModifiedBy>Mela Giulio (RSE)</cp:lastModifiedBy>
  <cp:revision/>
  <dcterms:created xsi:type="dcterms:W3CDTF">2024-07-29T08:43:07Z</dcterms:created>
  <dcterms:modified xsi:type="dcterms:W3CDTF">2024-09-19T14:32:18Z</dcterms:modified>
  <cp:category/>
  <cp:contentStatus/>
</cp:coreProperties>
</file>