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ata_for_Analysis\"/>
    </mc:Choice>
  </mc:AlternateContent>
  <xr:revisionPtr revIDLastSave="0" documentId="13_ncr:1_{50D58A8F-F715-4546-92A0-716BC56BC933}" xr6:coauthVersionLast="47" xr6:coauthVersionMax="47" xr10:uidLastSave="{00000000-0000-0000-0000-000000000000}"/>
  <bookViews>
    <workbookView xWindow="-120" yWindow="-120" windowWidth="51840" windowHeight="21120" xr2:uid="{78A9643E-E6FF-4F47-A051-AAA42B5BD3AD}"/>
  </bookViews>
  <sheets>
    <sheet name="My_Portfolio" sheetId="1" r:id="rId1"/>
    <sheet name="Crypto_Exchan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C25" i="1"/>
  <c r="G25" i="1" s="1"/>
  <c r="E25" i="1" s="1"/>
  <c r="C18" i="1"/>
  <c r="R20" i="1"/>
  <c r="P20" i="1"/>
  <c r="O20" i="1" s="1"/>
  <c r="L20" i="1"/>
  <c r="T20" i="1" s="1"/>
  <c r="E20" i="1" s="1"/>
  <c r="L23" i="1"/>
  <c r="P23" i="1"/>
  <c r="C23" i="1" s="1"/>
  <c r="N23" i="1"/>
  <c r="M23" i="1"/>
  <c r="R23" i="1"/>
  <c r="O23" i="1"/>
  <c r="S23" i="1" s="1"/>
  <c r="P22" i="1"/>
  <c r="C22" i="1" s="1"/>
  <c r="Q22" i="1"/>
  <c r="N22" i="1"/>
  <c r="L22" i="1"/>
  <c r="M21" i="1"/>
  <c r="O21" i="1"/>
  <c r="S21" i="1" s="1"/>
  <c r="L21" i="1"/>
  <c r="F3" i="1"/>
  <c r="H2" i="1" s="1"/>
  <c r="C9" i="2"/>
  <c r="C2" i="2"/>
  <c r="R18" i="1"/>
  <c r="P18" i="1"/>
  <c r="L18" i="1"/>
  <c r="O18" i="1"/>
  <c r="M18" i="1"/>
  <c r="E16" i="1"/>
  <c r="E15" i="1"/>
  <c r="C17" i="1"/>
  <c r="L17" i="1"/>
  <c r="G17" i="1" s="1"/>
  <c r="C13" i="1"/>
  <c r="L13" i="1"/>
  <c r="G13" i="1" s="1"/>
  <c r="E17" i="1" l="1"/>
  <c r="C20" i="1"/>
  <c r="E13" i="1"/>
  <c r="Q18" i="1"/>
  <c r="S18" i="1" s="1"/>
  <c r="T18" i="1" s="1"/>
  <c r="M22" i="1"/>
  <c r="O22" i="1" s="1"/>
  <c r="S22" i="1" s="1"/>
  <c r="G22" i="1" s="1"/>
  <c r="T23" i="1"/>
  <c r="S20" i="1"/>
  <c r="G20" i="1" s="1"/>
  <c r="G23" i="1"/>
  <c r="E23" i="1" s="1"/>
  <c r="G21" i="1"/>
  <c r="P21" i="1"/>
  <c r="T21" i="1" s="1"/>
  <c r="C21" i="1"/>
  <c r="N18" i="1"/>
  <c r="D3" i="1"/>
  <c r="T22" i="1" l="1"/>
  <c r="E22" i="1" s="1"/>
  <c r="G18" i="1"/>
  <c r="E18" i="1" s="1"/>
  <c r="E21" i="1"/>
  <c r="I2" i="1" l="1"/>
</calcChain>
</file>

<file path=xl/sharedStrings.xml><?xml version="1.0" encoding="utf-8"?>
<sst xmlns="http://schemas.openxmlformats.org/spreadsheetml/2006/main" count="115" uniqueCount="74">
  <si>
    <t>Symbol</t>
  </si>
  <si>
    <t>Name</t>
  </si>
  <si>
    <t>Shares</t>
  </si>
  <si>
    <t>Share cost (USD)</t>
  </si>
  <si>
    <t>Share cost (EUR)</t>
  </si>
  <si>
    <t>Invested (USD)</t>
  </si>
  <si>
    <t>Invested (EUR)</t>
  </si>
  <si>
    <t>Total Invested (USD)</t>
  </si>
  <si>
    <t>Total Invested (EUR)</t>
  </si>
  <si>
    <t>Last Purchase (YY-MM-DD)</t>
  </si>
  <si>
    <t>Category</t>
  </si>
  <si>
    <t>AMC</t>
  </si>
  <si>
    <t>AMC Entertainment Holdings</t>
  </si>
  <si>
    <t>Stock</t>
  </si>
  <si>
    <t>GME</t>
  </si>
  <si>
    <t>GameStop Corporation</t>
  </si>
  <si>
    <t>MVIS</t>
  </si>
  <si>
    <t>Microvision</t>
  </si>
  <si>
    <t>DIS</t>
  </si>
  <si>
    <t>Walt Disney Company (The)</t>
  </si>
  <si>
    <t>NVDA</t>
  </si>
  <si>
    <t>NVIDIA Corporation</t>
  </si>
  <si>
    <t>ARM</t>
  </si>
  <si>
    <t>Arm Holdings plc</t>
  </si>
  <si>
    <t>AMD</t>
  </si>
  <si>
    <t>Advanced Micro Devices Inc.</t>
  </si>
  <si>
    <t>TSLA</t>
  </si>
  <si>
    <t>Tesla Inc.</t>
  </si>
  <si>
    <t>BRK-B</t>
  </si>
  <si>
    <t>Berkshire Hathaway Inc. New</t>
  </si>
  <si>
    <t>AAPL</t>
  </si>
  <si>
    <t>Apple Inc.</t>
  </si>
  <si>
    <t>IFX.DE</t>
  </si>
  <si>
    <t>INFINEON TECH.AG NA O.N.</t>
  </si>
  <si>
    <t>SP5A.MI</t>
  </si>
  <si>
    <t>SPDR S&amp;P 500 UCITS ETF (Acc)</t>
  </si>
  <si>
    <t>ETF</t>
  </si>
  <si>
    <t>IE00BK5BQT80</t>
  </si>
  <si>
    <t>Vanguard FTSE All-World UCITS E</t>
  </si>
  <si>
    <t>IE00BFMXXD54</t>
  </si>
  <si>
    <t>Vanguard S&amp;P 500 UCITS ETF USD</t>
  </si>
  <si>
    <t>IE0003XJA0J9</t>
  </si>
  <si>
    <t>Amundi Prime All Country World UCITS ETF Acc</t>
  </si>
  <si>
    <t>BTC-EUR</t>
  </si>
  <si>
    <t>Bitcoin EUR</t>
  </si>
  <si>
    <t>Crypto</t>
  </si>
  <si>
    <t>ETH-EUR</t>
  </si>
  <si>
    <t>Ethereum EUR</t>
  </si>
  <si>
    <t>DOGE-EUR</t>
  </si>
  <si>
    <t>Dogecoin EUR</t>
  </si>
  <si>
    <t>BNB-EUR</t>
  </si>
  <si>
    <t>BNB EUR</t>
  </si>
  <si>
    <t>ADA-EUR</t>
  </si>
  <si>
    <t>Cardano EUR</t>
  </si>
  <si>
    <t>SHIB-EUR</t>
  </si>
  <si>
    <t>Shiba Inu EUR</t>
  </si>
  <si>
    <t>LRC-EUR</t>
  </si>
  <si>
    <t>Loopring EUR</t>
  </si>
  <si>
    <t>USDEUR=X</t>
  </si>
  <si>
    <t>Forex</t>
  </si>
  <si>
    <t>SOL-EUR</t>
  </si>
  <si>
    <t>Solana EUR</t>
  </si>
  <si>
    <t>TR/Crypto.com Investment</t>
  </si>
  <si>
    <t xml:space="preserve">TR/Crypto.com Shares </t>
  </si>
  <si>
    <t>TR/Crypto.com Transfer Cost</t>
  </si>
  <si>
    <t>TR/Crypto.com Average Cost After Transfer</t>
  </si>
  <si>
    <t>TR/Crypto.com Average Cost Pre Transfer</t>
  </si>
  <si>
    <t>TR/Crypto.com Share After Transfer</t>
  </si>
  <si>
    <t>Crypto Value during Transfer (EUR)</t>
  </si>
  <si>
    <t>Overall Cost Transfer</t>
  </si>
  <si>
    <t>BitPanda/Exodus Commission</t>
  </si>
  <si>
    <t>EURUSD favorevole tra acquisto e oggi</t>
  </si>
  <si>
    <t>FWRA.MI</t>
  </si>
  <si>
    <t>Invesco FTSE All-World UCITS ETF USD Accumalation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</si>
</sst>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0"/>
    <numFmt numFmtId="166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65E-953C-4620-A176-948582FC2C90}">
  <dimension ref="A1:U26"/>
  <sheetViews>
    <sheetView tabSelected="1" workbookViewId="0">
      <selection activeCell="E23" sqref="E23"/>
    </sheetView>
  </sheetViews>
  <sheetFormatPr defaultRowHeight="15" x14ac:dyDescent="0.25"/>
  <cols>
    <col min="1" max="1" width="25.7109375" customWidth="1"/>
    <col min="2" max="2" width="51.7109375" customWidth="1"/>
    <col min="3" max="3" width="19.7109375" style="3" customWidth="1"/>
    <col min="4" max="4" width="20.42578125" style="3" customWidth="1"/>
    <col min="5" max="5" width="21.28515625" style="3" customWidth="1"/>
    <col min="6" max="6" width="31.42578125" style="3" customWidth="1"/>
    <col min="7" max="7" width="14.7109375" style="3" customWidth="1"/>
    <col min="8" max="8" width="19.28515625" style="3" customWidth="1"/>
    <col min="9" max="9" width="18.5703125" style="3" customWidth="1"/>
    <col min="10" max="10" width="16" style="1" customWidth="1"/>
    <col min="11" max="11" width="9.140625" customWidth="1"/>
    <col min="12" max="12" width="33.42578125" style="3" customWidth="1"/>
    <col min="13" max="13" width="21" style="3" customWidth="1"/>
    <col min="14" max="14" width="39.5703125" style="3" customWidth="1"/>
    <col min="15" max="15" width="34.42578125" style="3" customWidth="1"/>
    <col min="16" max="16" width="31.28515625" style="3" customWidth="1"/>
    <col min="17" max="17" width="28.28515625" style="3" customWidth="1"/>
    <col min="18" max="18" width="32.140625" style="3" customWidth="1"/>
    <col min="19" max="19" width="22.85546875" style="3" customWidth="1"/>
    <col min="20" max="20" width="16.42578125" style="3" customWidth="1"/>
  </cols>
  <sheetData>
    <row r="1" spans="1:20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t="s">
        <v>10</v>
      </c>
      <c r="L1" s="3" t="s">
        <v>62</v>
      </c>
      <c r="M1" s="3" t="s">
        <v>63</v>
      </c>
      <c r="N1" s="3" t="s">
        <v>66</v>
      </c>
      <c r="O1" s="3" t="s">
        <v>64</v>
      </c>
      <c r="P1" s="3" t="s">
        <v>67</v>
      </c>
      <c r="Q1" s="3" t="s">
        <v>70</v>
      </c>
      <c r="R1" s="3" t="s">
        <v>68</v>
      </c>
      <c r="S1" s="3" t="s">
        <v>69</v>
      </c>
      <c r="T1" s="3" t="s">
        <v>65</v>
      </c>
    </row>
    <row r="2" spans="1:20" x14ac:dyDescent="0.25">
      <c r="A2" t="s">
        <v>11</v>
      </c>
      <c r="B2" t="s">
        <v>12</v>
      </c>
      <c r="C2" s="3">
        <v>36.581949999999999</v>
      </c>
      <c r="D2" s="3">
        <v>38.5</v>
      </c>
      <c r="F2" s="3">
        <v>1408.4050749999999</v>
      </c>
      <c r="G2" s="3">
        <v>0</v>
      </c>
      <c r="H2" s="3">
        <f>SUM($F2:$F25)</f>
        <v>8478.6406079299995</v>
      </c>
      <c r="I2" s="3">
        <f>SUM($G2:$G25)</f>
        <v>35821.112506977624</v>
      </c>
      <c r="J2" s="1">
        <v>45182</v>
      </c>
      <c r="K2" t="s">
        <v>13</v>
      </c>
    </row>
    <row r="3" spans="1:20" x14ac:dyDescent="0.25">
      <c r="A3" t="s">
        <v>14</v>
      </c>
      <c r="B3" t="s">
        <v>15</v>
      </c>
      <c r="C3" s="3">
        <v>261.12049999999999</v>
      </c>
      <c r="D3" s="3">
        <f>$F3/($C3-($G3/$E3))</f>
        <v>29.548962485586898</v>
      </c>
      <c r="E3" s="3">
        <v>28.87</v>
      </c>
      <c r="F3" s="3">
        <f>4932.87+(8*26.58)</f>
        <v>5145.51</v>
      </c>
      <c r="G3" s="3">
        <v>2511.27</v>
      </c>
      <c r="J3" s="1">
        <v>45694</v>
      </c>
      <c r="K3" t="s">
        <v>13</v>
      </c>
    </row>
    <row r="4" spans="1:20" x14ac:dyDescent="0.25">
      <c r="A4" t="s">
        <v>16</v>
      </c>
      <c r="B4" t="s">
        <v>17</v>
      </c>
      <c r="C4" s="3">
        <v>1712.3091999999999</v>
      </c>
      <c r="D4" s="3">
        <v>3.5057</v>
      </c>
      <c r="E4" s="3">
        <v>2.2599999999999998</v>
      </c>
      <c r="F4" s="3">
        <v>404.24</v>
      </c>
      <c r="G4" s="3">
        <v>3607.36</v>
      </c>
      <c r="J4" s="1">
        <v>45517</v>
      </c>
      <c r="K4" t="s">
        <v>13</v>
      </c>
    </row>
    <row r="5" spans="1:20" x14ac:dyDescent="0.25">
      <c r="A5" t="s">
        <v>18</v>
      </c>
      <c r="B5" t="s">
        <v>19</v>
      </c>
      <c r="C5" s="3">
        <v>3.5</v>
      </c>
      <c r="D5" s="3">
        <v>144.99</v>
      </c>
      <c r="F5" s="3">
        <v>507.46499999999997</v>
      </c>
      <c r="G5" s="3">
        <v>0</v>
      </c>
      <c r="J5" s="1">
        <v>45355</v>
      </c>
      <c r="K5" t="s">
        <v>13</v>
      </c>
    </row>
    <row r="6" spans="1:20" x14ac:dyDescent="0.25">
      <c r="A6" t="s">
        <v>20</v>
      </c>
      <c r="B6" t="s">
        <v>21</v>
      </c>
      <c r="C6" s="3">
        <v>0.29310000000000003</v>
      </c>
      <c r="D6" s="3">
        <v>85.283010000000004</v>
      </c>
      <c r="F6" s="3">
        <v>24.996450230000001</v>
      </c>
      <c r="G6" s="3">
        <v>0</v>
      </c>
      <c r="J6" s="1">
        <v>45355</v>
      </c>
      <c r="K6" t="s">
        <v>13</v>
      </c>
    </row>
    <row r="7" spans="1:20" x14ac:dyDescent="0.25">
      <c r="A7" t="s">
        <v>22</v>
      </c>
      <c r="B7" t="s">
        <v>23</v>
      </c>
      <c r="C7" s="3">
        <v>0.16925999999999999</v>
      </c>
      <c r="D7" s="3">
        <v>147.69999999999999</v>
      </c>
      <c r="F7" s="3">
        <v>24.999701999999999</v>
      </c>
      <c r="G7" s="3">
        <v>0</v>
      </c>
      <c r="J7" s="1">
        <v>45355</v>
      </c>
      <c r="K7" t="s">
        <v>13</v>
      </c>
    </row>
    <row r="8" spans="1:20" x14ac:dyDescent="0.25">
      <c r="A8" t="s">
        <v>24</v>
      </c>
      <c r="B8" t="s">
        <v>25</v>
      </c>
      <c r="C8" s="3">
        <v>0.1191</v>
      </c>
      <c r="D8" s="3">
        <v>209.9</v>
      </c>
      <c r="F8" s="3">
        <v>24.999089999999999</v>
      </c>
      <c r="G8" s="3">
        <v>0</v>
      </c>
      <c r="J8" s="1">
        <v>45355</v>
      </c>
      <c r="K8" t="s">
        <v>13</v>
      </c>
    </row>
    <row r="9" spans="1:20" x14ac:dyDescent="0.25">
      <c r="A9" t="s">
        <v>26</v>
      </c>
      <c r="B9" t="s">
        <v>27</v>
      </c>
      <c r="C9" s="3">
        <v>0.12903200000000001</v>
      </c>
      <c r="D9" s="3">
        <v>193.75</v>
      </c>
      <c r="F9" s="3">
        <v>24.999949999999998</v>
      </c>
      <c r="G9" s="3">
        <v>0</v>
      </c>
      <c r="J9" s="1">
        <v>45355</v>
      </c>
      <c r="K9" t="s">
        <v>13</v>
      </c>
    </row>
    <row r="10" spans="1:20" x14ac:dyDescent="0.25">
      <c r="A10" t="s">
        <v>28</v>
      </c>
      <c r="B10" t="s">
        <v>29</v>
      </c>
      <c r="C10" s="3">
        <v>1.5130300000000001</v>
      </c>
      <c r="D10" s="3">
        <v>363.51</v>
      </c>
      <c r="F10" s="3">
        <v>550.0015353</v>
      </c>
      <c r="G10" s="3">
        <v>0</v>
      </c>
      <c r="J10" s="1">
        <v>45177</v>
      </c>
      <c r="K10" t="s">
        <v>13</v>
      </c>
    </row>
    <row r="11" spans="1:20" x14ac:dyDescent="0.25">
      <c r="A11" t="s">
        <v>30</v>
      </c>
      <c r="B11" t="s">
        <v>31</v>
      </c>
      <c r="C11" s="3">
        <v>1.032578</v>
      </c>
      <c r="D11" s="3">
        <v>193.69</v>
      </c>
      <c r="F11" s="3">
        <v>200.00003280000001</v>
      </c>
      <c r="G11" s="3">
        <v>0</v>
      </c>
      <c r="J11" s="1">
        <v>45110</v>
      </c>
      <c r="K11" t="s">
        <v>13</v>
      </c>
    </row>
    <row r="12" spans="1:20" x14ac:dyDescent="0.25">
      <c r="A12" t="s">
        <v>32</v>
      </c>
      <c r="B12" t="s">
        <v>33</v>
      </c>
      <c r="C12" s="3">
        <v>17.523</v>
      </c>
      <c r="E12" s="3">
        <v>39.229999999999997</v>
      </c>
      <c r="F12" s="3">
        <v>0</v>
      </c>
      <c r="G12" s="3">
        <v>687.42728999999997</v>
      </c>
      <c r="J12" s="1">
        <v>45110</v>
      </c>
      <c r="K12" t="s">
        <v>13</v>
      </c>
    </row>
    <row r="13" spans="1:20" x14ac:dyDescent="0.25">
      <c r="A13" t="s">
        <v>34</v>
      </c>
      <c r="B13" t="s">
        <v>35</v>
      </c>
      <c r="C13" s="3">
        <f>409+$M13</f>
        <v>442.98071800000002</v>
      </c>
      <c r="E13" s="3">
        <f>$G13/$C13</f>
        <v>12.638187838144232</v>
      </c>
      <c r="F13" s="3">
        <v>0</v>
      </c>
      <c r="G13" s="3">
        <f>5053.62+75.24+$L13</f>
        <v>5598.4735227599995</v>
      </c>
      <c r="J13" s="1">
        <v>45659</v>
      </c>
      <c r="K13" t="s">
        <v>36</v>
      </c>
      <c r="L13" s="3">
        <f>$M13*$N13</f>
        <v>469.61352276000008</v>
      </c>
      <c r="M13" s="3">
        <v>33.980718000000003</v>
      </c>
      <c r="N13" s="3">
        <v>13.82</v>
      </c>
    </row>
    <row r="14" spans="1:20" x14ac:dyDescent="0.25">
      <c r="A14" t="s">
        <v>72</v>
      </c>
      <c r="B14" t="s">
        <v>73</v>
      </c>
      <c r="C14" s="3">
        <v>600</v>
      </c>
      <c r="E14" s="3">
        <v>6.6820000000000004</v>
      </c>
      <c r="F14" s="3">
        <v>0</v>
      </c>
      <c r="G14" s="3">
        <f>$E14*$C14</f>
        <v>4009.2000000000003</v>
      </c>
      <c r="J14" s="1">
        <v>45716</v>
      </c>
      <c r="K14" t="s">
        <v>36</v>
      </c>
    </row>
    <row r="15" spans="1:20" x14ac:dyDescent="0.25">
      <c r="A15" t="s">
        <v>37</v>
      </c>
      <c r="B15" t="s">
        <v>38</v>
      </c>
      <c r="C15" s="3">
        <v>109</v>
      </c>
      <c r="E15" s="3">
        <f>$G15/$C15</f>
        <v>120.77871559633027</v>
      </c>
      <c r="F15" s="3">
        <v>0</v>
      </c>
      <c r="G15" s="3">
        <v>13164.88</v>
      </c>
      <c r="J15" s="1">
        <v>45454</v>
      </c>
      <c r="K15" t="s">
        <v>36</v>
      </c>
    </row>
    <row r="16" spans="1:20" x14ac:dyDescent="0.25">
      <c r="A16" t="s">
        <v>39</v>
      </c>
      <c r="B16" t="s">
        <v>40</v>
      </c>
      <c r="C16" s="3">
        <v>38</v>
      </c>
      <c r="E16" s="3">
        <f>$G16/$C16</f>
        <v>94.170526315789473</v>
      </c>
      <c r="F16" s="3">
        <v>0</v>
      </c>
      <c r="G16" s="3">
        <v>3578.48</v>
      </c>
      <c r="J16" s="1">
        <v>45454</v>
      </c>
      <c r="K16" t="s">
        <v>36</v>
      </c>
    </row>
    <row r="17" spans="1:21" x14ac:dyDescent="0.25">
      <c r="A17" t="s">
        <v>41</v>
      </c>
      <c r="B17" t="s">
        <v>42</v>
      </c>
      <c r="C17" s="3">
        <f>$M17</f>
        <v>33.672389000000003</v>
      </c>
      <c r="E17" s="3">
        <f>$G17/$C17</f>
        <v>10.130000000000001</v>
      </c>
      <c r="F17" s="3">
        <v>0</v>
      </c>
      <c r="G17" s="3">
        <f>$L17</f>
        <v>341.10130057000003</v>
      </c>
      <c r="J17" s="1">
        <v>45659</v>
      </c>
      <c r="K17" t="s">
        <v>36</v>
      </c>
      <c r="L17" s="3">
        <f>$M17*$N17</f>
        <v>341.10130057000003</v>
      </c>
      <c r="M17" s="3">
        <v>33.672389000000003</v>
      </c>
      <c r="N17" s="3">
        <v>10.130000000000001</v>
      </c>
    </row>
    <row r="18" spans="1:21" x14ac:dyDescent="0.25">
      <c r="A18" t="s">
        <v>43</v>
      </c>
      <c r="B18" t="s">
        <v>44</v>
      </c>
      <c r="C18" s="3">
        <f>0.024343</f>
        <v>2.4343E-2</v>
      </c>
      <c r="E18" s="3">
        <f>$G18/$C18</f>
        <v>46614.02909801912</v>
      </c>
      <c r="F18" s="3">
        <v>0</v>
      </c>
      <c r="G18" s="3">
        <f>$L18+$S18+50+50+16.66+16.35+5.65+10.58+12.51+9.27+7.09+5.31+15.94+12.53+24.46+13.13+12.52+9.4+5.64+6.44+4.26+0.53+3.89+0.89+5.66+9.99+16.03+8.77+0.92+5.43+4.08+0.19+9.91+5.82+12.49+12.49+35+50.32</f>
        <v>1134.7253103330795</v>
      </c>
      <c r="J18" s="1">
        <v>45349</v>
      </c>
      <c r="K18" t="s">
        <v>45</v>
      </c>
      <c r="L18" s="3">
        <f>50.02+25.09+100+100+25+25+(0.99356*48.599793)+47.64+50+50.08+50+50</f>
        <v>621.11681033308002</v>
      </c>
      <c r="M18" s="3">
        <f>0.01984724</f>
        <v>1.9847239999999999E-2</v>
      </c>
      <c r="N18" s="3">
        <f>$L18/$M18</f>
        <v>31294.870739361246</v>
      </c>
      <c r="O18" s="3">
        <f>0.0004</f>
        <v>4.0000000000000002E-4</v>
      </c>
      <c r="P18" s="3">
        <f>0.01938724</f>
        <v>1.938724E-2</v>
      </c>
      <c r="Q18" s="3">
        <f>$M18-$O18-$P18</f>
        <v>5.9999999999997555E-5</v>
      </c>
      <c r="R18" s="3">
        <f>94475</f>
        <v>94475</v>
      </c>
      <c r="S18" s="3">
        <f>($O18+$Q18)*$R18</f>
        <v>43.458499999999773</v>
      </c>
      <c r="T18" s="3">
        <f>($L18+$S18)/$P18</f>
        <v>34279.005693078529</v>
      </c>
    </row>
    <row r="19" spans="1:21" x14ac:dyDescent="0.25">
      <c r="A19" t="s">
        <v>46</v>
      </c>
      <c r="B19" t="s">
        <v>47</v>
      </c>
      <c r="C19" s="3">
        <v>4.1809430000000002E-2</v>
      </c>
      <c r="D19" s="3">
        <v>3580.5374000000002</v>
      </c>
      <c r="E19" s="3">
        <v>2181.61</v>
      </c>
      <c r="F19" s="3">
        <v>25.063761800000002</v>
      </c>
      <c r="G19" s="3">
        <v>75.940600579999995</v>
      </c>
      <c r="J19" s="1">
        <v>45355</v>
      </c>
      <c r="K19" t="s">
        <v>45</v>
      </c>
    </row>
    <row r="20" spans="1:21" x14ac:dyDescent="0.25">
      <c r="A20" t="s">
        <v>48</v>
      </c>
      <c r="B20" t="s">
        <v>49</v>
      </c>
      <c r="C20" s="3">
        <f>$P20</f>
        <v>953.39254799000003</v>
      </c>
      <c r="E20" s="3">
        <f>$T20</f>
        <v>8.6320937669908421E-2</v>
      </c>
      <c r="F20" s="3">
        <v>0</v>
      </c>
      <c r="G20" s="3">
        <f>($L20+$S20)</f>
        <v>78.023450621705152</v>
      </c>
      <c r="J20" s="1">
        <v>44299</v>
      </c>
      <c r="K20" t="s">
        <v>45</v>
      </c>
      <c r="L20" s="3">
        <f>76.3002867</f>
        <v>76.300286700000001</v>
      </c>
      <c r="M20" s="3">
        <v>959.39</v>
      </c>
      <c r="N20" s="3">
        <v>7.9530000000000003E-2</v>
      </c>
      <c r="O20" s="3">
        <f>$M20-$P20</f>
        <v>5.9974520099999609</v>
      </c>
      <c r="P20" s="3">
        <f>953.39254799</f>
        <v>953.39254799000003</v>
      </c>
      <c r="R20" s="3">
        <f>0.287316</f>
        <v>0.28731600000000002</v>
      </c>
      <c r="S20" s="3">
        <f>$O20*$R20</f>
        <v>1.7231639217051489</v>
      </c>
      <c r="T20" s="3">
        <f>($L20+$O20)/$P20</f>
        <v>8.6320937669908421E-2</v>
      </c>
    </row>
    <row r="21" spans="1:21" x14ac:dyDescent="0.25">
      <c r="A21" t="s">
        <v>50</v>
      </c>
      <c r="B21" t="s">
        <v>51</v>
      </c>
      <c r="C21" s="3">
        <f>($M21-$O21)</f>
        <v>0.11273619999999999</v>
      </c>
      <c r="E21" s="3">
        <f>$G21/$C21</f>
        <v>308.10746752152369</v>
      </c>
      <c r="F21" s="3">
        <v>0</v>
      </c>
      <c r="G21" s="3">
        <f>$L21+$S21</f>
        <v>34.734865079999999</v>
      </c>
      <c r="J21" s="1">
        <v>44288</v>
      </c>
      <c r="K21" t="s">
        <v>45</v>
      </c>
      <c r="L21" s="3">
        <f>31.89753</f>
        <v>31.89753</v>
      </c>
      <c r="M21" s="3">
        <f>(0.0945+(0.0232362+0.000042))</f>
        <v>0.1177782</v>
      </c>
      <c r="N21" s="3">
        <v>337.54</v>
      </c>
      <c r="O21" s="3">
        <f>(0.005+0.000042)</f>
        <v>5.0420000000000005E-3</v>
      </c>
      <c r="P21" s="3">
        <f>$M21-($O21)</f>
        <v>0.11273619999999999</v>
      </c>
      <c r="R21" s="3">
        <v>562.74</v>
      </c>
      <c r="S21" s="3">
        <f>$O21*$R21</f>
        <v>2.8373350800000003</v>
      </c>
      <c r="T21" s="3">
        <f>($L21+$S21)/$P21</f>
        <v>308.10746752152369</v>
      </c>
    </row>
    <row r="22" spans="1:21" x14ac:dyDescent="0.25">
      <c r="A22" t="s">
        <v>52</v>
      </c>
      <c r="B22" t="s">
        <v>53</v>
      </c>
      <c r="C22" s="3">
        <f>121.73515+$P22</f>
        <v>142.04214999999999</v>
      </c>
      <c r="D22" s="3">
        <v>1.1332800000000001</v>
      </c>
      <c r="E22" s="3">
        <f>$T22</f>
        <v>1.5213698804080824</v>
      </c>
      <c r="F22" s="3">
        <v>137.96001079999999</v>
      </c>
      <c r="G22" s="3">
        <f>$L22+$S22</f>
        <v>30.894458161446927</v>
      </c>
      <c r="J22" s="1">
        <v>44288</v>
      </c>
      <c r="K22" t="s">
        <v>45</v>
      </c>
      <c r="L22" s="3">
        <f>27.25</f>
        <v>27.25</v>
      </c>
      <c r="M22" s="3">
        <f>$L22/$N22</f>
        <v>23.497456238682418</v>
      </c>
      <c r="N22" s="3">
        <f>1.1597</f>
        <v>1.1597</v>
      </c>
      <c r="O22" s="3">
        <f>$M22-($P22+$Q22)</f>
        <v>0.99745623868241751</v>
      </c>
      <c r="P22" s="3">
        <f>20.307</f>
        <v>20.306999999999999</v>
      </c>
      <c r="Q22" s="3">
        <f>(22.5-20.307)</f>
        <v>2.1930000000000014</v>
      </c>
      <c r="R22" s="3">
        <v>1.1423000000000001</v>
      </c>
      <c r="S22" s="3">
        <f>($O22+$Q22)*$R22</f>
        <v>3.6444581614469276</v>
      </c>
      <c r="T22" s="3">
        <f>($L22+$S22)/$P22</f>
        <v>1.5213698804080824</v>
      </c>
    </row>
    <row r="23" spans="1:21" x14ac:dyDescent="0.25">
      <c r="A23" t="s">
        <v>54</v>
      </c>
      <c r="B23" t="s">
        <v>55</v>
      </c>
      <c r="C23" s="3">
        <f>1000000+$P23</f>
        <v>4394106.0199999996</v>
      </c>
      <c r="E23" s="3">
        <f>$G23/$C23</f>
        <v>2.6446970590638145E-5</v>
      </c>
      <c r="F23" s="3">
        <v>0</v>
      </c>
      <c r="G23" s="3">
        <f>27.48+($L23+$S23)</f>
        <v>116.21079268308601</v>
      </c>
      <c r="J23" s="1">
        <v>44357</v>
      </c>
      <c r="K23" t="s">
        <v>45</v>
      </c>
      <c r="L23" s="3">
        <f>(107.2789694/1.217)</f>
        <v>88.150344617912893</v>
      </c>
      <c r="M23" s="3">
        <f>4432927.02-1000000</f>
        <v>3432927.0199999996</v>
      </c>
      <c r="N23" s="3">
        <f>(0.00003125/1.0376)</f>
        <v>3.0117579028527369E-5</v>
      </c>
      <c r="O23" s="3">
        <f>38696.5376782077</f>
        <v>38696.5376782077</v>
      </c>
      <c r="P23" s="3">
        <f>3394106.02</f>
        <v>3394106.02</v>
      </c>
      <c r="R23" s="3">
        <f>0.000015</f>
        <v>1.5E-5</v>
      </c>
      <c r="S23" s="3">
        <f>($O23*$R23)</f>
        <v>0.58044806517311553</v>
      </c>
      <c r="T23" s="3">
        <f>($L23+$S23)/$P23</f>
        <v>2.6142610796549604E-5</v>
      </c>
      <c r="U23" t="s">
        <v>71</v>
      </c>
    </row>
    <row r="24" spans="1:21" x14ac:dyDescent="0.25">
      <c r="A24" t="s">
        <v>56</v>
      </c>
      <c r="B24" t="s">
        <v>57</v>
      </c>
      <c r="C24" s="3">
        <v>240.94</v>
      </c>
      <c r="E24" s="3">
        <v>1.7012948999999999</v>
      </c>
      <c r="F24" s="3">
        <v>0</v>
      </c>
      <c r="G24" s="3">
        <v>409.90999319999997</v>
      </c>
      <c r="J24" s="1">
        <v>44578</v>
      </c>
      <c r="K24" t="s">
        <v>45</v>
      </c>
    </row>
    <row r="25" spans="1:21" x14ac:dyDescent="0.25">
      <c r="A25" t="s">
        <v>60</v>
      </c>
      <c r="B25" t="s">
        <v>61</v>
      </c>
      <c r="C25" s="3">
        <f>0.1868+(2.02530191)</f>
        <v>2.2121019099999999</v>
      </c>
      <c r="E25" s="3">
        <f>$G25/$C25</f>
        <v>200.02736808282944</v>
      </c>
      <c r="F25" s="3">
        <v>0</v>
      </c>
      <c r="G25" s="3">
        <f>25.00544028+(($C25-0.1868)*206.13)</f>
        <v>442.48092298829999</v>
      </c>
      <c r="J25" s="1">
        <v>45355</v>
      </c>
      <c r="K25" t="s">
        <v>45</v>
      </c>
    </row>
    <row r="26" spans="1:21" x14ac:dyDescent="0.25">
      <c r="A26" t="s">
        <v>58</v>
      </c>
      <c r="B26" t="s">
        <v>58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J26" s="1">
        <v>44288</v>
      </c>
      <c r="K26" t="s">
        <v>59</v>
      </c>
    </row>
  </sheetData>
  <pageMargins left="0.7" right="0.7" top="0.75" bottom="0.75" header="0.3" footer="0.3"/>
  <pageSetup paperSize="9" orientation="portrait" r:id="rId1"/>
  <ignoredErrors>
    <ignoredError sqref="E21:E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448-F2B0-4A77-910B-AABB83C7210F}">
  <dimension ref="A1:F9"/>
  <sheetViews>
    <sheetView workbookViewId="0">
      <selection activeCell="C2" sqref="C2"/>
    </sheetView>
  </sheetViews>
  <sheetFormatPr defaultRowHeight="15" x14ac:dyDescent="0.25"/>
  <cols>
    <col min="1" max="3" width="24.85546875" customWidth="1"/>
    <col min="4" max="4" width="9.42578125" customWidth="1"/>
    <col min="5" max="5" width="31.28515625" customWidth="1"/>
    <col min="6" max="6" width="11.140625" customWidth="1"/>
    <col min="7" max="7" width="21.85546875" customWidth="1"/>
    <col min="8" max="8" width="22.85546875" customWidth="1"/>
    <col min="9" max="9" width="39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43</v>
      </c>
      <c r="B2" t="s">
        <v>44</v>
      </c>
      <c r="C2">
        <f>$P2</f>
        <v>0</v>
      </c>
      <c r="F2" s="2"/>
    </row>
    <row r="3" spans="1:6" x14ac:dyDescent="0.25">
      <c r="A3" t="s">
        <v>46</v>
      </c>
      <c r="B3" t="s">
        <v>47</v>
      </c>
      <c r="C3">
        <v>4.1809430000000002E-2</v>
      </c>
    </row>
    <row r="4" spans="1:6" x14ac:dyDescent="0.25">
      <c r="A4" t="s">
        <v>48</v>
      </c>
      <c r="B4" t="s">
        <v>49</v>
      </c>
      <c r="C4">
        <v>959.39</v>
      </c>
    </row>
    <row r="5" spans="1:6" x14ac:dyDescent="0.25">
      <c r="A5" t="s">
        <v>50</v>
      </c>
      <c r="B5" t="s">
        <v>51</v>
      </c>
      <c r="C5">
        <v>9.4500000000000001E-2</v>
      </c>
    </row>
    <row r="6" spans="1:6" x14ac:dyDescent="0.25">
      <c r="A6" t="s">
        <v>52</v>
      </c>
      <c r="B6" t="s">
        <v>53</v>
      </c>
      <c r="C6">
        <v>145.23515</v>
      </c>
    </row>
    <row r="7" spans="1:6" x14ac:dyDescent="0.25">
      <c r="A7" t="s">
        <v>54</v>
      </c>
      <c r="B7" t="s">
        <v>55</v>
      </c>
      <c r="C7">
        <v>4432927.0199999996</v>
      </c>
    </row>
    <row r="8" spans="1:6" x14ac:dyDescent="0.25">
      <c r="A8" t="s">
        <v>56</v>
      </c>
      <c r="B8" t="s">
        <v>57</v>
      </c>
      <c r="C8">
        <v>240.94</v>
      </c>
    </row>
    <row r="9" spans="1:6" x14ac:dyDescent="0.25">
      <c r="A9" t="s">
        <v>60</v>
      </c>
      <c r="B9" t="s">
        <v>61</v>
      </c>
      <c r="C9">
        <f>0.1868+(1.09521322)</f>
        <v>1.2820132200000001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My_Portfolio</vt:lpstr>
      <vt:lpstr>Crypto_Exchanges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Davidde</cp:lastModifiedBy>
  <dcterms:created xsi:type="dcterms:W3CDTF">2025-01-07T12:09:58Z</dcterms:created>
  <dcterms:modified xsi:type="dcterms:W3CDTF">2025-02-28T20:17:40Z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2025-01-07T12:10:15Z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8514dc02-a947-4b1f-948b-d1e3aeae26c2</vt:lpwstr>
  </property>
  <property fmtid="{D5CDD505-2E9C-101B-9397-08002B2CF9AE}" pid="8" name="MSIP_Label_a15a25aa-e944-415d-b7a7-40f6b9180b6b_ContentBits">
    <vt:lpwstr>0</vt:lpwstr>
  </property>
</Properties>
</file>