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GIUSEPPE\Desktop\UNI\LAUREA MAGISTRALE\BUSINESS VALUATION AND FINANCIAL PLANNING - Claudia Frisenna\"/>
    </mc:Choice>
  </mc:AlternateContent>
  <xr:revisionPtr revIDLastSave="0" documentId="13_ncr:1_{C08F87BF-49B6-47B2-8830-73D54A96C40F}" xr6:coauthVersionLast="47" xr6:coauthVersionMax="47" xr10:uidLastSave="{00000000-0000-0000-0000-000000000000}"/>
  <bookViews>
    <workbookView xWindow="-120" yWindow="-120" windowWidth="20730" windowHeight="11160" activeTab="15" xr2:uid="{00000000-000D-0000-FFFF-FFFF00000000}"/>
  </bookViews>
  <sheets>
    <sheet name="Indexes" sheetId="1" r:id="rId1"/>
    <sheet name="TTM" sheetId="2" r:id="rId2"/>
    <sheet name="I.S." sheetId="3" r:id="rId3"/>
    <sheet name="B.S." sheetId="4" r:id="rId4"/>
    <sheet name="C.f.s." sheetId="5" r:id="rId5"/>
    <sheet name="ERP-CRP" sheetId="6" r:id="rId6"/>
    <sheet name="Beta" sheetId="7" r:id="rId7"/>
    <sheet name="Debt" sheetId="8" r:id="rId8"/>
    <sheet name="WACC" sheetId="9" r:id="rId9"/>
    <sheet name="R&amp;D" sheetId="10" r:id="rId10"/>
    <sheet name="CAPEX" sheetId="11" r:id="rId11"/>
    <sheet name="WC" sheetId="12" r:id="rId12"/>
    <sheet name="FCFF" sheetId="13" r:id="rId13"/>
    <sheet name="FCFE" sheetId="14" r:id="rId14"/>
    <sheet name="Growth &amp; TV" sheetId="15" r:id="rId15"/>
    <sheet name="Relative Valuation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21" roundtripDataSignature="AMtx7mjAyzyg/LlGixyEhpmOKXGw7bDusQ=="/>
    </ext>
  </extLst>
</workbook>
</file>

<file path=xl/calcChain.xml><?xml version="1.0" encoding="utf-8"?>
<calcChain xmlns="http://schemas.openxmlformats.org/spreadsheetml/2006/main">
  <c r="G93" i="2" l="1"/>
  <c r="B63" i="15"/>
  <c r="E58" i="15"/>
  <c r="B58" i="15"/>
  <c r="B54" i="15"/>
  <c r="H52" i="15"/>
  <c r="B53" i="15" s="1"/>
  <c r="K24" i="15"/>
  <c r="K22" i="15"/>
  <c r="B18" i="1" s="1"/>
  <c r="B17" i="15"/>
  <c r="B16" i="15"/>
  <c r="B15" i="15"/>
  <c r="E14" i="15"/>
  <c r="B14" i="15"/>
  <c r="B5" i="15"/>
  <c r="B4" i="15"/>
  <c r="E3" i="15"/>
  <c r="E15" i="15" s="1"/>
  <c r="E13" i="15" s="1"/>
  <c r="B3" i="15"/>
  <c r="D7" i="14"/>
  <c r="B12" i="14" s="1"/>
  <c r="D6" i="14"/>
  <c r="D5" i="14"/>
  <c r="D4" i="14"/>
  <c r="D8" i="14" s="1"/>
  <c r="D3" i="14"/>
  <c r="B15" i="13"/>
  <c r="C19" i="12"/>
  <c r="B19" i="12"/>
  <c r="B20" i="12" s="1"/>
  <c r="C18" i="12"/>
  <c r="B18" i="12"/>
  <c r="F15" i="12"/>
  <c r="E15" i="12"/>
  <c r="D15" i="12"/>
  <c r="C15" i="12"/>
  <c r="B15" i="12"/>
  <c r="F14" i="12"/>
  <c r="F16" i="12" s="1"/>
  <c r="B14" i="12"/>
  <c r="F13" i="12"/>
  <c r="E13" i="12"/>
  <c r="D13" i="12"/>
  <c r="C13" i="12"/>
  <c r="B13" i="12"/>
  <c r="F12" i="12"/>
  <c r="E12" i="12"/>
  <c r="D12" i="12"/>
  <c r="D14" i="12" s="1"/>
  <c r="D16" i="12" s="1"/>
  <c r="C12" i="12"/>
  <c r="B12" i="12"/>
  <c r="F11" i="12"/>
  <c r="E11" i="12"/>
  <c r="E14" i="12" s="1"/>
  <c r="E16" i="12" s="1"/>
  <c r="D11" i="12"/>
  <c r="C11" i="12"/>
  <c r="C14" i="12" s="1"/>
  <c r="C16" i="12" s="1"/>
  <c r="B11" i="12"/>
  <c r="E24" i="11"/>
  <c r="E23" i="11"/>
  <c r="E22" i="11"/>
  <c r="E21" i="11"/>
  <c r="E20" i="11"/>
  <c r="H19" i="11"/>
  <c r="E19" i="11"/>
  <c r="B19" i="11"/>
  <c r="H18" i="11"/>
  <c r="E18" i="11"/>
  <c r="E25" i="11" s="1"/>
  <c r="B18" i="11"/>
  <c r="H17" i="11"/>
  <c r="E17" i="11"/>
  <c r="B17" i="11"/>
  <c r="H16" i="11"/>
  <c r="E16" i="11"/>
  <c r="B16" i="11"/>
  <c r="H15" i="11"/>
  <c r="H20" i="11" s="1"/>
  <c r="B5" i="13" s="1"/>
  <c r="B8" i="13" s="1"/>
  <c r="E15" i="11"/>
  <c r="B15" i="11"/>
  <c r="B20" i="11" s="1"/>
  <c r="C21" i="10"/>
  <c r="C20" i="10"/>
  <c r="H14" i="10"/>
  <c r="F14" i="10"/>
  <c r="D14" i="10"/>
  <c r="H13" i="10"/>
  <c r="F13" i="10"/>
  <c r="D13" i="10"/>
  <c r="H12" i="10"/>
  <c r="F12" i="10"/>
  <c r="D12" i="10"/>
  <c r="H11" i="10"/>
  <c r="F11" i="10"/>
  <c r="D11" i="10"/>
  <c r="H10" i="10"/>
  <c r="F10" i="10"/>
  <c r="D10" i="10"/>
  <c r="H9" i="10"/>
  <c r="F9" i="10"/>
  <c r="D9" i="10"/>
  <c r="H8" i="10"/>
  <c r="F8" i="10"/>
  <c r="D8" i="10"/>
  <c r="H7" i="10"/>
  <c r="F7" i="10"/>
  <c r="D7" i="10"/>
  <c r="H6" i="10"/>
  <c r="F6" i="10"/>
  <c r="D6" i="10"/>
  <c r="B7" i="9"/>
  <c r="B5" i="9"/>
  <c r="B84" i="8"/>
  <c r="B83" i="8"/>
  <c r="B82" i="8"/>
  <c r="B81" i="8"/>
  <c r="B80" i="8"/>
  <c r="B79" i="8"/>
  <c r="B78" i="8"/>
  <c r="G77" i="8"/>
  <c r="B9" i="9" s="1"/>
  <c r="B77" i="8"/>
  <c r="B76" i="8"/>
  <c r="B75" i="8"/>
  <c r="B74" i="8"/>
  <c r="B73" i="8"/>
  <c r="B72" i="8"/>
  <c r="B71" i="8"/>
  <c r="B70" i="8"/>
  <c r="B65" i="8"/>
  <c r="A65" i="8"/>
  <c r="B64" i="8"/>
  <c r="A64" i="8"/>
  <c r="B63" i="8"/>
  <c r="A63" i="8"/>
  <c r="B58" i="8"/>
  <c r="B49" i="8"/>
  <c r="B41" i="8"/>
  <c r="F37" i="8"/>
  <c r="F36" i="8"/>
  <c r="F35" i="8"/>
  <c r="F34" i="8"/>
  <c r="F33" i="8"/>
  <c r="F32" i="8"/>
  <c r="F31" i="8"/>
  <c r="B24" i="8"/>
  <c r="B11" i="8"/>
  <c r="B7" i="8"/>
  <c r="B48" i="8" s="1"/>
  <c r="E5" i="8"/>
  <c r="B3" i="9" s="1"/>
  <c r="E4" i="8"/>
  <c r="B12" i="8" s="1"/>
  <c r="B56" i="7"/>
  <c r="B62" i="7" s="1"/>
  <c r="B63" i="7" s="1"/>
  <c r="D54" i="7"/>
  <c r="C54" i="7"/>
  <c r="D53" i="7"/>
  <c r="D52" i="7"/>
  <c r="C52" i="7"/>
  <c r="D51" i="7"/>
  <c r="D50" i="7"/>
  <c r="C50" i="7"/>
  <c r="D49" i="7"/>
  <c r="D48" i="7"/>
  <c r="C48" i="7"/>
  <c r="D47" i="7"/>
  <c r="D46" i="7"/>
  <c r="C46" i="7"/>
  <c r="D45" i="7"/>
  <c r="D44" i="7"/>
  <c r="C44" i="7"/>
  <c r="D43" i="7"/>
  <c r="D42" i="7"/>
  <c r="C42" i="7"/>
  <c r="D41" i="7"/>
  <c r="D40" i="7"/>
  <c r="C40" i="7"/>
  <c r="D39" i="7"/>
  <c r="D38" i="7"/>
  <c r="C38" i="7"/>
  <c r="D37" i="7"/>
  <c r="D36" i="7"/>
  <c r="C36" i="7"/>
  <c r="D35" i="7"/>
  <c r="D34" i="7"/>
  <c r="C34" i="7"/>
  <c r="D33" i="7"/>
  <c r="D32" i="7"/>
  <c r="C32" i="7"/>
  <c r="D31" i="7"/>
  <c r="D30" i="7"/>
  <c r="C30" i="7"/>
  <c r="D29" i="7"/>
  <c r="D28" i="7"/>
  <c r="C28" i="7"/>
  <c r="D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D55" i="7" s="1"/>
  <c r="C5" i="7"/>
  <c r="C4" i="7"/>
  <c r="E26" i="6"/>
  <c r="B20" i="6"/>
  <c r="C16" i="6" s="1"/>
  <c r="E16" i="6" s="1"/>
  <c r="C19" i="6"/>
  <c r="E19" i="6" s="1"/>
  <c r="D17" i="6"/>
  <c r="C17" i="6"/>
  <c r="G124" i="2"/>
  <c r="G123" i="2"/>
  <c r="G122" i="2"/>
  <c r="G121" i="2"/>
  <c r="G120" i="2"/>
  <c r="G119" i="2"/>
  <c r="G118" i="2"/>
  <c r="G117" i="2"/>
  <c r="G115" i="2"/>
  <c r="G114" i="2"/>
  <c r="G113" i="2"/>
  <c r="G112" i="2"/>
  <c r="G111" i="2"/>
  <c r="G110" i="2"/>
  <c r="G109" i="2"/>
  <c r="G108" i="2"/>
  <c r="G107" i="2"/>
  <c r="G106" i="2"/>
  <c r="G105" i="2"/>
  <c r="G103" i="2"/>
  <c r="G102" i="2"/>
  <c r="G101" i="2"/>
  <c r="G100" i="2"/>
  <c r="G99" i="2"/>
  <c r="G98" i="2"/>
  <c r="G97" i="2"/>
  <c r="G95" i="2"/>
  <c r="G92" i="2"/>
  <c r="G91" i="2"/>
  <c r="G90" i="2"/>
  <c r="G89" i="2"/>
  <c r="G88" i="2"/>
  <c r="G87" i="2"/>
  <c r="G85" i="2"/>
  <c r="G53" i="2"/>
  <c r="G52" i="2"/>
  <c r="G51" i="2"/>
  <c r="G50" i="2"/>
  <c r="G49" i="2"/>
  <c r="G48" i="2"/>
  <c r="G47" i="2"/>
  <c r="G46" i="2"/>
  <c r="G45" i="2"/>
  <c r="G43" i="2"/>
  <c r="G42" i="2"/>
  <c r="G41" i="2"/>
  <c r="G39" i="2"/>
  <c r="G38" i="2"/>
  <c r="G37" i="2"/>
  <c r="G34" i="2"/>
  <c r="G33" i="2"/>
  <c r="G32" i="2"/>
  <c r="G30" i="2"/>
  <c r="G29" i="2"/>
  <c r="G27" i="2"/>
  <c r="G26" i="2"/>
  <c r="G25" i="2"/>
  <c r="C19" i="10" s="1"/>
  <c r="G24" i="2"/>
  <c r="G23" i="2"/>
  <c r="G22" i="2"/>
  <c r="G21" i="2"/>
  <c r="G20" i="2"/>
  <c r="B4" i="8" s="1"/>
  <c r="G19" i="2"/>
  <c r="G18" i="2"/>
  <c r="G17" i="2"/>
  <c r="G16" i="2"/>
  <c r="G15" i="2"/>
  <c r="G14" i="2"/>
  <c r="G13" i="2"/>
  <c r="G12" i="2"/>
  <c r="G11" i="2"/>
  <c r="B8" i="11" s="1"/>
  <c r="G10" i="2"/>
  <c r="G8" i="2"/>
  <c r="G7" i="2"/>
  <c r="G6" i="2"/>
  <c r="G5" i="2"/>
  <c r="B9" i="1"/>
  <c r="B6" i="1"/>
  <c r="B4" i="1"/>
  <c r="B3" i="1"/>
  <c r="E17" i="6" l="1"/>
  <c r="C18" i="6"/>
  <c r="E18" i="6" s="1"/>
  <c r="E20" i="6" s="1"/>
  <c r="C84" i="8"/>
  <c r="D84" i="8" s="1"/>
  <c r="C76" i="8"/>
  <c r="D76" i="8" s="1"/>
  <c r="C72" i="8"/>
  <c r="B51" i="8"/>
  <c r="G35" i="8"/>
  <c r="H35" i="8" s="1"/>
  <c r="G31" i="8"/>
  <c r="H31" i="8" s="1"/>
  <c r="C78" i="8"/>
  <c r="C77" i="8"/>
  <c r="C73" i="8"/>
  <c r="D73" i="8" s="1"/>
  <c r="G36" i="8"/>
  <c r="G32" i="8"/>
  <c r="H32" i="8" s="1"/>
  <c r="C79" i="8"/>
  <c r="D79" i="8" s="1"/>
  <c r="C74" i="8"/>
  <c r="D74" i="8" s="1"/>
  <c r="C70" i="8"/>
  <c r="D70" i="8" s="1"/>
  <c r="G37" i="8"/>
  <c r="H37" i="8" s="1"/>
  <c r="G33" i="8"/>
  <c r="H33" i="8" s="1"/>
  <c r="C83" i="8"/>
  <c r="D83" i="8" s="1"/>
  <c r="C82" i="8"/>
  <c r="D82" i="8" s="1"/>
  <c r="C81" i="8"/>
  <c r="D81" i="8" s="1"/>
  <c r="C80" i="8"/>
  <c r="D80" i="8" s="1"/>
  <c r="C75" i="8"/>
  <c r="D75" i="8" s="1"/>
  <c r="C71" i="8"/>
  <c r="D71" i="8" s="1"/>
  <c r="G34" i="8"/>
  <c r="H34" i="8" s="1"/>
  <c r="B13" i="8"/>
  <c r="B10" i="9" s="1"/>
  <c r="D77" i="8"/>
  <c r="B28" i="11"/>
  <c r="B29" i="11"/>
  <c r="B40" i="8"/>
  <c r="B39" i="8" s="1"/>
  <c r="C18" i="10" s="1"/>
  <c r="B10" i="8"/>
  <c r="H36" i="8"/>
  <c r="D78" i="8"/>
  <c r="B8" i="1"/>
  <c r="D72" i="8"/>
  <c r="G14" i="12"/>
  <c r="C27" i="7"/>
  <c r="C55" i="7" s="1"/>
  <c r="C29" i="7"/>
  <c r="C31" i="7"/>
  <c r="C33" i="7"/>
  <c r="C35" i="7"/>
  <c r="C37" i="7"/>
  <c r="C39" i="7"/>
  <c r="C41" i="7"/>
  <c r="C43" i="7"/>
  <c r="C45" i="7"/>
  <c r="C47" i="7"/>
  <c r="C49" i="7"/>
  <c r="C51" i="7"/>
  <c r="C53" i="7"/>
  <c r="B61" i="7"/>
  <c r="B66" i="8"/>
  <c r="C65" i="8" s="1"/>
  <c r="D65" i="8" s="1"/>
  <c r="B5" i="10"/>
  <c r="B16" i="12"/>
  <c r="G16" i="12" s="1"/>
  <c r="B17" i="12" s="1"/>
  <c r="B2" i="13" s="1"/>
  <c r="B10" i="13" s="1"/>
  <c r="B6" i="9" l="1"/>
  <c r="K25" i="15"/>
  <c r="B5" i="1"/>
  <c r="H38" i="8"/>
  <c r="G81" i="8" s="1"/>
  <c r="F5" i="10"/>
  <c r="F15" i="10" s="1"/>
  <c r="C17" i="10"/>
  <c r="D5" i="10"/>
  <c r="H5" i="10"/>
  <c r="H15" i="10" s="1"/>
  <c r="B30" i="11" s="1"/>
  <c r="B4" i="13" s="1"/>
  <c r="B9" i="13" s="1"/>
  <c r="C63" i="8"/>
  <c r="D85" i="8"/>
  <c r="K28" i="15"/>
  <c r="K30" i="15" s="1"/>
  <c r="C64" i="8"/>
  <c r="D64" i="8" s="1"/>
  <c r="B3" i="13"/>
  <c r="B7" i="13" s="1"/>
  <c r="B31" i="11" l="1"/>
  <c r="B11" i="13"/>
  <c r="B45" i="8"/>
  <c r="G80" i="8"/>
  <c r="G82" i="8" s="1"/>
  <c r="C24" i="10"/>
  <c r="C23" i="10"/>
  <c r="B14" i="13" s="1"/>
  <c r="B18" i="13" s="1"/>
  <c r="C66" i="8"/>
  <c r="D63" i="8"/>
  <c r="D66" i="8" s="1"/>
  <c r="B7" i="15"/>
  <c r="E5" i="15"/>
  <c r="C25" i="10"/>
  <c r="C26" i="10"/>
  <c r="B50" i="8" l="1"/>
  <c r="F88" i="8"/>
  <c r="B2" i="15"/>
  <c r="B13" i="13"/>
  <c r="B16" i="13" s="1"/>
  <c r="B11" i="14"/>
  <c r="B10" i="14" s="1"/>
  <c r="B11" i="9"/>
  <c r="K26" i="15" s="1"/>
  <c r="K27" i="15" s="1"/>
  <c r="K29" i="15" s="1"/>
  <c r="C57" i="7"/>
  <c r="B56" i="15"/>
  <c r="C58" i="7"/>
  <c r="B64" i="7" s="1"/>
  <c r="B10" i="1"/>
  <c r="B15" i="14"/>
  <c r="E2" i="15"/>
  <c r="K3" i="15"/>
  <c r="B13" i="15" l="1"/>
  <c r="B12" i="15" s="1"/>
  <c r="E18" i="15"/>
  <c r="B8" i="15"/>
  <c r="B6" i="15"/>
  <c r="E12" i="15" s="1"/>
  <c r="B4" i="9"/>
  <c r="B8" i="9" s="1"/>
  <c r="B7" i="1"/>
  <c r="B14" i="14"/>
  <c r="B13" i="1" s="1"/>
  <c r="K2" i="15"/>
  <c r="K4" i="15" s="1"/>
  <c r="B16" i="14"/>
  <c r="E4" i="15"/>
  <c r="E6" i="15"/>
  <c r="E17" i="15"/>
  <c r="E16" i="15" s="1"/>
  <c r="H2" i="15"/>
  <c r="B19" i="13"/>
  <c r="B20" i="13" s="1"/>
  <c r="B12" i="1" s="1"/>
  <c r="H3" i="15" l="1"/>
  <c r="B14" i="1"/>
  <c r="H4" i="15"/>
  <c r="C41" i="15"/>
  <c r="F41" i="15"/>
  <c r="B41" i="15"/>
  <c r="E41" i="15"/>
  <c r="D41" i="15"/>
  <c r="B12" i="9"/>
  <c r="E39" i="15"/>
  <c r="D39" i="15"/>
  <c r="C39" i="15"/>
  <c r="F39" i="15"/>
  <c r="B39" i="15"/>
  <c r="K5" i="15"/>
  <c r="K6" i="15" s="1"/>
  <c r="B15" i="1"/>
  <c r="D36" i="15" l="1"/>
  <c r="C36" i="15"/>
  <c r="F36" i="15"/>
  <c r="B36" i="15"/>
  <c r="B38" i="15" s="1"/>
  <c r="B17" i="1"/>
  <c r="E36" i="15"/>
  <c r="C22" i="15"/>
  <c r="F22" i="15"/>
  <c r="B22" i="15"/>
  <c r="E22" i="15"/>
  <c r="D22" i="15"/>
  <c r="B16" i="1"/>
  <c r="B24" i="15"/>
  <c r="B27" i="15"/>
  <c r="B11" i="1"/>
  <c r="B40" i="15" l="1"/>
  <c r="B42" i="15" s="1"/>
  <c r="C38" i="15"/>
  <c r="C27" i="15"/>
  <c r="F27" i="15"/>
  <c r="E27" i="15"/>
  <c r="D27" i="15"/>
  <c r="B25" i="15"/>
  <c r="B26" i="15" s="1"/>
  <c r="B28" i="15" s="1"/>
  <c r="C24" i="15"/>
  <c r="C28" i="15" l="1"/>
  <c r="D28" i="15" s="1"/>
  <c r="E28" i="15" s="1"/>
  <c r="F28" i="15" s="1"/>
  <c r="C25" i="15"/>
  <c r="C26" i="15" s="1"/>
  <c r="D24" i="15"/>
  <c r="C40" i="15"/>
  <c r="D38" i="15"/>
  <c r="C42" i="15"/>
  <c r="D42" i="15" s="1"/>
  <c r="E42" i="15" s="1"/>
  <c r="F42" i="15" s="1"/>
  <c r="B43" i="15" l="1"/>
  <c r="E24" i="15"/>
  <c r="D25" i="15"/>
  <c r="D26" i="15" s="1"/>
  <c r="D40" i="15"/>
  <c r="E38" i="15"/>
  <c r="B29" i="15"/>
  <c r="F38" i="15" l="1"/>
  <c r="E40" i="15"/>
  <c r="E25" i="15"/>
  <c r="E26" i="15" s="1"/>
  <c r="F24" i="15"/>
  <c r="K31" i="15" l="1"/>
  <c r="K32" i="15" s="1"/>
  <c r="K35" i="15" s="1"/>
  <c r="B30" i="15" s="1"/>
  <c r="B31" i="15" s="1"/>
  <c r="B32" i="15" s="1"/>
  <c r="F25" i="15"/>
  <c r="F26" i="15"/>
  <c r="K33" i="15"/>
  <c r="K34" i="15" s="1"/>
  <c r="K36" i="15" s="1"/>
  <c r="F40" i="15"/>
  <c r="B44" i="15" l="1"/>
  <c r="B45" i="15" s="1"/>
  <c r="B46" i="15" s="1"/>
  <c r="B19" i="1"/>
  <c r="B20" i="1" l="1"/>
  <c r="B50" i="15"/>
  <c r="B55" i="15" s="1"/>
  <c r="B57" i="15" s="1"/>
  <c r="B59" i="15" s="1"/>
  <c r="B62" i="15" l="1"/>
  <c r="B21" i="1"/>
</calcChain>
</file>

<file path=xl/sharedStrings.xml><?xml version="1.0" encoding="utf-8"?>
<sst xmlns="http://schemas.openxmlformats.org/spreadsheetml/2006/main" count="1020" uniqueCount="562">
  <si>
    <t>Indexes</t>
  </si>
  <si>
    <t>BIOGEN INC. AND SUBSIDIARIES CONSOLIDATED STATEMENTS OF INCOME
 (In millions, except per share amounts)</t>
  </si>
  <si>
    <t>Outputs</t>
  </si>
  <si>
    <t>Default spread</t>
  </si>
  <si>
    <t>Revenues:</t>
  </si>
  <si>
    <t>Product, net</t>
  </si>
  <si>
    <t xml:space="preserve"> As of March 31,                2020</t>
  </si>
  <si>
    <t>Risk free rate</t>
  </si>
  <si>
    <t>As of March 31,
               2019               </t>
  </si>
  <si>
    <t>CRP</t>
  </si>
  <si>
    <t>As of December 31, 2019</t>
  </si>
  <si>
    <t>Revenues from anti-CD20 therapeutic programs Other</t>
  </si>
  <si>
    <t>Equity risk premium</t>
  </si>
  <si>
    <t>LAST TTM</t>
  </si>
  <si>
    <t xml:space="preserve">Biogen Beta levered </t>
  </si>
  <si>
    <t>Biogen beta unlevered</t>
  </si>
  <si>
    <t>Market value of equity in MLN</t>
  </si>
  <si>
    <t xml:space="preserve">Other </t>
  </si>
  <si>
    <t>Total revenues</t>
  </si>
  <si>
    <t>Market value of debt in MLN</t>
  </si>
  <si>
    <t>WACC</t>
  </si>
  <si>
    <t>Free cash flow to the Firm</t>
  </si>
  <si>
    <t>Free cash flow to the Equity</t>
  </si>
  <si>
    <t>Revenues from anti-CD20 therapeutic programs</t>
  </si>
  <si>
    <t>Adj ROC</t>
  </si>
  <si>
    <t>Adj ROE</t>
  </si>
  <si>
    <t>Other</t>
  </si>
  <si>
    <t>gOI</t>
  </si>
  <si>
    <t>gNI</t>
  </si>
  <si>
    <t>gStable</t>
  </si>
  <si>
    <t>TV Equity side valuation</t>
  </si>
  <si>
    <t>Value of Equity</t>
  </si>
  <si>
    <t>Value per share</t>
  </si>
  <si>
    <t>Cost and expenses:</t>
  </si>
  <si>
    <t xml:space="preserve">Cost of sales, excluding amortization and impairment of acquired intangible assets </t>
  </si>
  <si>
    <t>Cost of sales, excluding amortization and impairment of acquired intangible assets</t>
  </si>
  <si>
    <t>Research and development</t>
  </si>
  <si>
    <t>Selling, general and administrative</t>
  </si>
  <si>
    <t xml:space="preserve">Amortization and impairment of acquired intangible assets </t>
  </si>
  <si>
    <t>Collaboration profit (loss) sharing</t>
  </si>
  <si>
    <t xml:space="preserve">Loss on divestiture of Hillerød, Denmark manufacturing operations </t>
  </si>
  <si>
    <t>BIOGEN INC. AND SUBSIDIARIES CONSOLIDATED BALANCE SHEETS
 (In millions, except per share amounts)</t>
  </si>
  <si>
    <t>—</t>
  </si>
  <si>
    <t>Amortization and impairment of acquired intangible assets</t>
  </si>
  <si>
    <t>(Gain) loss on fair value remeasurement of contingent consideration</t>
  </si>
  <si>
    <t>Acquired in-process research and development</t>
  </si>
  <si>
    <t>Restructuring charges</t>
  </si>
  <si>
    <t>Total cost and expenses</t>
  </si>
  <si>
    <t>Loss on divestiture of Hillerød, Denmark manufacturing operations</t>
  </si>
  <si>
    <t xml:space="preserve">Income from operations </t>
  </si>
  <si>
    <t>As of December 31,</t>
  </si>
  <si>
    <t>Other income (expense), net</t>
  </si>
  <si>
    <t>Income before income tax expense and equity in loss of investee, net of tax</t>
  </si>
  <si>
    <t>ASSETS</t>
  </si>
  <si>
    <t>Income tax expense</t>
  </si>
  <si>
    <t>Equity in loss of investee, net of tax</t>
  </si>
  <si>
    <t>Net income</t>
  </si>
  <si>
    <t>Net income (loss) attributable to noncontrolling interests, net of tax</t>
  </si>
  <si>
    <t>Net income attributable to Biogen Inc.</t>
  </si>
  <si>
    <t>Net income per share:</t>
  </si>
  <si>
    <t>Income from operations</t>
  </si>
  <si>
    <t>Basic earnings per share attributable to Biogen Inc.</t>
  </si>
  <si>
    <t>Current assets:</t>
  </si>
  <si>
    <t>Diluted earnings per share attributable to Biogen Inc.</t>
  </si>
  <si>
    <t>Weighted-average shares used in calculating:</t>
  </si>
  <si>
    <t>Cash and cash equivalents</t>
  </si>
  <si>
    <t>Basic earnings per share attributable to Biogen Inc</t>
  </si>
  <si>
    <t>Other comprehensive income:</t>
  </si>
  <si>
    <t>Unrealized gains (losses) on securities available for sale:</t>
  </si>
  <si>
    <t>Marketable securities</t>
  </si>
  <si>
    <t>Unrealized gains (losses) recognized during the period, net of tax</t>
  </si>
  <si>
    <t>Accounts receivable, net</t>
  </si>
  <si>
    <t>Less: reclassification adjustment for (gains) losses included in net income, net of tax</t>
  </si>
  <si>
    <t>Due from anti-CD20 therapeutic programs</t>
  </si>
  <si>
    <t xml:space="preserve">Unrealized gains (losses) on securities available for sale, net of tax </t>
  </si>
  <si>
    <t xml:space="preserve">
</t>
  </si>
  <si>
    <t>Inventory</t>
  </si>
  <si>
    <t>Unrealized gains (losses) on cash flow hedges:</t>
  </si>
  <si>
    <t>Other current assets</t>
  </si>
  <si>
    <t>Total current assets</t>
  </si>
  <si>
    <t>Unrealized gains (losses) on cash flow hedges, net of tax</t>
  </si>
  <si>
    <t>Gains (losses) on net investment hedges:</t>
  </si>
  <si>
    <t>Gains (losses) recognized during the period, net of tax</t>
  </si>
  <si>
    <t xml:space="preserve">Property, plant and equipment, net </t>
  </si>
  <si>
    <t>Gains (losses) on net investment hedges, net of tax</t>
  </si>
  <si>
    <t>Operating lease assets</t>
  </si>
  <si>
    <t>Unrealized gains (losses) on pension benefit obligation, net of tax</t>
  </si>
  <si>
    <t>Intangible assets, net</t>
  </si>
  <si>
    <t>Currency translation adjustment</t>
  </si>
  <si>
    <t>1,399.1</t>
  </si>
  <si>
    <t>Goodwill</t>
  </si>
  <si>
    <t>Total other comprehensive income (loss), net of tax</t>
  </si>
  <si>
    <t>Deferred tax asset</t>
  </si>
  <si>
    <t>Comprehensive income attributable to Biogen Inc.</t>
  </si>
  <si>
    <t>Investments and other assets</t>
  </si>
  <si>
    <t>Comprehensive income (loss) attributable to noncontrolling interests, net of tax</t>
  </si>
  <si>
    <t>Total assets</t>
  </si>
  <si>
    <t>Comprehensive income</t>
  </si>
  <si>
    <t>LIABILITIES AND EQUITY</t>
  </si>
  <si>
    <t>Current liabilities:
 Current portion of notes payable</t>
  </si>
  <si>
    <t>Taxes payable</t>
  </si>
  <si>
    <t>Accounts payable</t>
  </si>
  <si>
    <t>Accrued expenses and other</t>
  </si>
  <si>
    <t>Total current liabilities</t>
  </si>
  <si>
    <t xml:space="preserve">
 </t>
  </si>
  <si>
    <t>Notes payable</t>
  </si>
  <si>
    <t xml:space="preserve">Deferred tax liability
 </t>
  </si>
  <si>
    <t>Long-term operating lease liabilities</t>
  </si>
  <si>
    <t>Other long-term liabilities</t>
  </si>
  <si>
    <t>Total liabilities</t>
  </si>
  <si>
    <t>BIOGEN INC. AND SUBSIDIARIES CONSOLIDATED STATEMENTS OF CASH FLOWS
 (In millions)</t>
  </si>
  <si>
    <t xml:space="preserve">Commitments and contingencies 
 </t>
  </si>
  <si>
    <t>Equity:</t>
  </si>
  <si>
    <t>Biogen Inc. shareholders’ equity</t>
  </si>
  <si>
    <t>Cash flows from operating activities:</t>
  </si>
  <si>
    <t>Preferred stock, par value $0.001 per share</t>
  </si>
  <si>
    <t xml:space="preserve">Common stock, par value $0.0005 per share 
</t>
  </si>
  <si>
    <t xml:space="preserve">
</t>
  </si>
  <si>
    <t>Additional paid-in capital</t>
  </si>
  <si>
    <t>Accumulated other comprehensive loss</t>
  </si>
  <si>
    <t>Retained earnings</t>
  </si>
  <si>
    <t>Treasury stock, at cost; 23.8 million and 23.8 million shares, respectively</t>
  </si>
  <si>
    <t>Total Biogen Inc. shareholders’ equity</t>
  </si>
  <si>
    <t>$ 3.593,20</t>
  </si>
  <si>
    <t>Noncontrolling interests</t>
  </si>
  <si>
    <t>Total equity</t>
  </si>
  <si>
    <t>Adjustments to reconcile net income to net cash flows from operating activities:</t>
  </si>
  <si>
    <t>Total liabilities and equity</t>
  </si>
  <si>
    <t>As of March 31,</t>
  </si>
  <si>
    <t>Depreciation, amortization and impairments</t>
  </si>
  <si>
    <t>Cash, cash equivalents and marketable securities</t>
  </si>
  <si>
    <t>Share-based compensation</t>
  </si>
  <si>
    <t>Deferred income taxes</t>
  </si>
  <si>
    <t>Contingent consideration</t>
  </si>
  <si>
    <t>Property, plant and equipment, net</t>
  </si>
  <si>
    <t>Default spread US</t>
  </si>
  <si>
    <t>Risk free rate US</t>
  </si>
  <si>
    <t>TOTAL ASSETS</t>
  </si>
  <si>
    <t>Current portion of notes payable</t>
  </si>
  <si>
    <t>Changes in operating assets and liabilities, net:</t>
  </si>
  <si>
    <t>ERP</t>
  </si>
  <si>
    <t>Other current liabilities</t>
  </si>
  <si>
    <t>Accounts receivable</t>
  </si>
  <si>
    <t xml:space="preserve">Due from anti-CD20 therapeutic programs </t>
  </si>
  <si>
    <t>Country</t>
  </si>
  <si>
    <t>Revenues (2019)</t>
  </si>
  <si>
    <t>%</t>
  </si>
  <si>
    <t>% CRP of Revenue</t>
  </si>
  <si>
    <t>U.S.</t>
  </si>
  <si>
    <t>Other assets:</t>
  </si>
  <si>
    <t>Accrued expenses and other current liabilities</t>
  </si>
  <si>
    <t>Western Europe</t>
  </si>
  <si>
    <t>Income tax assets and liabilities</t>
  </si>
  <si>
    <t>Other liabilities</t>
  </si>
  <si>
    <t>Equity</t>
  </si>
  <si>
    <t>Net cash flows provided by operating activities</t>
  </si>
  <si>
    <t>TOTAL LIABILITIES AND EQUITY</t>
  </si>
  <si>
    <t>Japan</t>
  </si>
  <si>
    <t>CONDENSED CONSOLIDATED STATEMENTS OF CASH FLOWS
 (unaudited, in millions)</t>
  </si>
  <si>
    <t>Cash flows from investing activities:</t>
  </si>
  <si>
    <t>Proceeds from sales and maturities of marketable securities</t>
  </si>
  <si>
    <t>Purchases of marketable securities</t>
  </si>
  <si>
    <t>Contingent consideration related to Fumapharm AG acquisition</t>
  </si>
  <si>
    <t>Acquisition of Nightstar Therapeutics plc, net of cash acquired</t>
  </si>
  <si>
    <t>Proceeds from divestiture of Hillerød, Denmark manufacturing operations</t>
  </si>
  <si>
    <t>Total Revenues</t>
  </si>
  <si>
    <t xml:space="preserve">Acquisitions of businesses, net of cash acquired </t>
  </si>
  <si>
    <t xml:space="preserve">LAST TTM </t>
  </si>
  <si>
    <t>Purchases of property, plant and equipment</t>
  </si>
  <si>
    <t>Acquisitions of intangible assets</t>
  </si>
  <si>
    <t xml:space="preserve">Purchase of Ionis Pharmaceuticals, Inc. stock </t>
  </si>
  <si>
    <t>Investment in Samsung Bioepis</t>
  </si>
  <si>
    <t>CRP by country</t>
  </si>
  <si>
    <t>Proceeds from sales of strategic investments</t>
  </si>
  <si>
    <t>Germany</t>
  </si>
  <si>
    <t>Net cash flows provided by (used in) investing activities</t>
  </si>
  <si>
    <t>Denmark</t>
  </si>
  <si>
    <t>Italy</t>
  </si>
  <si>
    <t>Switzerland</t>
  </si>
  <si>
    <t>Cash flows from financing activities:</t>
  </si>
  <si>
    <t>French</t>
  </si>
  <si>
    <t>Average</t>
  </si>
  <si>
    <t>Purchases of treasury stock</t>
  </si>
  <si>
    <t>Payments related to issuance of stock for share-based compensation arrangements, net</t>
  </si>
  <si>
    <t>Portugal</t>
  </si>
  <si>
    <t xml:space="preserve">Spain </t>
  </si>
  <si>
    <t>Netherlands</t>
  </si>
  <si>
    <t>Average of CRP</t>
  </si>
  <si>
    <t>Proceeds from borrowings</t>
  </si>
  <si>
    <t>Repayments of borrowings</t>
  </si>
  <si>
    <t>Net cash contribution to Bioverativ, Inc.</t>
  </si>
  <si>
    <t>Contingent consideration payments</t>
  </si>
  <si>
    <t>Net cash flows used in financing activities</t>
  </si>
  <si>
    <t>Net increase (decrease) in cash and cash equivalents</t>
  </si>
  <si>
    <t>Effect of exchange rate changes on cash and cash equivalents</t>
  </si>
  <si>
    <t>Cash and cash equivalents, beginning of the year</t>
  </si>
  <si>
    <t>Unrealized (gain) loss on strategic investments</t>
  </si>
  <si>
    <t>Comparable Firms</t>
  </si>
  <si>
    <t>Loss on equity method investment</t>
  </si>
  <si>
    <t>Cash and cash equivalents, end of the year</t>
  </si>
  <si>
    <t>Historical Levered Beta</t>
  </si>
  <si>
    <t>Market D/E</t>
  </si>
  <si>
    <t>Marginal Tax Rate</t>
  </si>
  <si>
    <t>$ 2.326,50</t>
  </si>
  <si>
    <t>Amgen</t>
  </si>
  <si>
    <t>$ 1.308,00</t>
  </si>
  <si>
    <t xml:space="preserve">Accrued expenses and other current liabilities </t>
  </si>
  <si>
    <t xml:space="preserve">Gilead Sciences, Inc. </t>
  </si>
  <si>
    <t xml:space="preserve">Other changes in operating assets and liabilities, net </t>
  </si>
  <si>
    <t>Regeneron Pharmaceuticals, Inc.</t>
  </si>
  <si>
    <t>Seattle Genetics, Inc.</t>
  </si>
  <si>
    <t>Repligen Corporation</t>
  </si>
  <si>
    <t>Vertex Pharmaceuticals Incorporated</t>
  </si>
  <si>
    <t>Current accounting data</t>
  </si>
  <si>
    <t>Alnylam Pharmaceuticals, Inc.</t>
  </si>
  <si>
    <t>Value</t>
  </si>
  <si>
    <t>value</t>
  </si>
  <si>
    <t>Alexion Pharmaceuticals, Inc.</t>
  </si>
  <si>
    <t>Current EBIT</t>
  </si>
  <si>
    <t>Global Blood Therapeutics, Inc.</t>
  </si>
  <si>
    <t>UroGen Pharma Ltd.</t>
  </si>
  <si>
    <t>Contingent consideration paid related to Fumapharm AG acquisition</t>
  </si>
  <si>
    <t>AbbVie Inc.</t>
  </si>
  <si>
    <t>-</t>
  </si>
  <si>
    <t>Current interest expenses</t>
  </si>
  <si>
    <t>Abeona Therapeutics Inc.</t>
  </si>
  <si>
    <t>Proceeds from divestiture of Hillerød, Denmark manufacturing oper.</t>
  </si>
  <si>
    <t>ACADIA Pharmaceuticals Inc</t>
  </si>
  <si>
    <t>Marginal tax rate</t>
  </si>
  <si>
    <t>Xencor, Inc.</t>
  </si>
  <si>
    <t>Current leasing expenses</t>
  </si>
  <si>
    <t>Bellicum Pharmaceuticals, Inc.</t>
  </si>
  <si>
    <t>Flexion Therapeutics, Inc.</t>
  </si>
  <si>
    <t>Book value of debt</t>
  </si>
  <si>
    <t>Jounce Therapeutics, Inc.</t>
  </si>
  <si>
    <t>XOMA Corporation</t>
  </si>
  <si>
    <t>Net cash flows provided by investing activities</t>
  </si>
  <si>
    <t>For developed market firms with market cap &gt; $5 billion</t>
  </si>
  <si>
    <t>AquaBounty Technologies, Inc.</t>
  </si>
  <si>
    <t>Calithera Biosciences, Inc.</t>
  </si>
  <si>
    <t>Editas Medicine, Inc.</t>
  </si>
  <si>
    <t>If interest coverage ratio is</t>
  </si>
  <si>
    <t>Palatin Technologies, Inc.</t>
  </si>
  <si>
    <t>Bio-Path Holdings, Inc.</t>
  </si>
  <si>
    <t>Modified interest coverage ratio</t>
  </si>
  <si>
    <t>DiaMedica Therapeutics Inc.</t>
  </si>
  <si>
    <t>Orgenesis Inc.</t>
  </si>
  <si>
    <t>&gt;</t>
  </si>
  <si>
    <t>Organovo Holdings, Inc.</t>
  </si>
  <si>
    <t>≤ to</t>
  </si>
  <si>
    <t>Rating is</t>
  </si>
  <si>
    <t>Spread is</t>
  </si>
  <si>
    <t>Associated default spread</t>
  </si>
  <si>
    <t>Aeglea BioTherapeutics, Inc.</t>
  </si>
  <si>
    <t>Eiger BioPharmaceuticals, Inc.</t>
  </si>
  <si>
    <t>Novavax, Inc.</t>
  </si>
  <si>
    <t>ZIOPHARM Oncology, Inc.</t>
  </si>
  <si>
    <t>Aaa/AAA</t>
  </si>
  <si>
    <t>Fate Therapeutics, Inc.</t>
  </si>
  <si>
    <t>Pre-tax Kd</t>
  </si>
  <si>
    <t>Zafgen, Inc.</t>
  </si>
  <si>
    <t>6.5</t>
  </si>
  <si>
    <t>Calyxt, Inc.</t>
  </si>
  <si>
    <t>Aa2/AA</t>
  </si>
  <si>
    <t>Cash and cash equivalents, beginning of the period</t>
  </si>
  <si>
    <t>Galectin Therapeutics, Inc.</t>
  </si>
  <si>
    <t>After-tax Kd</t>
  </si>
  <si>
    <t>Yield10 Bioscience, Inc.</t>
  </si>
  <si>
    <t xml:space="preserve">Cash and cash equivalents, end of the period </t>
  </si>
  <si>
    <t>5.5</t>
  </si>
  <si>
    <t>A1/A+</t>
  </si>
  <si>
    <t>XBiotech Inc.</t>
  </si>
  <si>
    <t>Voyager Therapeutics, Inc.</t>
  </si>
  <si>
    <t>A2/A</t>
  </si>
  <si>
    <t>A3/A-</t>
  </si>
  <si>
    <t>VistaGen Therapeutics, Inc.</t>
  </si>
  <si>
    <t>Year</t>
  </si>
  <si>
    <t>Future leases commitment</t>
  </si>
  <si>
    <t>2.5</t>
  </si>
  <si>
    <t>DelMar Pharmaceuticals, Inc.</t>
  </si>
  <si>
    <t>Baa2/BBB</t>
  </si>
  <si>
    <t>Ba1/BB+</t>
  </si>
  <si>
    <t>Viking Therapeutics, Inc.</t>
  </si>
  <si>
    <t>Ba2/BB</t>
  </si>
  <si>
    <t>Celcuity Inc.</t>
  </si>
  <si>
    <t>B1/B+</t>
  </si>
  <si>
    <t>MacroGenics, Inc.</t>
  </si>
  <si>
    <t>1.5</t>
  </si>
  <si>
    <t>B2/B</t>
  </si>
  <si>
    <t>Acorda Therapeutics, Inc.</t>
  </si>
  <si>
    <t>B3/B-</t>
  </si>
  <si>
    <t>Vericel Corporation</t>
  </si>
  <si>
    <t>After</t>
  </si>
  <si>
    <t>0.8</t>
  </si>
  <si>
    <t>Caa/CCC</t>
  </si>
  <si>
    <t>Verastem, Inc.</t>
  </si>
  <si>
    <t>Ca2/CC</t>
  </si>
  <si>
    <t>8.,64%</t>
  </si>
  <si>
    <t>ChemoCentryx, Inc.</t>
  </si>
  <si>
    <t>Avarage yearly lease commit.</t>
  </si>
  <si>
    <t>Merrimack Pharmaceuticals, Inc.</t>
  </si>
  <si>
    <t>0.2</t>
  </si>
  <si>
    <t>C2/C</t>
  </si>
  <si>
    <t>From 2020 to 2024</t>
  </si>
  <si>
    <t>Concert Pharmaceuticals, Inc.</t>
  </si>
  <si>
    <t>D2/D</t>
  </si>
  <si>
    <t>Since we have a value of 158,3 we need to add (158,3/77,26) = 2 years approximated</t>
  </si>
  <si>
    <t>Emergent BioSolutions Inc.</t>
  </si>
  <si>
    <t>Heat Biologics, Inc.</t>
  </si>
  <si>
    <t>Beta levered</t>
  </si>
  <si>
    <t>Veracyte, Inc.</t>
  </si>
  <si>
    <t>Average%</t>
  </si>
  <si>
    <t>Cost of equity</t>
  </si>
  <si>
    <t>Future leases commit.</t>
  </si>
  <si>
    <t>Biogen%</t>
  </si>
  <si>
    <t>Discount rate</t>
  </si>
  <si>
    <t>Market value of equity</t>
  </si>
  <si>
    <t>Present value of lease</t>
  </si>
  <si>
    <t>After-tax Cost of debt</t>
  </si>
  <si>
    <t>Market value of debt</t>
  </si>
  <si>
    <t>Biogen</t>
  </si>
  <si>
    <t>R&amp;D exp.</t>
  </si>
  <si>
    <t>Accumulated Dep. 31/12/19</t>
  </si>
  <si>
    <t>Unamortized Portion 31/12/2019</t>
  </si>
  <si>
    <t>Amortization 31/12/19</t>
  </si>
  <si>
    <t>Adjusted EBIT</t>
  </si>
  <si>
    <t>2019 (TTM)</t>
  </si>
  <si>
    <t>Current leasing expences</t>
  </si>
  <si>
    <t>Current year amortization</t>
  </si>
  <si>
    <t>Adjusted Mkt value debt</t>
  </si>
  <si>
    <t>Datas taken from the company's Annual report of the last 10 Years</t>
  </si>
  <si>
    <t>Interest expence</t>
  </si>
  <si>
    <t>Maturity</t>
  </si>
  <si>
    <t>Long-term debt</t>
  </si>
  <si>
    <t>Senior notes due 2022</t>
  </si>
  <si>
    <t xml:space="preserve">Acquisitions of intangible assets </t>
  </si>
  <si>
    <t>Senior notes due 2025</t>
  </si>
  <si>
    <t>Senior notes due 2045</t>
  </si>
  <si>
    <t>R&amp;D Expenses</t>
  </si>
  <si>
    <t>Years</t>
  </si>
  <si>
    <t>Operating Income</t>
  </si>
  <si>
    <t>Debt</t>
  </si>
  <si>
    <t>Net Income</t>
  </si>
  <si>
    <t>W.A. Maturity</t>
  </si>
  <si>
    <t>Acquired in process, research &amp; development</t>
  </si>
  <si>
    <t>BV Equity</t>
  </si>
  <si>
    <t>BV Capital</t>
  </si>
  <si>
    <t>D&amp;A</t>
  </si>
  <si>
    <t>ADJ Operating Income</t>
  </si>
  <si>
    <t>R&amp;D</t>
  </si>
  <si>
    <t>Fumapharm AG acquisition</t>
  </si>
  <si>
    <t>Interest expense</t>
  </si>
  <si>
    <t>ADJ Net Income</t>
  </si>
  <si>
    <t>Pv of debt</t>
  </si>
  <si>
    <t>Acquisition of Nightstar Therapeutics</t>
  </si>
  <si>
    <t>ADJ BV Equity</t>
  </si>
  <si>
    <t>ADJ BV Capital</t>
  </si>
  <si>
    <t>CAPEX</t>
  </si>
  <si>
    <t>Acquisition</t>
  </si>
  <si>
    <t>TOTAL mkt value of equity</t>
  </si>
  <si>
    <t>2019 (current)</t>
  </si>
  <si>
    <t>Datas taken from the company's Balance Sheet of the last 6 Years</t>
  </si>
  <si>
    <t>Damodaran website's value</t>
  </si>
  <si>
    <t>Mkt value of debt</t>
  </si>
  <si>
    <t>Non-cash WC/ Sales (industry)</t>
  </si>
  <si>
    <t>Account receivables</t>
  </si>
  <si>
    <t>PV operating leasing</t>
  </si>
  <si>
    <t>Account payables</t>
  </si>
  <si>
    <t>NET CAPEX</t>
  </si>
  <si>
    <t>TOTAL mkt value of debt</t>
  </si>
  <si>
    <t>Adjusted CAPEX</t>
  </si>
  <si>
    <t>Adjusted D&amp;A</t>
  </si>
  <si>
    <t>Adjusted NET CAPEX</t>
  </si>
  <si>
    <t>His.Average</t>
  </si>
  <si>
    <t>Ch. Receivables</t>
  </si>
  <si>
    <t>Ch. Inventory</t>
  </si>
  <si>
    <t>Ch. Payables</t>
  </si>
  <si>
    <t>Ch. NonCash WC</t>
  </si>
  <si>
    <t>F.Revenues</t>
  </si>
  <si>
    <t>WC as % of revenues</t>
  </si>
  <si>
    <t>WC as % of revenues (average)</t>
  </si>
  <si>
    <t>Adj.  Capex</t>
  </si>
  <si>
    <t>WC as % of revenues (Industry)</t>
  </si>
  <si>
    <t>+Capex</t>
  </si>
  <si>
    <t>+ Acquisition</t>
  </si>
  <si>
    <t>-D&amp;A</t>
  </si>
  <si>
    <t>+Ch.WC</t>
  </si>
  <si>
    <t>Reinvestment Needs</t>
  </si>
  <si>
    <t>Op. income</t>
  </si>
  <si>
    <t>Tax rate</t>
  </si>
  <si>
    <t>Reinvestment Rate</t>
  </si>
  <si>
    <t>Adj. Op. income</t>
  </si>
  <si>
    <t>* 1-Reinvestment Rate</t>
  </si>
  <si>
    <t>FCFF</t>
  </si>
  <si>
    <t>Long term debt</t>
  </si>
  <si>
    <t>Mkt value of equity</t>
  </si>
  <si>
    <t>DR</t>
  </si>
  <si>
    <t>SAMPLE OF COMPANIES</t>
  </si>
  <si>
    <t>INDUSTRY</t>
  </si>
  <si>
    <t>COMPANY</t>
  </si>
  <si>
    <t>Beta</t>
  </si>
  <si>
    <t>P/Eps ratio ttm</t>
  </si>
  <si>
    <t>Payout ratio</t>
  </si>
  <si>
    <t>Exp growth rate (5years)</t>
  </si>
  <si>
    <t xml:space="preserve">St. deviation eps </t>
  </si>
  <si>
    <t>ROE</t>
  </si>
  <si>
    <t>Price/Book ratio</t>
  </si>
  <si>
    <t>Price/Sales ttm</t>
  </si>
  <si>
    <t>Debt (in million)</t>
  </si>
  <si>
    <t>D/E ratio</t>
  </si>
  <si>
    <t>Equity reinv. Need</t>
  </si>
  <si>
    <t>BV equity</t>
  </si>
  <si>
    <t>Equity Reinvestment Needs</t>
  </si>
  <si>
    <t>Adj. ROC</t>
  </si>
  <si>
    <t>Drugs (Biotechnology)</t>
  </si>
  <si>
    <t>18.6</t>
  </si>
  <si>
    <t>Debt/Capital</t>
  </si>
  <si>
    <t>FCFE</t>
  </si>
  <si>
    <t>BV debt</t>
  </si>
  <si>
    <t>Gilead Sciences, Inc.</t>
  </si>
  <si>
    <t>Growth O.I.</t>
  </si>
  <si>
    <t>1.4</t>
  </si>
  <si>
    <t>Equity Reinv. Rate</t>
  </si>
  <si>
    <t>R&amp;D asset</t>
  </si>
  <si>
    <t>48.4</t>
  </si>
  <si>
    <t>Adj. ROE</t>
  </si>
  <si>
    <t>ROC</t>
  </si>
  <si>
    <t>Growth N.I.</t>
  </si>
  <si>
    <t>30441.0</t>
  </si>
  <si>
    <t>ROC decomposition</t>
  </si>
  <si>
    <t>ROE decomposition</t>
  </si>
  <si>
    <t>Return On Sales (ROS)</t>
  </si>
  <si>
    <t>Aftertax Op. income</t>
  </si>
  <si>
    <t>1+D/E</t>
  </si>
  <si>
    <t>Sales</t>
  </si>
  <si>
    <t>IC</t>
  </si>
  <si>
    <t>Sales to Capital ratio</t>
  </si>
  <si>
    <t>1+NI/Fin. Exp.</t>
  </si>
  <si>
    <t>Aftertax Op. Inc.</t>
  </si>
  <si>
    <t>HIGH-GROWTH PERIOD</t>
  </si>
  <si>
    <t>Stable-Growth Input</t>
  </si>
  <si>
    <t>Exp. Growth</t>
  </si>
  <si>
    <t>Stable-Growth Rate</t>
  </si>
  <si>
    <t>EBIT (1-tax rate)</t>
  </si>
  <si>
    <t>2.9</t>
  </si>
  <si>
    <t>Ke</t>
  </si>
  <si>
    <t>Wacc</t>
  </si>
  <si>
    <t>0.4</t>
  </si>
  <si>
    <t>29.7</t>
  </si>
  <si>
    <t>81.6</t>
  </si>
  <si>
    <t>Stable ROC</t>
  </si>
  <si>
    <t>PV FCFF</t>
  </si>
  <si>
    <t>Stable ROE</t>
  </si>
  <si>
    <t>Sum of PV FCFF</t>
  </si>
  <si>
    <t>Reinvestment rate</t>
  </si>
  <si>
    <t>TV</t>
  </si>
  <si>
    <t>827.3</t>
  </si>
  <si>
    <t>Equity Reinvestment Rate</t>
  </si>
  <si>
    <t>PV of TV</t>
  </si>
  <si>
    <t>EBIT (1-tax rate) year 6</t>
  </si>
  <si>
    <t>Drugs (Pharmaceutical)</t>
  </si>
  <si>
    <t xml:space="preserve">Notis Global, Inc. </t>
  </si>
  <si>
    <t>-0.5</t>
  </si>
  <si>
    <t>Value of Operating asset</t>
  </si>
  <si>
    <t xml:space="preserve">Rock Creek Pharmaceuticals, Inc. </t>
  </si>
  <si>
    <t>FCFF in year 6</t>
  </si>
  <si>
    <t xml:space="preserve">American Green, Inc. </t>
  </si>
  <si>
    <t>Net income year 6</t>
  </si>
  <si>
    <t xml:space="preserve">Onconova Therapeutics, Inc. </t>
  </si>
  <si>
    <t>FCFFE in year 6</t>
  </si>
  <si>
    <t xml:space="preserve">Gala Pharmaceutical, Inc. </t>
  </si>
  <si>
    <t xml:space="preserve">Petlife Pharmaceuticals, Inc. </t>
  </si>
  <si>
    <t>Exp Growth</t>
  </si>
  <si>
    <t>Tetraphase Pharmaceuticals, Inc.</t>
  </si>
  <si>
    <t>Hepion Pharmaceuticals, Inc.</t>
  </si>
  <si>
    <t>1.6</t>
  </si>
  <si>
    <t xml:space="preserve">Spotlight Innovation Inc. </t>
  </si>
  <si>
    <t>Equity reinv. Rate</t>
  </si>
  <si>
    <t>Aeolus Pharmaceuticals, Inc.</t>
  </si>
  <si>
    <t xml:space="preserve">Titan Pharmaceuticals, Inc. </t>
  </si>
  <si>
    <t xml:space="preserve">BioPharmX Corporation </t>
  </si>
  <si>
    <t>PV FCFE</t>
  </si>
  <si>
    <t xml:space="preserve">RespireRx Pharmaceuticals Inc. </t>
  </si>
  <si>
    <t>Sum of PV FCFE</t>
  </si>
  <si>
    <t xml:space="preserve">Aradigm Corporation </t>
  </si>
  <si>
    <t>New sample of companies added, but nobody of these have a values of P/E ratio</t>
  </si>
  <si>
    <t>Syros Pharmaceuticals, Inc.</t>
  </si>
  <si>
    <t>Equity side Valuation</t>
  </si>
  <si>
    <t>Value of Equity (enterprise value)</t>
  </si>
  <si>
    <t xml:space="preserve">T2 Biosystems, Inc. </t>
  </si>
  <si>
    <t xml:space="preserve">Tauriga Sciences, Inc. </t>
  </si>
  <si>
    <t>Noncontrolling interest</t>
  </si>
  <si>
    <t>Synthetic Biologics, Inc.</t>
  </si>
  <si>
    <t>+Cash &amp; cash equivalent</t>
  </si>
  <si>
    <t xml:space="preserve">Synthorx, Inc. </t>
  </si>
  <si>
    <t>Price to book ratio</t>
  </si>
  <si>
    <t xml:space="preserve">Syros Pharmaceuticals, Inc. </t>
  </si>
  <si>
    <t>+Marketable securities</t>
  </si>
  <si>
    <t xml:space="preserve">Taxus Cardium Pharmaceuticals Group, Inc. </t>
  </si>
  <si>
    <t xml:space="preserve">TCR2 Therapeutics Inc. </t>
  </si>
  <si>
    <t>-Noncontrolling interest</t>
  </si>
  <si>
    <t>Teligent, Inc.</t>
  </si>
  <si>
    <t xml:space="preserve">Tenax Therapeutics, Inc. </t>
  </si>
  <si>
    <t>+Investments in other asset</t>
  </si>
  <si>
    <t xml:space="preserve">Tengion, Inc. </t>
  </si>
  <si>
    <t>Value of Firm</t>
  </si>
  <si>
    <t xml:space="preserve">TetraLogic Pharmaceuticals Corporation </t>
  </si>
  <si>
    <t xml:space="preserve">TG Therapeutics, Inc. </t>
  </si>
  <si>
    <t>-Mkt value of debt</t>
  </si>
  <si>
    <t xml:space="preserve">Tonix Pharmaceuticals Holding Corp. </t>
  </si>
  <si>
    <t>Investments in other asset</t>
  </si>
  <si>
    <t xml:space="preserve">TRACON Pharmaceuticals, Inc. </t>
  </si>
  <si>
    <t>Value of equity</t>
  </si>
  <si>
    <t xml:space="preserve">Translate Bio, Inc. </t>
  </si>
  <si>
    <t>Price to book ratio_ind</t>
  </si>
  <si>
    <t xml:space="preserve">Trevena, Inc. </t>
  </si>
  <si>
    <t>/ #share</t>
  </si>
  <si>
    <t>Mkt value of investments</t>
  </si>
  <si>
    <t xml:space="preserve">TrovaGene, Inc. </t>
  </si>
  <si>
    <t>Turning Point Therapeutics, Inc.</t>
  </si>
  <si>
    <t>Twist Bioscience Corporation</t>
  </si>
  <si>
    <t xml:space="preserve">U.S. Stem Cell, Inc. </t>
  </si>
  <si>
    <t xml:space="preserve">Ultragenyx Pharmaceutical Inc. </t>
  </si>
  <si>
    <t xml:space="preserve">United Therapeutics Corporation </t>
  </si>
  <si>
    <t xml:space="preserve">Unity Biotechnology, Inc. </t>
  </si>
  <si>
    <t>Current stock price</t>
  </si>
  <si>
    <t>Unum Therapeutics Inc.</t>
  </si>
  <si>
    <t>USA Equities Corp.</t>
  </si>
  <si>
    <t xml:space="preserve">Vaccinex, Inc. </t>
  </si>
  <si>
    <t>Vanda Pharmaceuticals Inc.</t>
  </si>
  <si>
    <t xml:space="preserve">Vaxart, Inc. </t>
  </si>
  <si>
    <t xml:space="preserve">VBI Vaccines Inc. </t>
  </si>
  <si>
    <t>VIA Pharmaceuticals, Inc.</t>
  </si>
  <si>
    <t xml:space="preserve">Viela Bio, Inc. </t>
  </si>
  <si>
    <t xml:space="preserve">Viropro Inc. </t>
  </si>
  <si>
    <t>Vitro Diagnostics, Inc.</t>
  </si>
  <si>
    <t xml:space="preserve">vTv Therapeutics Inc. </t>
  </si>
  <si>
    <t xml:space="preserve">Windtree Therapeutics, Inc. </t>
  </si>
  <si>
    <t>X4 Pharmaceuticals, Inc.</t>
  </si>
  <si>
    <t>Xeno Transplants Corporation</t>
  </si>
  <si>
    <t xml:space="preserve">Y-mAbs Therapeutics, Inc. </t>
  </si>
  <si>
    <t>BIOGEN INC. AND SUBSIDIARIES CONDENSED CONSOLIDATED STATEMENT OF INCOME (unaudited, in millions, except per share amounts)</t>
  </si>
  <si>
    <t>For the 3 Months Ended March 31</t>
  </si>
  <si>
    <r>
      <t xml:space="preserve">BIOGEN INC. AND SUBSIDIARIES CONDENSED CONSOLIDATED BALANCE SHEETS </t>
    </r>
    <r>
      <rPr>
        <b/>
        <i/>
        <sz val="11"/>
        <color rgb="FF00B0F0"/>
        <rFont val="Leelawadee UI Semilight"/>
        <family val="2"/>
      </rPr>
      <t>(unaudited, in millions)</t>
    </r>
  </si>
  <si>
    <t>For the Years Ended December 31</t>
  </si>
  <si>
    <t>As of December 31</t>
  </si>
  <si>
    <t>Net contribution (distribution) to noncontrolling interests</t>
  </si>
  <si>
    <r>
      <rPr>
        <sz val="9"/>
        <color rgb="FFFF0000"/>
        <rFont val="Arial"/>
        <family val="2"/>
      </rPr>
      <t>*</t>
    </r>
    <r>
      <rPr>
        <sz val="9"/>
        <color theme="0"/>
        <rFont val="Arial"/>
        <family val="2"/>
      </rPr>
      <t>Source: https://pages.stern.nyu.edu/~adamodar/</t>
    </r>
  </si>
  <si>
    <t>Biogen ~ Beta (Unlevered)</t>
  </si>
  <si>
    <t>Biogen ~  Beta (Levered)</t>
  </si>
  <si>
    <t>Unlevered Beta (Industry)</t>
  </si>
  <si>
    <t>Levered Beta (Industry)</t>
  </si>
  <si>
    <t>Other data</t>
  </si>
  <si>
    <t>Shares (mln)</t>
  </si>
  <si>
    <r>
      <t xml:space="preserve">Another way to calculate the </t>
    </r>
    <r>
      <rPr>
        <b/>
        <i/>
        <sz val="10"/>
        <color theme="4" tint="0.39997558519241921"/>
        <rFont val="Calibri"/>
        <family val="2"/>
      </rPr>
      <t xml:space="preserve">exact present value of debt </t>
    </r>
    <r>
      <rPr>
        <i/>
        <sz val="10"/>
        <color theme="4" tint="0.39997558519241921"/>
        <rFont val="Calibri"/>
        <family val="2"/>
      </rPr>
      <t>with more accuracy consists in not approximating the "W.A. Maturity":</t>
    </r>
  </si>
  <si>
    <t>Cash</t>
  </si>
  <si>
    <t>Terminal Value (Equity)</t>
  </si>
  <si>
    <t>Terminal Value (Asset)</t>
  </si>
  <si>
    <t>GORDON GROWTH MODEL</t>
  </si>
  <si>
    <t>Mkt value of Noncontrolling interest</t>
  </si>
  <si>
    <t>STRATEGY</t>
  </si>
  <si>
    <r>
      <rPr>
        <b/>
        <sz val="11"/>
        <color rgb="FF0070C0"/>
        <rFont val="Arial"/>
        <family val="2"/>
      </rPr>
      <t>Value per share &lt; Price, so</t>
    </r>
    <r>
      <rPr>
        <b/>
        <sz val="11"/>
        <color theme="0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BUY/HOLD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</si>
</sst>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,##0.0"/>
    <numFmt numFmtId="165" formatCode="0.0"/>
    <numFmt numFmtId="166" formatCode="0.0%"/>
    <numFmt numFmtId="167" formatCode="h\.mm"/>
    <numFmt numFmtId="168" formatCode="[h]\.mm\.ss"/>
    <numFmt numFmtId="170" formatCode="_-[$$-409]* #,##0.00_ ;_-[$$-409]* \-#,##0.00\ ;_-[$$-409]* &quot;-&quot;??_ ;_-@_ "/>
  </numFmts>
  <fonts count="92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8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color rgb="FF231F20"/>
      <name val="Arial"/>
    </font>
    <font>
      <sz val="10"/>
      <color rgb="FF231F2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rgb="FFFF0000"/>
      <name val="Calibri"/>
    </font>
    <font>
      <sz val="11"/>
      <color rgb="FFFF0000"/>
      <name val="Calibri"/>
      <family val="2"/>
      <scheme val="minor"/>
    </font>
    <font>
      <b/>
      <sz val="11"/>
      <color rgb="FFFF0000"/>
      <name val="Berlin Sans FB Dem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rgb="FFFFC000"/>
      <name val="Berlin Sans FB Demi"/>
      <family val="2"/>
    </font>
    <font>
      <b/>
      <sz val="11"/>
      <color rgb="FFFFFF00"/>
      <name val="Calibri"/>
      <family val="2"/>
    </font>
    <font>
      <sz val="11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  <font>
      <b/>
      <sz val="10"/>
      <color rgb="FFFF0000"/>
      <name val="Calibri"/>
      <family val="2"/>
      <scheme val="minor"/>
    </font>
    <font>
      <sz val="11"/>
      <color rgb="FFFFFF00"/>
      <name val="Arial"/>
      <family val="2"/>
    </font>
    <font>
      <b/>
      <sz val="11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2"/>
      <color rgb="FF00B0F0"/>
      <name val="Leelawadee UI Semilight"/>
      <family val="2"/>
    </font>
    <font>
      <b/>
      <sz val="11"/>
      <color rgb="FF00B0F0"/>
      <name val="Leelawadee UI Semilight"/>
      <family val="2"/>
    </font>
    <font>
      <b/>
      <i/>
      <sz val="11"/>
      <color rgb="FF00B0F0"/>
      <name val="Leelawadee UI Semilight"/>
      <family val="2"/>
    </font>
    <font>
      <sz val="11"/>
      <color rgb="FF00B0F0"/>
      <name val="Leelawadee UI Semilight"/>
      <family val="2"/>
    </font>
    <font>
      <b/>
      <sz val="11"/>
      <color theme="9"/>
      <name val="Arial"/>
      <family val="2"/>
    </font>
    <font>
      <b/>
      <i/>
      <sz val="11"/>
      <color theme="9"/>
      <name val="Arial"/>
      <family val="2"/>
    </font>
    <font>
      <b/>
      <sz val="12"/>
      <color rgb="FF0070C0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7"/>
      <color theme="0"/>
      <name val="Arial"/>
      <family val="2"/>
    </font>
    <font>
      <b/>
      <sz val="10"/>
      <color rgb="FF00B0F0"/>
      <name val="Leelawadee UI Semilight"/>
      <family val="2"/>
    </font>
    <font>
      <b/>
      <sz val="9"/>
      <color rgb="FFFF0000"/>
      <name val="Arial"/>
      <family val="2"/>
    </font>
    <font>
      <sz val="11"/>
      <color rgb="FFFF0000"/>
      <name val="Arial"/>
      <family val="2"/>
    </font>
    <font>
      <i/>
      <sz val="11"/>
      <color rgb="FFFFFF00"/>
      <name val="Arial"/>
      <family val="2"/>
    </font>
    <font>
      <sz val="11"/>
      <color theme="9"/>
      <name val="Arial"/>
      <family val="2"/>
    </font>
    <font>
      <b/>
      <sz val="11"/>
      <color rgb="FFFF0000"/>
      <name val="Arial"/>
      <family val="2"/>
    </font>
    <font>
      <sz val="11"/>
      <color rgb="FF00B0F0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1"/>
      <color rgb="FF00B0F0"/>
      <name val="Arial"/>
      <family val="2"/>
    </font>
    <font>
      <b/>
      <sz val="10"/>
      <color theme="8" tint="-0.249977111117893"/>
      <name val="Arial"/>
      <family val="2"/>
    </font>
    <font>
      <sz val="11"/>
      <color rgb="FFFFFF00"/>
      <name val="Calibri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  <font>
      <b/>
      <i/>
      <sz val="11"/>
      <name val="Calibri"/>
      <family val="2"/>
    </font>
    <font>
      <sz val="11"/>
      <color theme="4" tint="-0.249977111117893"/>
      <name val="Calibri"/>
      <family val="2"/>
    </font>
    <font>
      <b/>
      <sz val="11"/>
      <color theme="9"/>
      <name val="Calibri"/>
      <family val="2"/>
    </font>
    <font>
      <b/>
      <sz val="11"/>
      <color theme="4" tint="-0.249977111117893"/>
      <name val="Calibri"/>
      <family val="2"/>
    </font>
    <font>
      <b/>
      <sz val="11"/>
      <color rgb="FF00B0F0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00B050"/>
      <name val="Calibri"/>
      <family val="2"/>
    </font>
    <font>
      <b/>
      <sz val="11"/>
      <color theme="8"/>
      <name val="Calibri"/>
      <family val="2"/>
    </font>
    <font>
      <i/>
      <sz val="11"/>
      <color theme="0"/>
      <name val="Calibri"/>
      <family val="2"/>
    </font>
    <font>
      <b/>
      <sz val="11"/>
      <color theme="4"/>
      <name val="Calibri"/>
      <family val="2"/>
    </font>
    <font>
      <sz val="11"/>
      <color theme="4"/>
      <name val="Arial"/>
      <family val="2"/>
    </font>
    <font>
      <b/>
      <sz val="11"/>
      <color rgb="FFFF0000"/>
      <name val="Calibri"/>
      <family val="2"/>
    </font>
    <font>
      <b/>
      <i/>
      <sz val="11"/>
      <color rgb="FF92D050"/>
      <name val="Calibri"/>
      <family val="2"/>
    </font>
    <font>
      <b/>
      <sz val="11"/>
      <color rgb="FF92D050"/>
      <name val="Calibri"/>
      <family val="2"/>
    </font>
    <font>
      <i/>
      <sz val="10"/>
      <color theme="4" tint="0.39997558519241921"/>
      <name val="Calibri"/>
      <family val="2"/>
    </font>
    <font>
      <b/>
      <i/>
      <sz val="10"/>
      <color theme="4" tint="0.39997558519241921"/>
      <name val="Calibri"/>
      <family val="2"/>
    </font>
    <font>
      <i/>
      <sz val="11"/>
      <color rgb="FF00B050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b/>
      <sz val="12"/>
      <color rgb="FF0070C0"/>
      <name val="Calibri"/>
      <family val="2"/>
    </font>
    <font>
      <b/>
      <sz val="12"/>
      <color rgb="FF00B050"/>
      <name val="Calibri"/>
      <family val="2"/>
    </font>
    <font>
      <sz val="12"/>
      <color rgb="FFFFFF00"/>
      <name val="Calibri"/>
      <family val="2"/>
    </font>
    <font>
      <b/>
      <sz val="12"/>
      <color theme="4"/>
      <name val="Calibri"/>
      <family val="2"/>
    </font>
    <font>
      <sz val="11"/>
      <color rgb="FF00B050"/>
      <name val="Calibri"/>
      <family val="2"/>
    </font>
    <font>
      <b/>
      <sz val="12"/>
      <color rgb="FF00B0F0"/>
      <name val="Calibri"/>
      <family val="2"/>
    </font>
    <font>
      <b/>
      <sz val="12"/>
      <color rgb="FFFFFF00"/>
      <name val="Calibri"/>
      <family val="2"/>
    </font>
    <font>
      <sz val="14"/>
      <color theme="0"/>
      <name val="Calibri"/>
      <family val="2"/>
    </font>
    <font>
      <b/>
      <sz val="12"/>
      <color rgb="FF92D050"/>
      <name val="Calibri"/>
      <family val="2"/>
    </font>
    <font>
      <b/>
      <u/>
      <sz val="12"/>
      <color rgb="FF00B0F0"/>
      <name val="Calibri"/>
      <family val="2"/>
    </font>
    <font>
      <u/>
      <sz val="11"/>
      <color rgb="FF00B0F0"/>
      <name val="Arial"/>
      <family val="2"/>
    </font>
    <font>
      <sz val="12"/>
      <color rgb="FF92D050"/>
      <name val="Calibri"/>
      <family val="2"/>
    </font>
    <font>
      <i/>
      <sz val="11"/>
      <color rgb="FF7030A0"/>
      <name val="Calibri"/>
      <family val="2"/>
    </font>
    <font>
      <b/>
      <sz val="11"/>
      <color rgb="FF00B050"/>
      <name val="Arial"/>
      <family val="2"/>
    </font>
    <font>
      <sz val="11"/>
      <color rgb="FF00B050"/>
      <name val="Arial"/>
      <family val="2"/>
    </font>
    <font>
      <b/>
      <sz val="14"/>
      <color rgb="FF00B0F0"/>
      <name val="Calibri"/>
      <family val="2"/>
    </font>
    <font>
      <sz val="11"/>
      <color rgb="FFFFC000"/>
      <name val="Calibri"/>
      <family val="2"/>
    </font>
    <font>
      <sz val="11"/>
      <color rgb="FF92D050"/>
      <name val="Calibri"/>
      <family val="2"/>
    </font>
    <font>
      <sz val="11"/>
      <color rgb="FF92D050"/>
      <name val="Arial"/>
      <family val="2"/>
    </font>
    <font>
      <b/>
      <sz val="12"/>
      <color rgb="FF92D05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2E75B5"/>
      </patternFill>
    </fill>
    <fill>
      <patternFill patternType="solid">
        <fgColor theme="1" tint="4.9989318521683403E-2"/>
        <bgColor rgb="FFDEEAF6"/>
      </patternFill>
    </fill>
    <fill>
      <patternFill patternType="solid">
        <fgColor theme="1" tint="4.9989318521683403E-2"/>
        <bgColor rgb="FFBDD6EE"/>
      </patternFill>
    </fill>
    <fill>
      <patternFill patternType="solid">
        <fgColor theme="1" tint="4.9989318521683403E-2"/>
        <bgColor rgb="FF9CC2E5"/>
      </patternFill>
    </fill>
    <fill>
      <patternFill patternType="solid">
        <fgColor theme="1" tint="4.9989318521683403E-2"/>
        <bgColor theme="5"/>
      </patternFill>
    </fill>
    <fill>
      <patternFill patternType="solid">
        <fgColor theme="1" tint="4.9989318521683403E-2"/>
        <bgColor rgb="FFF6B26B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/>
      </patternFill>
    </fill>
    <fill>
      <patternFill patternType="solid">
        <fgColor theme="1"/>
        <bgColor rgb="FFBDD6EE"/>
      </patternFill>
    </fill>
    <fill>
      <patternFill patternType="solid">
        <fgColor theme="1"/>
        <bgColor rgb="FFDEEAF6"/>
      </patternFill>
    </fill>
    <fill>
      <patternFill patternType="solid">
        <fgColor theme="1"/>
        <bgColor rgb="FF1155CC"/>
      </patternFill>
    </fill>
    <fill>
      <patternFill patternType="solid">
        <fgColor theme="1"/>
        <bgColor rgb="FF6AA84F"/>
      </patternFill>
    </fill>
    <fill>
      <patternFill patternType="solid">
        <fgColor theme="1"/>
        <bgColor rgb="FFDD7E6B"/>
      </patternFill>
    </fill>
    <fill>
      <patternFill patternType="solid">
        <fgColor theme="1"/>
        <bgColor rgb="FFF4B083"/>
      </patternFill>
    </fill>
    <fill>
      <patternFill patternType="solid">
        <fgColor theme="1"/>
        <bgColor rgb="FFF7CAAC"/>
      </patternFill>
    </fill>
    <fill>
      <patternFill patternType="solid">
        <fgColor theme="1"/>
        <bgColor theme="5"/>
      </patternFill>
    </fill>
    <fill>
      <patternFill patternType="solid">
        <fgColor theme="1"/>
        <bgColor rgb="FFFBE4D5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rgb="FF5B9BD5"/>
      </patternFill>
    </fill>
    <fill>
      <patternFill patternType="solid">
        <fgColor theme="0"/>
        <bgColor rgb="FFF4CCCC"/>
      </patternFill>
    </fill>
    <fill>
      <patternFill patternType="solid">
        <fgColor theme="1"/>
        <bgColor rgb="FFF4CCCC"/>
      </patternFill>
    </fill>
    <fill>
      <patternFill patternType="solid">
        <fgColor theme="1"/>
        <bgColor rgb="FFFCE5CD"/>
      </patternFill>
    </fill>
    <fill>
      <patternFill patternType="solid">
        <fgColor theme="1"/>
        <bgColor rgb="FF2473B9"/>
      </patternFill>
    </fill>
    <fill>
      <patternFill patternType="solid">
        <fgColor theme="1"/>
        <bgColor rgb="FF2E75B5"/>
      </patternFill>
    </fill>
    <fill>
      <patternFill patternType="solid">
        <fgColor theme="1"/>
        <bgColor rgb="FF9CC2E5"/>
      </patternFill>
    </fill>
    <fill>
      <patternFill patternType="solid">
        <fgColor theme="1"/>
        <bgColor rgb="FFD8D8D8"/>
      </patternFill>
    </fill>
    <fill>
      <patternFill patternType="solid">
        <fgColor theme="1"/>
        <bgColor rgb="FFF2F2F2"/>
      </patternFill>
    </fill>
    <fill>
      <patternFill patternType="solid">
        <fgColor theme="0"/>
        <bgColor rgb="FF2E75B5"/>
      </patternFill>
    </fill>
    <fill>
      <patternFill patternType="solid">
        <fgColor theme="1"/>
        <bgColor rgb="FFE0F0FF"/>
      </patternFill>
    </fill>
  </fills>
  <borders count="91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rgb="FF5B9BD5"/>
      </left>
      <right/>
      <top style="thin">
        <color rgb="FF5B9BD5"/>
      </top>
      <bottom style="thin">
        <color rgb="FF5B9BD5"/>
      </bottom>
      <diagonal/>
    </border>
    <border>
      <left/>
      <right/>
      <top style="thin">
        <color rgb="FF5B9BD5"/>
      </top>
      <bottom style="thin">
        <color rgb="FF5B9BD5"/>
      </bottom>
      <diagonal/>
    </border>
    <border>
      <left style="thin">
        <color rgb="FF3D85C6"/>
      </left>
      <right/>
      <top style="thin">
        <color rgb="FF3D85C6"/>
      </top>
      <bottom/>
      <diagonal/>
    </border>
    <border>
      <left/>
      <right style="thin">
        <color rgb="FF5B9BD5"/>
      </right>
      <top style="thin">
        <color rgb="FF5B9BD5"/>
      </top>
      <bottom style="thin">
        <color rgb="FF5B9BD5"/>
      </bottom>
      <diagonal/>
    </border>
    <border>
      <left style="thin">
        <color rgb="FF5B9BD5"/>
      </left>
      <right/>
      <top/>
      <bottom/>
      <diagonal/>
    </border>
    <border>
      <left/>
      <right style="thin">
        <color rgb="FF5B9BD5"/>
      </right>
      <top/>
      <bottom/>
      <diagonal/>
    </border>
    <border>
      <left/>
      <right/>
      <top style="thin">
        <color rgb="FF3D85C6"/>
      </top>
      <bottom/>
      <diagonal/>
    </border>
    <border>
      <left style="thin">
        <color rgb="FF5B9BD5"/>
      </left>
      <right/>
      <top/>
      <bottom style="thin">
        <color rgb="FF5B9BD5"/>
      </bottom>
      <diagonal/>
    </border>
    <border>
      <left/>
      <right style="thin">
        <color rgb="FF3D85C6"/>
      </right>
      <top style="thin">
        <color rgb="FF3D85C6"/>
      </top>
      <bottom/>
      <diagonal/>
    </border>
    <border>
      <left/>
      <right/>
      <top/>
      <bottom style="thin">
        <color rgb="FF5B9BD5"/>
      </bottom>
      <diagonal/>
    </border>
    <border>
      <left style="thin">
        <color rgb="FF3D85C6"/>
      </left>
      <right/>
      <top/>
      <bottom/>
      <diagonal/>
    </border>
    <border>
      <left/>
      <right style="thin">
        <color rgb="FF5B9BD5"/>
      </right>
      <top/>
      <bottom style="thin">
        <color rgb="FF5B9BD5"/>
      </bottom>
      <diagonal/>
    </border>
    <border>
      <left/>
      <right/>
      <top/>
      <bottom/>
      <diagonal/>
    </border>
    <border>
      <left style="thin">
        <color rgb="FF5B9BD5"/>
      </left>
      <right/>
      <top/>
      <bottom style="thin">
        <color rgb="FF5B9BD5"/>
      </bottom>
      <diagonal/>
    </border>
    <border>
      <left/>
      <right style="thin">
        <color rgb="FF3D85C6"/>
      </right>
      <top/>
      <bottom/>
      <diagonal/>
    </border>
    <border>
      <left/>
      <right style="thin">
        <color rgb="FF5B9BD5"/>
      </right>
      <top/>
      <bottom style="thin">
        <color rgb="FF5B9BD5"/>
      </bottom>
      <diagonal/>
    </border>
    <border>
      <left style="thin">
        <color rgb="FF3D85C6"/>
      </left>
      <right style="thin">
        <color rgb="FF3D85C6"/>
      </right>
      <top style="thin">
        <color rgb="FF3D85C6"/>
      </top>
      <bottom style="thin">
        <color rgb="FF3D85C6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 style="thin">
        <color rgb="FF3D85C6"/>
      </left>
      <right/>
      <top style="thin">
        <color rgb="FF3D85C6"/>
      </top>
      <bottom style="thin">
        <color rgb="FF3D85C6"/>
      </bottom>
      <diagonal/>
    </border>
    <border>
      <left/>
      <right/>
      <top style="thin">
        <color rgb="FF3D85C6"/>
      </top>
      <bottom style="thin">
        <color rgb="FF3D85C6"/>
      </bottom>
      <diagonal/>
    </border>
    <border>
      <left/>
      <right style="thin">
        <color rgb="FF3D85C6"/>
      </right>
      <top style="thin">
        <color rgb="FF3D85C6"/>
      </top>
      <bottom style="thin">
        <color rgb="FF3D85C6"/>
      </bottom>
      <diagonal/>
    </border>
    <border>
      <left/>
      <right/>
      <top style="thin">
        <color rgb="FF5B9BD5"/>
      </top>
      <bottom style="thin">
        <color rgb="FF5B9BD5"/>
      </bottom>
      <diagonal/>
    </border>
    <border>
      <left/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 style="thin">
        <color rgb="FF5B9BD5"/>
      </left>
      <right style="thin">
        <color rgb="FF5B9BD5"/>
      </right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5B9BD5"/>
      </left>
      <right style="thin">
        <color rgb="FF5B9BD5"/>
      </right>
      <top/>
      <bottom style="thin">
        <color rgb="FF5B9BD5"/>
      </bottom>
      <diagonal/>
    </border>
    <border>
      <left/>
      <right/>
      <top/>
      <bottom style="thin">
        <color rgb="FF5B9BD5"/>
      </bottom>
      <diagonal/>
    </border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 style="thin">
        <color rgb="FF5B9BD5"/>
      </bottom>
      <diagonal/>
    </border>
    <border>
      <left style="thin">
        <color rgb="FF3D85C6"/>
      </left>
      <right/>
      <top style="thin">
        <color rgb="FF3D85C6"/>
      </top>
      <bottom style="thin">
        <color rgb="FF3D85C6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rgb="FF5B9BD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5B9BD5"/>
      </top>
      <bottom style="thin">
        <color rgb="FF5B9BD5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5B9BD5"/>
      </top>
      <bottom style="thin">
        <color rgb="FF5B9BD5"/>
      </bottom>
      <diagonal/>
    </border>
    <border>
      <left/>
      <right style="thin">
        <color rgb="FF5B9BD5"/>
      </right>
      <top style="thin">
        <color rgb="FF5B9BD5"/>
      </top>
      <bottom style="thin">
        <color rgb="FF5B9BD5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5B9BD5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rgb="FF2E75B5"/>
      </left>
      <right/>
      <top style="thin">
        <color rgb="FF2E75B5"/>
      </top>
      <bottom style="thin">
        <color rgb="FF2E75B5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rgb="FF2E75B5"/>
      </right>
      <top style="thin">
        <color rgb="FF2E75B5"/>
      </top>
      <bottom style="thin">
        <color rgb="FF2E75B5"/>
      </bottom>
      <diagonal/>
    </border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2E75B5"/>
      </bottom>
      <diagonal/>
    </border>
    <border>
      <left style="thin">
        <color rgb="FF2E75B5"/>
      </left>
      <right/>
      <top style="thin">
        <color rgb="FF2E75B5"/>
      </top>
      <bottom style="thin">
        <color rgb="FF2E75B5"/>
      </bottom>
      <diagonal/>
    </border>
    <border>
      <left/>
      <right style="thin">
        <color rgb="FF2E75B5"/>
      </right>
      <top style="thin">
        <color rgb="FF2E75B5"/>
      </top>
      <bottom style="thin">
        <color rgb="FF2E75B5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4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>
      <alignment horizontal="left" vertical="top"/>
    </xf>
    <xf numFmtId="4" fontId="0" fillId="0" borderId="0" xfId="0" applyNumberFormat="1" applyFont="1"/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right"/>
    </xf>
    <xf numFmtId="0" fontId="1" fillId="0" borderId="0" xfId="0" applyFont="1" applyAlignment="1">
      <alignment vertical="top"/>
    </xf>
    <xf numFmtId="4" fontId="1" fillId="0" borderId="0" xfId="0" applyNumberFormat="1" applyFont="1"/>
    <xf numFmtId="4" fontId="6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right"/>
    </xf>
    <xf numFmtId="164" fontId="0" fillId="0" borderId="0" xfId="0" applyNumberFormat="1" applyFont="1"/>
    <xf numFmtId="0" fontId="8" fillId="0" borderId="0" xfId="0" applyFont="1" applyAlignment="1">
      <alignment horizontal="right" vertical="top"/>
    </xf>
    <xf numFmtId="0" fontId="7" fillId="0" borderId="0" xfId="0" applyFont="1" applyAlignment="1">
      <alignment horizontal="right" vertical="top"/>
    </xf>
    <xf numFmtId="4" fontId="8" fillId="0" borderId="0" xfId="0" applyNumberFormat="1" applyFont="1" applyAlignment="1">
      <alignment horizontal="right" vertical="top"/>
    </xf>
    <xf numFmtId="4" fontId="9" fillId="0" borderId="0" xfId="0" applyNumberFormat="1" applyFont="1" applyAlignment="1">
      <alignment horizontal="center" vertical="top"/>
    </xf>
    <xf numFmtId="4" fontId="6" fillId="0" borderId="0" xfId="0" applyNumberFormat="1" applyFont="1" applyAlignment="1">
      <alignment horizontal="left" vertical="top"/>
    </xf>
    <xf numFmtId="0" fontId="1" fillId="2" borderId="35" xfId="0" applyFont="1" applyFill="1" applyBorder="1"/>
    <xf numFmtId="0" fontId="1" fillId="0" borderId="0" xfId="0" applyFont="1" applyAlignment="1">
      <alignment horizontal="center"/>
    </xf>
    <xf numFmtId="4" fontId="5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/>
    </xf>
    <xf numFmtId="10" fontId="1" fillId="0" borderId="0" xfId="0" applyNumberFormat="1" applyFont="1"/>
    <xf numFmtId="0" fontId="1" fillId="0" borderId="21" xfId="0" applyFont="1" applyBorder="1"/>
    <xf numFmtId="0" fontId="10" fillId="0" borderId="0" xfId="0" applyFont="1"/>
    <xf numFmtId="0" fontId="3" fillId="0" borderId="0" xfId="0" applyFont="1" applyAlignment="1">
      <alignment horizontal="center"/>
    </xf>
    <xf numFmtId="9" fontId="2" fillId="0" borderId="0" xfId="0" applyNumberFormat="1" applyFont="1"/>
    <xf numFmtId="0" fontId="1" fillId="0" borderId="0" xfId="0" applyFont="1" applyAlignment="1">
      <alignment wrapText="1"/>
    </xf>
    <xf numFmtId="170" fontId="1" fillId="0" borderId="0" xfId="0" applyNumberFormat="1" applyFont="1"/>
    <xf numFmtId="9" fontId="1" fillId="0" borderId="0" xfId="0" applyNumberFormat="1" applyFont="1"/>
    <xf numFmtId="0" fontId="11" fillId="0" borderId="0" xfId="0" applyFont="1"/>
    <xf numFmtId="10" fontId="15" fillId="4" borderId="0" xfId="0" applyNumberFormat="1" applyFont="1" applyFill="1" applyAlignment="1">
      <alignment horizontal="left"/>
    </xf>
    <xf numFmtId="2" fontId="15" fillId="4" borderId="0" xfId="0" applyNumberFormat="1" applyFont="1" applyFill="1" applyAlignment="1">
      <alignment horizontal="left"/>
    </xf>
    <xf numFmtId="4" fontId="15" fillId="4" borderId="0" xfId="0" applyNumberFormat="1" applyFont="1" applyFill="1" applyAlignment="1">
      <alignment horizontal="left"/>
    </xf>
    <xf numFmtId="9" fontId="15" fillId="4" borderId="0" xfId="0" applyNumberFormat="1" applyFont="1" applyFill="1" applyAlignment="1">
      <alignment horizontal="left"/>
    </xf>
    <xf numFmtId="0" fontId="16" fillId="4" borderId="0" xfId="0" applyFont="1" applyFill="1"/>
    <xf numFmtId="0" fontId="13" fillId="4" borderId="0" xfId="0" applyFont="1" applyFill="1" applyAlignment="1">
      <alignment horizontal="left"/>
    </xf>
    <xf numFmtId="0" fontId="17" fillId="4" borderId="0" xfId="0" applyFont="1" applyFill="1"/>
    <xf numFmtId="0" fontId="18" fillId="6" borderId="20" xfId="0" applyFont="1" applyFill="1" applyBorder="1"/>
    <xf numFmtId="0" fontId="18" fillId="4" borderId="24" xfId="0" applyFont="1" applyFill="1" applyBorder="1"/>
    <xf numFmtId="164" fontId="21" fillId="6" borderId="22" xfId="0" applyNumberFormat="1" applyFont="1" applyFill="1" applyBorder="1" applyAlignment="1">
      <alignment horizontal="center" vertical="top"/>
    </xf>
    <xf numFmtId="4" fontId="21" fillId="6" borderId="20" xfId="0" applyNumberFormat="1" applyFont="1" applyFill="1" applyBorder="1" applyAlignment="1">
      <alignment horizontal="center"/>
    </xf>
    <xf numFmtId="4" fontId="21" fillId="7" borderId="20" xfId="0" applyNumberFormat="1" applyFont="1" applyFill="1" applyBorder="1" applyAlignment="1">
      <alignment horizontal="center"/>
    </xf>
    <xf numFmtId="165" fontId="21" fillId="6" borderId="22" xfId="0" applyNumberFormat="1" applyFont="1" applyFill="1" applyBorder="1" applyAlignment="1">
      <alignment horizontal="center" vertical="top"/>
    </xf>
    <xf numFmtId="4" fontId="21" fillId="6" borderId="20" xfId="0" applyNumberFormat="1" applyFont="1" applyFill="1" applyBorder="1" applyAlignment="1">
      <alignment horizontal="center" vertical="top"/>
    </xf>
    <xf numFmtId="164" fontId="22" fillId="6" borderId="22" xfId="0" applyNumberFormat="1" applyFont="1" applyFill="1" applyBorder="1" applyAlignment="1">
      <alignment horizontal="center"/>
    </xf>
    <xf numFmtId="4" fontId="22" fillId="6" borderId="20" xfId="0" applyNumberFormat="1" applyFont="1" applyFill="1" applyBorder="1" applyAlignment="1">
      <alignment horizontal="center" vertical="top"/>
    </xf>
    <xf numFmtId="4" fontId="22" fillId="7" borderId="20" xfId="0" applyNumberFormat="1" applyFont="1" applyFill="1" applyBorder="1" applyAlignment="1">
      <alignment horizontal="center"/>
    </xf>
    <xf numFmtId="0" fontId="21" fillId="6" borderId="22" xfId="0" applyFont="1" applyFill="1" applyBorder="1" applyAlignment="1">
      <alignment horizontal="center"/>
    </xf>
    <xf numFmtId="0" fontId="21" fillId="7" borderId="20" xfId="0" applyFont="1" applyFill="1" applyBorder="1" applyAlignment="1">
      <alignment horizontal="center"/>
    </xf>
    <xf numFmtId="4" fontId="21" fillId="7" borderId="20" xfId="0" applyNumberFormat="1" applyFont="1" applyFill="1" applyBorder="1" applyAlignment="1">
      <alignment horizontal="center" vertical="top"/>
    </xf>
    <xf numFmtId="0" fontId="21" fillId="6" borderId="22" xfId="0" applyFont="1" applyFill="1" applyBorder="1" applyAlignment="1">
      <alignment horizontal="center" vertical="top" wrapText="1"/>
    </xf>
    <xf numFmtId="165" fontId="21" fillId="7" borderId="20" xfId="0" applyNumberFormat="1" applyFont="1" applyFill="1" applyBorder="1" applyAlignment="1">
      <alignment horizontal="center"/>
    </xf>
    <xf numFmtId="164" fontId="22" fillId="6" borderId="22" xfId="0" applyNumberFormat="1" applyFont="1" applyFill="1" applyBorder="1" applyAlignment="1">
      <alignment horizontal="center" vertical="top"/>
    </xf>
    <xf numFmtId="2" fontId="21" fillId="6" borderId="22" xfId="0" applyNumberFormat="1" applyFont="1" applyFill="1" applyBorder="1" applyAlignment="1">
      <alignment horizontal="center" vertical="top"/>
    </xf>
    <xf numFmtId="165" fontId="21" fillId="6" borderId="22" xfId="0" applyNumberFormat="1" applyFont="1" applyFill="1" applyBorder="1" applyAlignment="1">
      <alignment horizontal="center"/>
    </xf>
    <xf numFmtId="0" fontId="23" fillId="6" borderId="22" xfId="0" applyFont="1" applyFill="1" applyBorder="1" applyAlignment="1">
      <alignment horizontal="center"/>
    </xf>
    <xf numFmtId="4" fontId="21" fillId="6" borderId="22" xfId="0" applyNumberFormat="1" applyFont="1" applyFill="1" applyBorder="1" applyAlignment="1">
      <alignment horizontal="center"/>
    </xf>
    <xf numFmtId="0" fontId="21" fillId="6" borderId="22" xfId="0" applyFont="1" applyFill="1" applyBorder="1" applyAlignment="1">
      <alignment horizontal="center" vertical="top"/>
    </xf>
    <xf numFmtId="4" fontId="23" fillId="6" borderId="22" xfId="0" applyNumberFormat="1" applyFont="1" applyFill="1" applyBorder="1" applyAlignment="1">
      <alignment horizontal="center"/>
    </xf>
    <xf numFmtId="1" fontId="24" fillId="6" borderId="22" xfId="0" applyNumberFormat="1" applyFont="1" applyFill="1" applyBorder="1" applyAlignment="1">
      <alignment horizontal="center" vertical="top"/>
    </xf>
    <xf numFmtId="0" fontId="12" fillId="4" borderId="23" xfId="0" applyFont="1" applyFill="1" applyBorder="1"/>
    <xf numFmtId="0" fontId="12" fillId="4" borderId="24" xfId="0" applyFont="1" applyFill="1" applyBorder="1"/>
    <xf numFmtId="0" fontId="25" fillId="6" borderId="20" xfId="0" applyFont="1" applyFill="1" applyBorder="1" applyAlignment="1">
      <alignment vertical="top" wrapText="1"/>
    </xf>
    <xf numFmtId="0" fontId="25" fillId="6" borderId="20" xfId="0" applyFont="1" applyFill="1" applyBorder="1" applyAlignment="1">
      <alignment wrapText="1"/>
    </xf>
    <xf numFmtId="0" fontId="25" fillId="6" borderId="20" xfId="0" applyFont="1" applyFill="1" applyBorder="1"/>
    <xf numFmtId="0" fontId="25" fillId="6" borderId="37" xfId="0" applyFont="1" applyFill="1" applyBorder="1"/>
    <xf numFmtId="0" fontId="25" fillId="6" borderId="37" xfId="0" applyFont="1" applyFill="1" applyBorder="1" applyAlignment="1">
      <alignment wrapText="1"/>
    </xf>
    <xf numFmtId="0" fontId="26" fillId="6" borderId="20" xfId="0" applyFont="1" applyFill="1" applyBorder="1" applyAlignment="1">
      <alignment vertical="top" wrapText="1"/>
    </xf>
    <xf numFmtId="0" fontId="26" fillId="6" borderId="22" xfId="0" applyFont="1" applyFill="1" applyBorder="1" applyAlignment="1">
      <alignment horizontal="center" vertical="top" wrapText="1"/>
    </xf>
    <xf numFmtId="0" fontId="27" fillId="4" borderId="24" xfId="0" applyFont="1" applyFill="1" applyBorder="1"/>
    <xf numFmtId="0" fontId="26" fillId="6" borderId="20" xfId="0" applyFont="1" applyFill="1" applyBorder="1" applyAlignment="1">
      <alignment horizontal="center" vertical="top" wrapText="1"/>
    </xf>
    <xf numFmtId="0" fontId="26" fillId="7" borderId="20" xfId="0" applyFont="1" applyFill="1" applyBorder="1" applyAlignment="1">
      <alignment horizontal="center" vertical="top" wrapText="1"/>
    </xf>
    <xf numFmtId="164" fontId="21" fillId="7" borderId="22" xfId="0" applyNumberFormat="1" applyFont="1" applyFill="1" applyBorder="1" applyAlignment="1">
      <alignment horizontal="center" vertical="top"/>
    </xf>
    <xf numFmtId="165" fontId="21" fillId="7" borderId="22" xfId="0" applyNumberFormat="1" applyFont="1" applyFill="1" applyBorder="1" applyAlignment="1">
      <alignment horizontal="center" vertical="top"/>
    </xf>
    <xf numFmtId="164" fontId="22" fillId="7" borderId="22" xfId="0" applyNumberFormat="1" applyFont="1" applyFill="1" applyBorder="1" applyAlignment="1">
      <alignment horizontal="center" vertical="top"/>
    </xf>
    <xf numFmtId="0" fontId="18" fillId="7" borderId="22" xfId="0" applyFont="1" applyFill="1" applyBorder="1" applyAlignment="1">
      <alignment horizontal="center"/>
    </xf>
    <xf numFmtId="0" fontId="28" fillId="5" borderId="6" xfId="0" applyFont="1" applyFill="1" applyBorder="1" applyAlignment="1">
      <alignment horizontal="center" vertical="top" wrapText="1"/>
    </xf>
    <xf numFmtId="0" fontId="28" fillId="4" borderId="10" xfId="0" applyFont="1" applyFill="1" applyBorder="1"/>
    <xf numFmtId="0" fontId="28" fillId="4" borderId="12" xfId="0" applyFont="1" applyFill="1" applyBorder="1"/>
    <xf numFmtId="0" fontId="28" fillId="4" borderId="14" xfId="0" applyFont="1" applyFill="1" applyBorder="1"/>
    <xf numFmtId="0" fontId="28" fillId="4" borderId="16" xfId="0" applyFont="1" applyFill="1" applyBorder="1"/>
    <xf numFmtId="0" fontId="28" fillId="4" borderId="18" xfId="0" applyFont="1" applyFill="1" applyBorder="1"/>
    <xf numFmtId="0" fontId="29" fillId="5" borderId="22" xfId="0" applyFont="1" applyFill="1" applyBorder="1" applyAlignment="1">
      <alignment horizontal="center" vertical="top" wrapText="1"/>
    </xf>
    <xf numFmtId="0" fontId="31" fillId="4" borderId="23" xfId="0" applyFont="1" applyFill="1" applyBorder="1"/>
    <xf numFmtId="0" fontId="31" fillId="4" borderId="24" xfId="0" applyFont="1" applyFill="1" applyBorder="1"/>
    <xf numFmtId="0" fontId="26" fillId="6" borderId="20" xfId="0" applyFont="1" applyFill="1" applyBorder="1" applyAlignment="1">
      <alignment horizontal="center" wrapText="1"/>
    </xf>
    <xf numFmtId="0" fontId="26" fillId="7" borderId="22" xfId="0" applyFont="1" applyFill="1" applyBorder="1" applyAlignment="1">
      <alignment horizontal="center" vertical="top" wrapText="1"/>
    </xf>
    <xf numFmtId="0" fontId="32" fillId="6" borderId="20" xfId="0" applyFont="1" applyFill="1" applyBorder="1" applyAlignment="1">
      <alignment vertical="top" wrapText="1"/>
    </xf>
    <xf numFmtId="0" fontId="33" fillId="6" borderId="37" xfId="0" applyFont="1" applyFill="1" applyBorder="1"/>
    <xf numFmtId="0" fontId="18" fillId="6" borderId="44" xfId="0" applyFont="1" applyFill="1" applyBorder="1"/>
    <xf numFmtId="0" fontId="18" fillId="4" borderId="46" xfId="0" applyFont="1" applyFill="1" applyBorder="1"/>
    <xf numFmtId="4" fontId="21" fillId="6" borderId="45" xfId="0" applyNumberFormat="1" applyFont="1" applyFill="1" applyBorder="1" applyAlignment="1">
      <alignment horizontal="center"/>
    </xf>
    <xf numFmtId="4" fontId="21" fillId="6" borderId="45" xfId="0" applyNumberFormat="1" applyFont="1" applyFill="1" applyBorder="1" applyAlignment="1">
      <alignment horizontal="center" vertical="top"/>
    </xf>
    <xf numFmtId="4" fontId="21" fillId="6" borderId="44" xfId="0" applyNumberFormat="1" applyFont="1" applyFill="1" applyBorder="1" applyAlignment="1">
      <alignment horizontal="center"/>
    </xf>
    <xf numFmtId="4" fontId="22" fillId="8" borderId="44" xfId="0" applyNumberFormat="1" applyFont="1" applyFill="1" applyBorder="1" applyAlignment="1">
      <alignment horizontal="center"/>
    </xf>
    <xf numFmtId="4" fontId="21" fillId="6" borderId="44" xfId="0" applyNumberFormat="1" applyFont="1" applyFill="1" applyBorder="1" applyAlignment="1">
      <alignment horizontal="center" vertical="top"/>
    </xf>
    <xf numFmtId="4" fontId="21" fillId="8" borderId="44" xfId="0" applyNumberFormat="1" applyFont="1" applyFill="1" applyBorder="1" applyAlignment="1">
      <alignment horizontal="center" vertical="top"/>
    </xf>
    <xf numFmtId="4" fontId="21" fillId="8" borderId="44" xfId="0" applyNumberFormat="1" applyFont="1" applyFill="1" applyBorder="1" applyAlignment="1">
      <alignment horizontal="center"/>
    </xf>
    <xf numFmtId="4" fontId="22" fillId="6" borderId="45" xfId="0" applyNumberFormat="1" applyFont="1" applyFill="1" applyBorder="1" applyAlignment="1">
      <alignment horizontal="center" vertical="top"/>
    </xf>
    <xf numFmtId="4" fontId="22" fillId="6" borderId="44" xfId="0" applyNumberFormat="1" applyFont="1" applyFill="1" applyBorder="1" applyAlignment="1">
      <alignment horizontal="center" vertical="top"/>
    </xf>
    <xf numFmtId="4" fontId="22" fillId="8" borderId="44" xfId="0" applyNumberFormat="1" applyFont="1" applyFill="1" applyBorder="1" applyAlignment="1">
      <alignment horizontal="center" vertical="top"/>
    </xf>
    <xf numFmtId="0" fontId="29" fillId="5" borderId="38" xfId="0" applyFont="1" applyFill="1" applyBorder="1" applyAlignment="1">
      <alignment horizontal="center" vertical="top"/>
    </xf>
    <xf numFmtId="0" fontId="31" fillId="4" borderId="39" xfId="0" applyFont="1" applyFill="1" applyBorder="1"/>
    <xf numFmtId="0" fontId="31" fillId="4" borderId="40" xfId="0" applyFont="1" applyFill="1" applyBorder="1"/>
    <xf numFmtId="0" fontId="31" fillId="4" borderId="41" xfId="0" applyFont="1" applyFill="1" applyBorder="1"/>
    <xf numFmtId="0" fontId="31" fillId="4" borderId="42" xfId="0" applyFont="1" applyFill="1" applyBorder="1"/>
    <xf numFmtId="0" fontId="31" fillId="4" borderId="43" xfId="0" applyFont="1" applyFill="1" applyBorder="1"/>
    <xf numFmtId="0" fontId="25" fillId="6" borderId="44" xfId="0" applyFont="1" applyFill="1" applyBorder="1" applyAlignment="1">
      <alignment wrapText="1"/>
    </xf>
    <xf numFmtId="0" fontId="25" fillId="6" borderId="44" xfId="0" applyFont="1" applyFill="1" applyBorder="1"/>
    <xf numFmtId="0" fontId="32" fillId="6" borderId="44" xfId="0" applyFont="1" applyFill="1" applyBorder="1"/>
    <xf numFmtId="0" fontId="34" fillId="6" borderId="45" xfId="0" applyFont="1" applyFill="1" applyBorder="1" applyAlignment="1">
      <alignment horizontal="center" vertical="top"/>
    </xf>
    <xf numFmtId="0" fontId="35" fillId="4" borderId="46" xfId="0" applyFont="1" applyFill="1" applyBorder="1"/>
    <xf numFmtId="0" fontId="34" fillId="6" borderId="44" xfId="0" applyFont="1" applyFill="1" applyBorder="1" applyAlignment="1">
      <alignment horizontal="center" vertical="top"/>
    </xf>
    <xf numFmtId="0" fontId="34" fillId="8" borderId="44" xfId="0" applyFont="1" applyFill="1" applyBorder="1" applyAlignment="1">
      <alignment horizontal="center"/>
    </xf>
    <xf numFmtId="0" fontId="36" fillId="6" borderId="20" xfId="0" applyFont="1" applyFill="1" applyBorder="1" applyAlignment="1">
      <alignment horizontal="left" vertical="top" wrapText="1"/>
    </xf>
    <xf numFmtId="0" fontId="36" fillId="6" borderId="20" xfId="0" applyFont="1" applyFill="1" applyBorder="1" applyAlignment="1">
      <alignment horizontal="left" wrapText="1"/>
    </xf>
    <xf numFmtId="0" fontId="18" fillId="4" borderId="2" xfId="0" applyFont="1" applyFill="1" applyBorder="1"/>
    <xf numFmtId="0" fontId="15" fillId="6" borderId="4" xfId="0" applyFont="1" applyFill="1" applyBorder="1"/>
    <xf numFmtId="0" fontId="18" fillId="4" borderId="5" xfId="0" applyFont="1" applyFill="1" applyBorder="1"/>
    <xf numFmtId="0" fontId="18" fillId="4" borderId="7" xfId="0" applyFont="1" applyFill="1" applyBorder="1"/>
    <xf numFmtId="0" fontId="37" fillId="6" borderId="8" xfId="0" applyFont="1" applyFill="1" applyBorder="1" applyAlignment="1">
      <alignment horizontal="right" vertical="top"/>
    </xf>
    <xf numFmtId="0" fontId="18" fillId="4" borderId="9" xfId="0" applyFont="1" applyFill="1" applyBorder="1"/>
    <xf numFmtId="0" fontId="18" fillId="4" borderId="17" xfId="0" applyFont="1" applyFill="1" applyBorder="1"/>
    <xf numFmtId="0" fontId="18" fillId="4" borderId="19" xfId="0" applyFont="1" applyFill="1" applyBorder="1"/>
    <xf numFmtId="0" fontId="18" fillId="6" borderId="21" xfId="0" applyFont="1" applyFill="1" applyBorder="1"/>
    <xf numFmtId="0" fontId="21" fillId="6" borderId="21" xfId="0" applyFont="1" applyFill="1" applyBorder="1"/>
    <xf numFmtId="0" fontId="22" fillId="7" borderId="21" xfId="0" applyFont="1" applyFill="1" applyBorder="1" applyAlignment="1">
      <alignment horizontal="center" vertical="top"/>
    </xf>
    <xf numFmtId="0" fontId="22" fillId="6" borderId="21" xfId="0" applyFont="1" applyFill="1" applyBorder="1" applyAlignment="1">
      <alignment horizontal="center" vertical="top"/>
    </xf>
    <xf numFmtId="4" fontId="21" fillId="7" borderId="21" xfId="0" applyNumberFormat="1" applyFont="1" applyFill="1" applyBorder="1" applyAlignment="1">
      <alignment horizontal="center"/>
    </xf>
    <xf numFmtId="4" fontId="21" fillId="6" borderId="21" xfId="0" applyNumberFormat="1" applyFont="1" applyFill="1" applyBorder="1" applyAlignment="1">
      <alignment horizontal="center" vertical="top"/>
    </xf>
    <xf numFmtId="4" fontId="21" fillId="7" borderId="21" xfId="0" applyNumberFormat="1" applyFont="1" applyFill="1" applyBorder="1" applyAlignment="1">
      <alignment horizontal="center" vertical="top"/>
    </xf>
    <xf numFmtId="4" fontId="22" fillId="7" borderId="21" xfId="0" applyNumberFormat="1" applyFont="1" applyFill="1" applyBorder="1" applyAlignment="1">
      <alignment horizontal="center" vertical="top"/>
    </xf>
    <xf numFmtId="4" fontId="21" fillId="6" borderId="21" xfId="0" applyNumberFormat="1" applyFont="1" applyFill="1" applyBorder="1" applyAlignment="1">
      <alignment horizontal="center"/>
    </xf>
    <xf numFmtId="0" fontId="21" fillId="6" borderId="21" xfId="0" applyFont="1" applyFill="1" applyBorder="1" applyAlignment="1">
      <alignment horizontal="center"/>
    </xf>
    <xf numFmtId="0" fontId="21" fillId="6" borderId="21" xfId="0" applyFont="1" applyFill="1" applyBorder="1" applyAlignment="1">
      <alignment horizontal="center" vertical="top"/>
    </xf>
    <xf numFmtId="0" fontId="38" fillId="5" borderId="1" xfId="0" applyFont="1" applyFill="1" applyBorder="1" applyAlignment="1">
      <alignment horizontal="center" vertical="top" wrapText="1"/>
    </xf>
    <xf numFmtId="0" fontId="31" fillId="4" borderId="2" xfId="0" applyFont="1" applyFill="1" applyBorder="1"/>
    <xf numFmtId="0" fontId="31" fillId="4" borderId="3" xfId="0" applyFont="1" applyFill="1" applyBorder="1"/>
    <xf numFmtId="0" fontId="39" fillId="6" borderId="11" xfId="0" applyFont="1" applyFill="1" applyBorder="1"/>
    <xf numFmtId="0" fontId="40" fillId="4" borderId="13" xfId="0" applyFont="1" applyFill="1" applyBorder="1"/>
    <xf numFmtId="0" fontId="40" fillId="4" borderId="15" xfId="0" applyFont="1" applyFill="1" applyBorder="1"/>
    <xf numFmtId="0" fontId="25" fillId="4" borderId="7" xfId="0" applyFont="1" applyFill="1" applyBorder="1"/>
    <xf numFmtId="0" fontId="25" fillId="6" borderId="4" xfId="0" applyFont="1" applyFill="1" applyBorder="1" applyAlignment="1">
      <alignment horizontal="left"/>
    </xf>
    <xf numFmtId="0" fontId="25" fillId="6" borderId="4" xfId="0" applyFont="1" applyFill="1" applyBorder="1" applyAlignment="1">
      <alignment horizontal="left" vertical="top"/>
    </xf>
    <xf numFmtId="0" fontId="25" fillId="6" borderId="4" xfId="0" applyFont="1" applyFill="1" applyBorder="1"/>
    <xf numFmtId="0" fontId="41" fillId="6" borderId="4" xfId="0" applyFont="1" applyFill="1" applyBorder="1" applyAlignment="1">
      <alignment horizontal="left"/>
    </xf>
    <xf numFmtId="0" fontId="25" fillId="6" borderId="4" xfId="0" applyFont="1" applyFill="1" applyBorder="1" applyAlignment="1">
      <alignment horizontal="left" wrapText="1"/>
    </xf>
    <xf numFmtId="0" fontId="41" fillId="6" borderId="4" xfId="0" applyFont="1" applyFill="1" applyBorder="1"/>
    <xf numFmtId="0" fontId="41" fillId="6" borderId="4" xfId="0" applyFont="1" applyFill="1" applyBorder="1" applyAlignment="1">
      <alignment wrapText="1"/>
    </xf>
    <xf numFmtId="0" fontId="25" fillId="6" borderId="4" xfId="0" applyFont="1" applyFill="1" applyBorder="1" applyAlignment="1">
      <alignment wrapText="1"/>
    </xf>
    <xf numFmtId="0" fontId="33" fillId="6" borderId="4" xfId="0" applyFont="1" applyFill="1" applyBorder="1"/>
    <xf numFmtId="0" fontId="42" fillId="4" borderId="7" xfId="0" applyFont="1" applyFill="1" applyBorder="1"/>
    <xf numFmtId="0" fontId="33" fillId="6" borderId="4" xfId="0" applyFont="1" applyFill="1" applyBorder="1" applyAlignment="1">
      <alignment horizontal="left"/>
    </xf>
    <xf numFmtId="0" fontId="20" fillId="6" borderId="25" xfId="0" applyFont="1" applyFill="1" applyBorder="1" applyAlignment="1">
      <alignment horizontal="center" vertical="top"/>
    </xf>
    <xf numFmtId="0" fontId="18" fillId="6" borderId="26" xfId="0" applyFont="1" applyFill="1" applyBorder="1"/>
    <xf numFmtId="0" fontId="18" fillId="4" borderId="27" xfId="0" applyFont="1" applyFill="1" applyBorder="1"/>
    <xf numFmtId="0" fontId="22" fillId="7" borderId="33" xfId="0" applyFont="1" applyFill="1" applyBorder="1" applyAlignment="1">
      <alignment horizontal="center"/>
    </xf>
    <xf numFmtId="0" fontId="21" fillId="6" borderId="33" xfId="0" applyFont="1" applyFill="1" applyBorder="1" applyAlignment="1">
      <alignment horizontal="center"/>
    </xf>
    <xf numFmtId="0" fontId="22" fillId="6" borderId="33" xfId="0" applyFont="1" applyFill="1" applyBorder="1" applyAlignment="1">
      <alignment horizontal="center"/>
    </xf>
    <xf numFmtId="4" fontId="21" fillId="7" borderId="35" xfId="0" applyNumberFormat="1" applyFont="1" applyFill="1" applyBorder="1" applyAlignment="1">
      <alignment horizontal="center"/>
    </xf>
    <xf numFmtId="0" fontId="21" fillId="6" borderId="36" xfId="0" applyFont="1" applyFill="1" applyBorder="1" applyAlignment="1">
      <alignment horizontal="center"/>
    </xf>
    <xf numFmtId="4" fontId="21" fillId="6" borderId="33" xfId="0" applyNumberFormat="1" applyFont="1" applyFill="1" applyBorder="1" applyAlignment="1">
      <alignment horizontal="center"/>
    </xf>
    <xf numFmtId="4" fontId="21" fillId="7" borderId="21" xfId="0" applyNumberFormat="1" applyFont="1" applyFill="1" applyBorder="1"/>
    <xf numFmtId="4" fontId="21" fillId="6" borderId="21" xfId="0" applyNumberFormat="1" applyFont="1" applyFill="1" applyBorder="1"/>
    <xf numFmtId="0" fontId="43" fillId="6" borderId="4" xfId="0" applyFont="1" applyFill="1" applyBorder="1" applyAlignment="1">
      <alignment horizontal="center"/>
    </xf>
    <xf numFmtId="0" fontId="40" fillId="4" borderId="5" xfId="0" applyFont="1" applyFill="1" applyBorder="1"/>
    <xf numFmtId="0" fontId="40" fillId="4" borderId="7" xfId="0" applyFont="1" applyFill="1" applyBorder="1"/>
    <xf numFmtId="0" fontId="44" fillId="4" borderId="5" xfId="0" applyFont="1" applyFill="1" applyBorder="1"/>
    <xf numFmtId="0" fontId="44" fillId="4" borderId="7" xfId="0" applyFont="1" applyFill="1" applyBorder="1"/>
    <xf numFmtId="0" fontId="38" fillId="5" borderId="4" xfId="0" applyFont="1" applyFill="1" applyBorder="1" applyAlignment="1">
      <alignment horizontal="center" vertical="top" wrapText="1"/>
    </xf>
    <xf numFmtId="0" fontId="31" fillId="4" borderId="5" xfId="0" applyFont="1" applyFill="1" applyBorder="1"/>
    <xf numFmtId="0" fontId="31" fillId="4" borderId="7" xfId="0" applyFont="1" applyFill="1" applyBorder="1"/>
    <xf numFmtId="0" fontId="27" fillId="6" borderId="26" xfId="0" applyFont="1" applyFill="1" applyBorder="1"/>
    <xf numFmtId="0" fontId="27" fillId="4" borderId="2" xfId="0" applyFont="1" applyFill="1" applyBorder="1"/>
    <xf numFmtId="0" fontId="27" fillId="4" borderId="27" xfId="0" applyFont="1" applyFill="1" applyBorder="1"/>
    <xf numFmtId="0" fontId="26" fillId="7" borderId="28" xfId="0" applyFont="1" applyFill="1" applyBorder="1" applyAlignment="1">
      <alignment horizontal="center"/>
    </xf>
    <xf numFmtId="0" fontId="27" fillId="6" borderId="29" xfId="0" applyFont="1" applyFill="1" applyBorder="1"/>
    <xf numFmtId="0" fontId="26" fillId="6" borderId="28" xfId="0" applyFont="1" applyFill="1" applyBorder="1" applyAlignment="1">
      <alignment horizontal="center"/>
    </xf>
    <xf numFmtId="0" fontId="26" fillId="6" borderId="30" xfId="0" applyFont="1" applyFill="1" applyBorder="1" applyAlignment="1">
      <alignment horizontal="center"/>
    </xf>
    <xf numFmtId="0" fontId="27" fillId="4" borderId="31" xfId="0" applyFont="1" applyFill="1" applyBorder="1"/>
    <xf numFmtId="0" fontId="27" fillId="4" borderId="32" xfId="0" applyFont="1" applyFill="1" applyBorder="1"/>
    <xf numFmtId="0" fontId="27" fillId="7" borderId="33" xfId="0" applyFont="1" applyFill="1" applyBorder="1"/>
    <xf numFmtId="0" fontId="27" fillId="6" borderId="34" xfId="0" applyFont="1" applyFill="1" applyBorder="1"/>
    <xf numFmtId="0" fontId="27" fillId="6" borderId="33" xfId="0" applyFont="1" applyFill="1" applyBorder="1"/>
    <xf numFmtId="0" fontId="25" fillId="4" borderId="5" xfId="0" applyFont="1" applyFill="1" applyBorder="1"/>
    <xf numFmtId="0" fontId="25" fillId="6" borderId="4" xfId="0" applyFont="1" applyFill="1" applyBorder="1" applyAlignment="1">
      <alignment horizontal="left" vertical="top" wrapText="1"/>
    </xf>
    <xf numFmtId="0" fontId="32" fillId="6" borderId="4" xfId="0" applyFont="1" applyFill="1" applyBorder="1" applyAlignment="1">
      <alignment horizontal="left" vertical="top"/>
    </xf>
    <xf numFmtId="0" fontId="42" fillId="4" borderId="5" xfId="0" applyFont="1" applyFill="1" applyBorder="1" applyAlignment="1">
      <alignment horizontal="left"/>
    </xf>
    <xf numFmtId="0" fontId="42" fillId="4" borderId="7" xfId="0" applyFont="1" applyFill="1" applyBorder="1" applyAlignment="1">
      <alignment horizontal="left"/>
    </xf>
    <xf numFmtId="0" fontId="42" fillId="4" borderId="5" xfId="0" applyFont="1" applyFill="1" applyBorder="1"/>
    <xf numFmtId="0" fontId="33" fillId="6" borderId="4" xfId="0" applyFont="1" applyFill="1" applyBorder="1" applyAlignment="1">
      <alignment horizontal="left" vertical="top"/>
    </xf>
    <xf numFmtId="0" fontId="32" fillId="6" borderId="4" xfId="0" applyFont="1" applyFill="1" applyBorder="1"/>
    <xf numFmtId="4" fontId="45" fillId="7" borderId="21" xfId="0" applyNumberFormat="1" applyFont="1" applyFill="1" applyBorder="1" applyAlignment="1">
      <alignment horizontal="center"/>
    </xf>
    <xf numFmtId="4" fontId="45" fillId="6" borderId="21" xfId="0" applyNumberFormat="1" applyFont="1" applyFill="1" applyBorder="1" applyAlignment="1">
      <alignment horizontal="center"/>
    </xf>
    <xf numFmtId="4" fontId="45" fillId="6" borderId="36" xfId="0" applyNumberFormat="1" applyFont="1" applyFill="1" applyBorder="1" applyAlignment="1">
      <alignment horizontal="center"/>
    </xf>
    <xf numFmtId="4" fontId="18" fillId="6" borderId="21" xfId="0" applyNumberFormat="1" applyFont="1" applyFill="1" applyBorder="1" applyAlignment="1">
      <alignment horizontal="right"/>
    </xf>
    <xf numFmtId="4" fontId="45" fillId="7" borderId="21" xfId="0" applyNumberFormat="1" applyFont="1" applyFill="1" applyBorder="1" applyAlignment="1">
      <alignment horizontal="center" vertical="top"/>
    </xf>
    <xf numFmtId="4" fontId="45" fillId="6" borderId="21" xfId="0" applyNumberFormat="1" applyFont="1" applyFill="1" applyBorder="1" applyAlignment="1">
      <alignment horizontal="center" vertical="top"/>
    </xf>
    <xf numFmtId="4" fontId="45" fillId="6" borderId="36" xfId="0" applyNumberFormat="1" applyFont="1" applyFill="1" applyBorder="1" applyAlignment="1">
      <alignment horizontal="center" vertical="top"/>
    </xf>
    <xf numFmtId="4" fontId="45" fillId="6" borderId="21" xfId="0" applyNumberFormat="1" applyFont="1" applyFill="1" applyBorder="1" applyAlignment="1">
      <alignment horizontal="right"/>
    </xf>
    <xf numFmtId="4" fontId="45" fillId="6" borderId="21" xfId="0" applyNumberFormat="1" applyFont="1" applyFill="1" applyBorder="1" applyAlignment="1">
      <alignment horizontal="right" vertical="top"/>
    </xf>
    <xf numFmtId="4" fontId="46" fillId="6" borderId="35" xfId="0" applyNumberFormat="1" applyFont="1" applyFill="1" applyBorder="1" applyAlignment="1">
      <alignment horizontal="right" vertical="top"/>
    </xf>
    <xf numFmtId="4" fontId="19" fillId="7" borderId="21" xfId="0" applyNumberFormat="1" applyFont="1" applyFill="1" applyBorder="1" applyAlignment="1">
      <alignment horizontal="center" vertical="top"/>
    </xf>
    <xf numFmtId="4" fontId="45" fillId="6" borderId="21" xfId="0" applyNumberFormat="1" applyFont="1" applyFill="1" applyBorder="1" applyAlignment="1">
      <alignment horizontal="left" vertical="top"/>
    </xf>
    <xf numFmtId="0" fontId="47" fillId="5" borderId="4" xfId="0" applyFont="1" applyFill="1" applyBorder="1" applyAlignment="1">
      <alignment horizontal="center" vertical="top" wrapText="1"/>
    </xf>
    <xf numFmtId="0" fontId="48" fillId="7" borderId="21" xfId="0" applyFont="1" applyFill="1" applyBorder="1" applyAlignment="1">
      <alignment horizontal="center" vertical="top"/>
    </xf>
    <xf numFmtId="0" fontId="48" fillId="6" borderId="21" xfId="0" applyFont="1" applyFill="1" applyBorder="1" applyAlignment="1">
      <alignment horizontal="center" vertical="top"/>
    </xf>
    <xf numFmtId="0" fontId="48" fillId="6" borderId="36" xfId="0" applyFont="1" applyFill="1" applyBorder="1" applyAlignment="1">
      <alignment horizontal="center" vertical="top"/>
    </xf>
    <xf numFmtId="0" fontId="25" fillId="6" borderId="47" xfId="0" applyFont="1" applyFill="1" applyBorder="1" applyAlignment="1">
      <alignment horizontal="left" vertical="top"/>
    </xf>
    <xf numFmtId="0" fontId="25" fillId="4" borderId="13" xfId="0" applyFont="1" applyFill="1" applyBorder="1"/>
    <xf numFmtId="0" fontId="25" fillId="4" borderId="15" xfId="0" applyFont="1" applyFill="1" applyBorder="1"/>
    <xf numFmtId="0" fontId="25" fillId="6" borderId="47" xfId="0" applyFont="1" applyFill="1" applyBorder="1" applyAlignment="1">
      <alignment horizontal="left" vertical="top" wrapText="1"/>
    </xf>
    <xf numFmtId="0" fontId="32" fillId="4" borderId="5" xfId="0" applyFont="1" applyFill="1" applyBorder="1"/>
    <xf numFmtId="0" fontId="32" fillId="4" borderId="7" xfId="0" applyFont="1" applyFill="1" applyBorder="1"/>
    <xf numFmtId="10" fontId="15" fillId="7" borderId="35" xfId="0" applyNumberFormat="1" applyFont="1" applyFill="1" applyBorder="1"/>
    <xf numFmtId="10" fontId="15" fillId="6" borderId="35" xfId="0" applyNumberFormat="1" applyFont="1" applyFill="1" applyBorder="1"/>
    <xf numFmtId="0" fontId="49" fillId="7" borderId="35" xfId="0" applyFont="1" applyFill="1" applyBorder="1"/>
    <xf numFmtId="0" fontId="49" fillId="6" borderId="35" xfId="0" applyFont="1" applyFill="1" applyBorder="1"/>
    <xf numFmtId="0" fontId="49" fillId="9" borderId="35" xfId="0" applyFont="1" applyFill="1" applyBorder="1"/>
    <xf numFmtId="10" fontId="15" fillId="10" borderId="35" xfId="0" applyNumberFormat="1" applyFont="1" applyFill="1" applyBorder="1"/>
    <xf numFmtId="0" fontId="51" fillId="11" borderId="0" xfId="0" applyFont="1" applyFill="1" applyAlignment="1"/>
    <xf numFmtId="0" fontId="46" fillId="12" borderId="0" xfId="0" applyFont="1" applyFill="1" applyAlignment="1"/>
    <xf numFmtId="0" fontId="15" fillId="14" borderId="35" xfId="0" applyFont="1" applyFill="1" applyBorder="1" applyAlignment="1">
      <alignment horizontal="left"/>
    </xf>
    <xf numFmtId="166" fontId="15" fillId="14" borderId="35" xfId="0" applyNumberFormat="1" applyFont="1" applyFill="1" applyBorder="1" applyAlignment="1">
      <alignment horizontal="left"/>
    </xf>
    <xf numFmtId="10" fontId="15" fillId="14" borderId="35" xfId="0" applyNumberFormat="1" applyFont="1" applyFill="1" applyBorder="1" applyAlignment="1">
      <alignment horizontal="left"/>
    </xf>
    <xf numFmtId="0" fontId="15" fillId="15" borderId="35" xfId="0" applyFont="1" applyFill="1" applyBorder="1" applyAlignment="1">
      <alignment horizontal="left"/>
    </xf>
    <xf numFmtId="10" fontId="15" fillId="15" borderId="35" xfId="0" applyNumberFormat="1" applyFont="1" applyFill="1" applyBorder="1" applyAlignment="1">
      <alignment horizontal="left"/>
    </xf>
    <xf numFmtId="0" fontId="15" fillId="13" borderId="35" xfId="0" applyFont="1" applyFill="1" applyBorder="1" applyAlignment="1">
      <alignment horizontal="left"/>
    </xf>
    <xf numFmtId="10" fontId="15" fillId="13" borderId="35" xfId="0" applyNumberFormat="1" applyFont="1" applyFill="1" applyBorder="1" applyAlignment="1">
      <alignment horizontal="left"/>
    </xf>
    <xf numFmtId="0" fontId="53" fillId="13" borderId="35" xfId="0" applyFont="1" applyFill="1" applyBorder="1"/>
    <xf numFmtId="0" fontId="49" fillId="14" borderId="35" xfId="0" applyFont="1" applyFill="1" applyBorder="1"/>
    <xf numFmtId="0" fontId="49" fillId="15" borderId="35" xfId="0" applyFont="1" applyFill="1" applyBorder="1"/>
    <xf numFmtId="0" fontId="54" fillId="13" borderId="35" xfId="0" applyFont="1" applyFill="1" applyBorder="1"/>
    <xf numFmtId="10" fontId="15" fillId="15" borderId="21" xfId="0" applyNumberFormat="1" applyFont="1" applyFill="1" applyBorder="1" applyAlignment="1">
      <alignment horizontal="left"/>
    </xf>
    <xf numFmtId="10" fontId="15" fillId="18" borderId="21" xfId="0" applyNumberFormat="1" applyFont="1" applyFill="1" applyBorder="1" applyAlignment="1">
      <alignment horizontal="left"/>
    </xf>
    <xf numFmtId="0" fontId="55" fillId="14" borderId="21" xfId="0" applyFont="1" applyFill="1" applyBorder="1"/>
    <xf numFmtId="0" fontId="53" fillId="17" borderId="21" xfId="0" applyFont="1" applyFill="1" applyBorder="1"/>
    <xf numFmtId="0" fontId="49" fillId="15" borderId="21" xfId="0" applyFont="1" applyFill="1" applyBorder="1"/>
    <xf numFmtId="0" fontId="49" fillId="18" borderId="21" xfId="0" applyFont="1" applyFill="1" applyBorder="1"/>
    <xf numFmtId="0" fontId="54" fillId="18" borderId="21" xfId="0" applyFont="1" applyFill="1" applyBorder="1"/>
    <xf numFmtId="0" fontId="52" fillId="16" borderId="90" xfId="0" applyFont="1" applyFill="1" applyBorder="1" applyAlignment="1">
      <alignment horizontal="center"/>
    </xf>
    <xf numFmtId="0" fontId="1" fillId="12" borderId="0" xfId="0" applyFont="1" applyFill="1"/>
    <xf numFmtId="0" fontId="15" fillId="12" borderId="0" xfId="0" applyFont="1" applyFill="1" applyAlignment="1">
      <alignment horizontal="center"/>
    </xf>
    <xf numFmtId="10" fontId="15" fillId="12" borderId="0" xfId="0" applyNumberFormat="1" applyFont="1" applyFill="1" applyAlignment="1">
      <alignment horizontal="center"/>
    </xf>
    <xf numFmtId="2" fontId="15" fillId="12" borderId="0" xfId="0" applyNumberFormat="1" applyFont="1" applyFill="1" applyAlignment="1">
      <alignment horizontal="center"/>
    </xf>
    <xf numFmtId="0" fontId="15" fillId="15" borderId="35" xfId="0" applyFont="1" applyFill="1" applyBorder="1" applyAlignment="1">
      <alignment horizontal="center"/>
    </xf>
    <xf numFmtId="10" fontId="15" fillId="15" borderId="35" xfId="0" applyNumberFormat="1" applyFont="1" applyFill="1" applyBorder="1" applyAlignment="1">
      <alignment horizontal="center"/>
    </xf>
    <xf numFmtId="2" fontId="15" fillId="14" borderId="35" xfId="0" applyNumberFormat="1" applyFont="1" applyFill="1" applyBorder="1" applyAlignment="1">
      <alignment horizontal="center"/>
    </xf>
    <xf numFmtId="0" fontId="56" fillId="12" borderId="0" xfId="0" applyFont="1" applyFill="1"/>
    <xf numFmtId="0" fontId="49" fillId="12" borderId="0" xfId="0" applyFont="1" applyFill="1"/>
    <xf numFmtId="0" fontId="57" fillId="12" borderId="0" xfId="0" applyFont="1" applyFill="1"/>
    <xf numFmtId="0" fontId="56" fillId="15" borderId="35" xfId="0" applyFont="1" applyFill="1" applyBorder="1"/>
    <xf numFmtId="0" fontId="59" fillId="19" borderId="35" xfId="0" applyFont="1" applyFill="1" applyBorder="1"/>
    <xf numFmtId="2" fontId="14" fillId="20" borderId="35" xfId="0" applyNumberFormat="1" applyFont="1" applyFill="1" applyBorder="1"/>
    <xf numFmtId="2" fontId="14" fillId="21" borderId="35" xfId="0" applyNumberFormat="1" applyFont="1" applyFill="1" applyBorder="1"/>
    <xf numFmtId="4" fontId="15" fillId="12" borderId="21" xfId="0" applyNumberFormat="1" applyFont="1" applyFill="1" applyBorder="1" applyAlignment="1">
      <alignment horizontal="left"/>
    </xf>
    <xf numFmtId="0" fontId="15" fillId="12" borderId="21" xfId="0" applyFont="1" applyFill="1" applyBorder="1" applyAlignment="1">
      <alignment horizontal="left"/>
    </xf>
    <xf numFmtId="4" fontId="15" fillId="15" borderId="21" xfId="0" applyNumberFormat="1" applyFont="1" applyFill="1" applyBorder="1" applyAlignment="1">
      <alignment horizontal="left"/>
    </xf>
    <xf numFmtId="2" fontId="15" fillId="12" borderId="7" xfId="0" applyNumberFormat="1" applyFont="1" applyFill="1" applyBorder="1" applyAlignment="1">
      <alignment horizontal="left"/>
    </xf>
    <xf numFmtId="10" fontId="15" fillId="12" borderId="7" xfId="0" applyNumberFormat="1" applyFont="1" applyFill="1" applyBorder="1" applyAlignment="1">
      <alignment horizontal="left"/>
    </xf>
    <xf numFmtId="9" fontId="15" fillId="12" borderId="7" xfId="0" applyNumberFormat="1" applyFont="1" applyFill="1" applyBorder="1" applyAlignment="1">
      <alignment horizontal="left"/>
    </xf>
    <xf numFmtId="10" fontId="15" fillId="12" borderId="21" xfId="0" applyNumberFormat="1" applyFont="1" applyFill="1" applyBorder="1" applyAlignment="1">
      <alignment horizontal="left"/>
    </xf>
    <xf numFmtId="9" fontId="15" fillId="12" borderId="21" xfId="0" applyNumberFormat="1" applyFont="1" applyFill="1" applyBorder="1" applyAlignment="1">
      <alignment horizontal="left"/>
    </xf>
    <xf numFmtId="0" fontId="60" fillId="12" borderId="21" xfId="0" applyFont="1" applyFill="1" applyBorder="1"/>
    <xf numFmtId="0" fontId="60" fillId="12" borderId="21" xfId="0" applyFont="1" applyFill="1" applyBorder="1" applyAlignment="1">
      <alignment horizontal="center"/>
    </xf>
    <xf numFmtId="0" fontId="49" fillId="14" borderId="21" xfId="0" applyFont="1" applyFill="1" applyBorder="1"/>
    <xf numFmtId="0" fontId="17" fillId="12" borderId="21" xfId="0" applyFont="1" applyFill="1" applyBorder="1"/>
    <xf numFmtId="0" fontId="49" fillId="12" borderId="21" xfId="0" applyFont="1" applyFill="1" applyBorder="1"/>
    <xf numFmtId="0" fontId="49" fillId="12" borderId="21" xfId="0" applyFont="1" applyFill="1" applyBorder="1" applyAlignment="1">
      <alignment horizontal="left"/>
    </xf>
    <xf numFmtId="0" fontId="59" fillId="12" borderId="21" xfId="0" applyFont="1" applyFill="1" applyBorder="1"/>
    <xf numFmtId="0" fontId="15" fillId="12" borderId="0" xfId="0" applyFont="1" applyFill="1" applyAlignment="1">
      <alignment horizontal="left"/>
    </xf>
    <xf numFmtId="0" fontId="61" fillId="22" borderId="35" xfId="0" applyFont="1" applyFill="1" applyBorder="1"/>
    <xf numFmtId="0" fontId="61" fillId="23" borderId="52" xfId="0" applyFont="1" applyFill="1" applyBorder="1"/>
    <xf numFmtId="167" fontId="15" fillId="23" borderId="51" xfId="0" applyNumberFormat="1" applyFont="1" applyFill="1" applyBorder="1" applyAlignment="1">
      <alignment horizontal="center"/>
    </xf>
    <xf numFmtId="0" fontId="15" fillId="23" borderId="52" xfId="0" applyFont="1" applyFill="1" applyBorder="1" applyAlignment="1">
      <alignment horizontal="center"/>
    </xf>
    <xf numFmtId="0" fontId="15" fillId="23" borderId="53" xfId="0" applyFont="1" applyFill="1" applyBorder="1" applyAlignment="1">
      <alignment horizontal="center"/>
    </xf>
    <xf numFmtId="10" fontId="15" fillId="23" borderId="53" xfId="0" applyNumberFormat="1" applyFont="1" applyFill="1" applyBorder="1" applyAlignment="1">
      <alignment horizontal="center"/>
    </xf>
    <xf numFmtId="168" fontId="15" fillId="23" borderId="52" xfId="0" applyNumberFormat="1" applyFont="1" applyFill="1" applyBorder="1" applyAlignment="1">
      <alignment horizontal="center"/>
    </xf>
    <xf numFmtId="10" fontId="15" fillId="23" borderId="54" xfId="0" applyNumberFormat="1" applyFont="1" applyFill="1" applyBorder="1" applyAlignment="1">
      <alignment horizontal="center"/>
    </xf>
    <xf numFmtId="167" fontId="15" fillId="23" borderId="52" xfId="0" applyNumberFormat="1" applyFont="1" applyFill="1" applyBorder="1" applyAlignment="1">
      <alignment horizontal="center"/>
    </xf>
    <xf numFmtId="0" fontId="15" fillId="23" borderId="54" xfId="0" applyFont="1" applyFill="1" applyBorder="1" applyAlignment="1">
      <alignment horizontal="center"/>
    </xf>
    <xf numFmtId="0" fontId="62" fillId="3" borderId="48" xfId="0" applyFont="1" applyFill="1" applyBorder="1" applyAlignment="1">
      <alignment horizontal="center"/>
    </xf>
    <xf numFmtId="0" fontId="63" fillId="0" borderId="49" xfId="0" applyFont="1" applyBorder="1"/>
    <xf numFmtId="0" fontId="63" fillId="0" borderId="50" xfId="0" applyFont="1" applyBorder="1"/>
    <xf numFmtId="0" fontId="64" fillId="23" borderId="51" xfId="0" applyFont="1" applyFill="1" applyBorder="1" applyAlignment="1">
      <alignment horizontal="left"/>
    </xf>
    <xf numFmtId="0" fontId="64" fillId="23" borderId="35" xfId="0" applyFont="1" applyFill="1" applyBorder="1"/>
    <xf numFmtId="0" fontId="65" fillId="23" borderId="52" xfId="0" applyFont="1" applyFill="1" applyBorder="1" applyAlignment="1">
      <alignment horizontal="center"/>
    </xf>
    <xf numFmtId="0" fontId="14" fillId="13" borderId="21" xfId="0" applyFont="1" applyFill="1" applyBorder="1"/>
    <xf numFmtId="0" fontId="15" fillId="14" borderId="21" xfId="0" applyFont="1" applyFill="1" applyBorder="1" applyAlignment="1">
      <alignment horizontal="left"/>
    </xf>
    <xf numFmtId="0" fontId="15" fillId="15" borderId="21" xfId="0" applyFont="1" applyFill="1" applyBorder="1" applyAlignment="1">
      <alignment horizontal="left"/>
    </xf>
    <xf numFmtId="4" fontId="15" fillId="14" borderId="21" xfId="0" applyNumberFormat="1" applyFont="1" applyFill="1" applyBorder="1" applyAlignment="1">
      <alignment horizontal="left"/>
    </xf>
    <xf numFmtId="4" fontId="15" fillId="14" borderId="60" xfId="0" applyNumberFormat="1" applyFont="1" applyFill="1" applyBorder="1" applyAlignment="1">
      <alignment horizontal="left"/>
    </xf>
    <xf numFmtId="0" fontId="15" fillId="14" borderId="21" xfId="0" applyFont="1" applyFill="1" applyBorder="1" applyAlignment="1">
      <alignment horizontal="center"/>
    </xf>
    <xf numFmtId="10" fontId="15" fillId="14" borderId="21" xfId="0" applyNumberFormat="1" applyFont="1" applyFill="1" applyBorder="1" applyAlignment="1">
      <alignment horizontal="center"/>
    </xf>
    <xf numFmtId="2" fontId="15" fillId="14" borderId="21" xfId="0" applyNumberFormat="1" applyFont="1" applyFill="1" applyBorder="1" applyAlignment="1">
      <alignment horizontal="center"/>
    </xf>
    <xf numFmtId="0" fontId="15" fillId="15" borderId="21" xfId="0" applyFont="1" applyFill="1" applyBorder="1" applyAlignment="1">
      <alignment horizontal="center"/>
    </xf>
    <xf numFmtId="10" fontId="15" fillId="15" borderId="21" xfId="0" applyNumberFormat="1" applyFont="1" applyFill="1" applyBorder="1" applyAlignment="1">
      <alignment horizontal="center"/>
    </xf>
    <xf numFmtId="2" fontId="15" fillId="15" borderId="21" xfId="0" applyNumberFormat="1" applyFont="1" applyFill="1" applyBorder="1" applyAlignment="1">
      <alignment horizontal="center"/>
    </xf>
    <xf numFmtId="0" fontId="49" fillId="14" borderId="21" xfId="0" applyFont="1" applyFill="1" applyBorder="1" applyAlignment="1">
      <alignment horizontal="left"/>
    </xf>
    <xf numFmtId="0" fontId="49" fillId="15" borderId="21" xfId="0" applyFont="1" applyFill="1" applyBorder="1" applyAlignment="1">
      <alignment horizontal="left"/>
    </xf>
    <xf numFmtId="0" fontId="56" fillId="13" borderId="21" xfId="0" applyFont="1" applyFill="1" applyBorder="1"/>
    <xf numFmtId="0" fontId="56" fillId="13" borderId="4" xfId="0" applyFont="1" applyFill="1" applyBorder="1" applyAlignment="1">
      <alignment horizontal="center"/>
    </xf>
    <xf numFmtId="0" fontId="44" fillId="12" borderId="7" xfId="0" applyFont="1" applyFill="1" applyBorder="1"/>
    <xf numFmtId="0" fontId="56" fillId="14" borderId="21" xfId="0" applyFont="1" applyFill="1" applyBorder="1" applyAlignment="1">
      <alignment horizontal="left"/>
    </xf>
    <xf numFmtId="2" fontId="59" fillId="24" borderId="56" xfId="0" applyNumberFormat="1" applyFont="1" applyFill="1" applyBorder="1" applyAlignment="1">
      <alignment horizontal="center"/>
    </xf>
    <xf numFmtId="4" fontId="15" fillId="15" borderId="21" xfId="0" applyNumberFormat="1" applyFont="1" applyFill="1" applyBorder="1" applyAlignment="1">
      <alignment horizontal="center"/>
    </xf>
    <xf numFmtId="4" fontId="15" fillId="14" borderId="21" xfId="0" applyNumberFormat="1" applyFont="1" applyFill="1" applyBorder="1" applyAlignment="1">
      <alignment horizontal="center"/>
    </xf>
    <xf numFmtId="0" fontId="17" fillId="14" borderId="21" xfId="0" applyFont="1" applyFill="1" applyBorder="1" applyAlignment="1">
      <alignment horizontal="left"/>
    </xf>
    <xf numFmtId="0" fontId="17" fillId="15" borderId="21" xfId="0" applyFont="1" applyFill="1" applyBorder="1" applyAlignment="1">
      <alignment horizontal="left"/>
    </xf>
    <xf numFmtId="0" fontId="62" fillId="13" borderId="4" xfId="0" applyFont="1" applyFill="1" applyBorder="1" applyAlignment="1">
      <alignment horizontal="center"/>
    </xf>
    <xf numFmtId="0" fontId="63" fillId="12" borderId="7" xfId="0" applyFont="1" applyFill="1" applyBorder="1"/>
    <xf numFmtId="0" fontId="62" fillId="13" borderId="21" xfId="0" applyFont="1" applyFill="1" applyBorder="1"/>
    <xf numFmtId="0" fontId="59" fillId="15" borderId="21" xfId="0" applyFont="1" applyFill="1" applyBorder="1" applyAlignment="1">
      <alignment horizontal="left"/>
    </xf>
    <xf numFmtId="0" fontId="17" fillId="14" borderId="59" xfId="0" applyFont="1" applyFill="1" applyBorder="1" applyAlignment="1">
      <alignment horizontal="left"/>
    </xf>
    <xf numFmtId="4" fontId="54" fillId="24" borderId="56" xfId="0" applyNumberFormat="1" applyFont="1" applyFill="1" applyBorder="1" applyAlignment="1">
      <alignment horizontal="center"/>
    </xf>
    <xf numFmtId="2" fontId="15" fillId="15" borderId="21" xfId="0" applyNumberFormat="1" applyFont="1" applyFill="1" applyBorder="1" applyAlignment="1">
      <alignment horizontal="left"/>
    </xf>
    <xf numFmtId="10" fontId="15" fillId="14" borderId="21" xfId="0" applyNumberFormat="1" applyFont="1" applyFill="1" applyBorder="1" applyAlignment="1">
      <alignment horizontal="left"/>
    </xf>
    <xf numFmtId="2" fontId="15" fillId="14" borderId="21" xfId="0" applyNumberFormat="1" applyFont="1" applyFill="1" applyBorder="1" applyAlignment="1">
      <alignment horizontal="left"/>
    </xf>
    <xf numFmtId="10" fontId="15" fillId="12" borderId="0" xfId="0" applyNumberFormat="1" applyFont="1" applyFill="1" applyAlignment="1">
      <alignment horizontal="left"/>
    </xf>
    <xf numFmtId="4" fontId="66" fillId="24" borderId="21" xfId="0" applyNumberFormat="1" applyFont="1" applyFill="1" applyBorder="1" applyAlignment="1">
      <alignment horizontal="left"/>
    </xf>
    <xf numFmtId="4" fontId="15" fillId="14" borderId="21" xfId="0" applyNumberFormat="1" applyFont="1" applyFill="1" applyBorder="1"/>
    <xf numFmtId="4" fontId="15" fillId="15" borderId="21" xfId="0" applyNumberFormat="1" applyFont="1" applyFill="1" applyBorder="1" applyAlignment="1">
      <alignment horizontal="right"/>
    </xf>
    <xf numFmtId="4" fontId="15" fillId="14" borderId="21" xfId="0" applyNumberFormat="1" applyFont="1" applyFill="1" applyBorder="1" applyAlignment="1">
      <alignment horizontal="right"/>
    </xf>
    <xf numFmtId="4" fontId="15" fillId="14" borderId="67" xfId="0" applyNumberFormat="1" applyFont="1" applyFill="1" applyBorder="1"/>
    <xf numFmtId="4" fontId="15" fillId="15" borderId="67" xfId="0" applyNumberFormat="1" applyFont="1" applyFill="1" applyBorder="1"/>
    <xf numFmtId="0" fontId="56" fillId="24" borderId="21" xfId="0" applyFont="1" applyFill="1" applyBorder="1"/>
    <xf numFmtId="0" fontId="49" fillId="14" borderId="67" xfId="0" applyFont="1" applyFill="1" applyBorder="1"/>
    <xf numFmtId="0" fontId="49" fillId="15" borderId="67" xfId="0" applyFont="1" applyFill="1" applyBorder="1"/>
    <xf numFmtId="0" fontId="59" fillId="14" borderId="21" xfId="0" applyFont="1" applyFill="1" applyBorder="1"/>
    <xf numFmtId="0" fontId="59" fillId="14" borderId="67" xfId="0" applyFont="1" applyFill="1" applyBorder="1"/>
    <xf numFmtId="0" fontId="1" fillId="25" borderId="35" xfId="0" applyFont="1" applyFill="1" applyBorder="1"/>
    <xf numFmtId="0" fontId="15" fillId="26" borderId="35" xfId="0" applyFont="1" applyFill="1" applyBorder="1"/>
    <xf numFmtId="0" fontId="67" fillId="26" borderId="35" xfId="0" applyFont="1" applyFill="1" applyBorder="1"/>
    <xf numFmtId="0" fontId="69" fillId="22" borderId="35" xfId="0" applyFont="1" applyFill="1" applyBorder="1"/>
    <xf numFmtId="9" fontId="15" fillId="14" borderId="21" xfId="0" applyNumberFormat="1" applyFont="1" applyFill="1" applyBorder="1"/>
    <xf numFmtId="2" fontId="15" fillId="14" borderId="21" xfId="0" applyNumberFormat="1" applyFont="1" applyFill="1" applyBorder="1"/>
    <xf numFmtId="10" fontId="15" fillId="14" borderId="21" xfId="0" applyNumberFormat="1" applyFont="1" applyFill="1" applyBorder="1"/>
    <xf numFmtId="0" fontId="59" fillId="18" borderId="21" xfId="0" applyFont="1" applyFill="1" applyBorder="1"/>
    <xf numFmtId="0" fontId="14" fillId="13" borderId="36" xfId="0" applyFont="1" applyFill="1" applyBorder="1"/>
    <xf numFmtId="170" fontId="15" fillId="15" borderId="67" xfId="0" applyNumberFormat="1" applyFont="1" applyFill="1" applyBorder="1"/>
    <xf numFmtId="170" fontId="15" fillId="30" borderId="67" xfId="0" applyNumberFormat="1" applyFont="1" applyFill="1" applyBorder="1"/>
    <xf numFmtId="2" fontId="66" fillId="28" borderId="35" xfId="0" applyNumberFormat="1" applyFont="1" applyFill="1" applyBorder="1" applyAlignment="1">
      <alignment horizontal="center"/>
    </xf>
    <xf numFmtId="2" fontId="66" fillId="29" borderId="35" xfId="0" applyNumberFormat="1" applyFont="1" applyFill="1" applyBorder="1" applyAlignment="1">
      <alignment horizontal="center"/>
    </xf>
    <xf numFmtId="0" fontId="49" fillId="15" borderId="64" xfId="0" applyFont="1" applyFill="1" applyBorder="1" applyAlignment="1">
      <alignment horizontal="left"/>
    </xf>
    <xf numFmtId="0" fontId="25" fillId="12" borderId="66" xfId="0" applyFont="1" applyFill="1" applyBorder="1"/>
    <xf numFmtId="0" fontId="62" fillId="29" borderId="68" xfId="0" applyFont="1" applyFill="1" applyBorder="1" applyAlignment="1">
      <alignment horizontal="left"/>
    </xf>
    <xf numFmtId="0" fontId="62" fillId="29" borderId="69" xfId="0" applyFont="1" applyFill="1" applyBorder="1" applyAlignment="1">
      <alignment horizontal="left"/>
    </xf>
    <xf numFmtId="0" fontId="62" fillId="30" borderId="68" xfId="0" applyFont="1" applyFill="1" applyBorder="1" applyAlignment="1">
      <alignment horizontal="left"/>
    </xf>
    <xf numFmtId="0" fontId="62" fillId="30" borderId="69" xfId="0" applyFont="1" applyFill="1" applyBorder="1" applyAlignment="1">
      <alignment horizontal="left"/>
    </xf>
    <xf numFmtId="0" fontId="62" fillId="13" borderId="36" xfId="0" applyFont="1" applyFill="1" applyBorder="1" applyAlignment="1">
      <alignment horizontal="center"/>
    </xf>
    <xf numFmtId="0" fontId="63" fillId="12" borderId="55" xfId="0" applyFont="1" applyFill="1" applyBorder="1"/>
    <xf numFmtId="0" fontId="62" fillId="13" borderId="25" xfId="0" applyFont="1" applyFill="1" applyBorder="1" applyAlignment="1">
      <alignment horizontal="center"/>
    </xf>
    <xf numFmtId="0" fontId="62" fillId="13" borderId="57" xfId="0" applyFont="1" applyFill="1" applyBorder="1" applyAlignment="1">
      <alignment horizontal="center"/>
    </xf>
    <xf numFmtId="0" fontId="62" fillId="13" borderId="58" xfId="0" applyFont="1" applyFill="1" applyBorder="1" applyAlignment="1">
      <alignment horizontal="center"/>
    </xf>
    <xf numFmtId="0" fontId="49" fillId="15" borderId="21" xfId="0" applyFont="1" applyFill="1" applyBorder="1" applyAlignment="1">
      <alignment horizontal="center"/>
    </xf>
    <xf numFmtId="0" fontId="49" fillId="14" borderId="21" xfId="0" applyFont="1" applyFill="1" applyBorder="1" applyAlignment="1">
      <alignment horizontal="center"/>
    </xf>
    <xf numFmtId="0" fontId="18" fillId="12" borderId="62" xfId="0" applyFont="1" applyFill="1" applyBorder="1"/>
    <xf numFmtId="0" fontId="71" fillId="15" borderId="44" xfId="0" applyFont="1" applyFill="1" applyBorder="1"/>
    <xf numFmtId="0" fontId="70" fillId="15" borderId="44" xfId="0" applyFont="1" applyFill="1" applyBorder="1" applyAlignment="1">
      <alignment wrapText="1"/>
    </xf>
    <xf numFmtId="0" fontId="71" fillId="14" borderId="44" xfId="0" applyFont="1" applyFill="1" applyBorder="1" applyAlignment="1">
      <alignment horizontal="center"/>
    </xf>
    <xf numFmtId="0" fontId="71" fillId="15" borderId="44" xfId="0" quotePrefix="1" applyFont="1" applyFill="1" applyBorder="1" applyAlignment="1">
      <alignment horizontal="center"/>
    </xf>
    <xf numFmtId="0" fontId="71" fillId="15" borderId="44" xfId="0" applyFont="1" applyFill="1" applyBorder="1" applyAlignment="1">
      <alignment horizontal="center"/>
    </xf>
    <xf numFmtId="0" fontId="15" fillId="15" borderId="44" xfId="0" applyFont="1" applyFill="1" applyBorder="1"/>
    <xf numFmtId="0" fontId="70" fillId="15" borderId="65" xfId="0" applyFont="1" applyFill="1" applyBorder="1" applyAlignment="1">
      <alignment wrapText="1"/>
    </xf>
    <xf numFmtId="0" fontId="71" fillId="14" borderId="65" xfId="0" applyFont="1" applyFill="1" applyBorder="1" applyAlignment="1">
      <alignment horizontal="center"/>
    </xf>
    <xf numFmtId="0" fontId="71" fillId="15" borderId="65" xfId="0" applyFont="1" applyFill="1" applyBorder="1" applyAlignment="1">
      <alignment horizontal="center"/>
    </xf>
    <xf numFmtId="0" fontId="15" fillId="15" borderId="65" xfId="0" applyFont="1" applyFill="1" applyBorder="1"/>
    <xf numFmtId="0" fontId="15" fillId="14" borderId="44" xfId="0" quotePrefix="1" applyFont="1" applyFill="1" applyBorder="1"/>
    <xf numFmtId="0" fontId="15" fillId="14" borderId="44" xfId="0" applyFont="1" applyFill="1" applyBorder="1" applyAlignment="1">
      <alignment horizontal="center"/>
    </xf>
    <xf numFmtId="0" fontId="70" fillId="15" borderId="44" xfId="0" applyFont="1" applyFill="1" applyBorder="1"/>
    <xf numFmtId="4" fontId="15" fillId="15" borderId="44" xfId="0" applyNumberFormat="1" applyFont="1" applyFill="1" applyBorder="1" applyAlignment="1">
      <alignment horizontal="center"/>
    </xf>
    <xf numFmtId="4" fontId="71" fillId="14" borderId="44" xfId="0" applyNumberFormat="1" applyFont="1" applyFill="1" applyBorder="1" applyAlignment="1">
      <alignment horizontal="center"/>
    </xf>
    <xf numFmtId="0" fontId="15" fillId="14" borderId="44" xfId="0" applyFont="1" applyFill="1" applyBorder="1"/>
    <xf numFmtId="0" fontId="72" fillId="31" borderId="61" xfId="0" applyFont="1" applyFill="1" applyBorder="1" applyAlignment="1">
      <alignment horizontal="center"/>
    </xf>
    <xf numFmtId="0" fontId="35" fillId="12" borderId="62" xfId="0" applyFont="1" applyFill="1" applyBorder="1"/>
    <xf numFmtId="0" fontId="35" fillId="12" borderId="63" xfId="0" applyFont="1" applyFill="1" applyBorder="1"/>
    <xf numFmtId="0" fontId="17" fillId="15" borderId="44" xfId="0" applyFont="1" applyFill="1" applyBorder="1" applyAlignment="1">
      <alignment wrapText="1"/>
    </xf>
    <xf numFmtId="0" fontId="17" fillId="15" borderId="35" xfId="0" applyFont="1" applyFill="1" applyBorder="1" applyAlignment="1">
      <alignment wrapText="1"/>
    </xf>
    <xf numFmtId="0" fontId="17" fillId="15" borderId="44" xfId="0" applyFont="1" applyFill="1" applyBorder="1"/>
    <xf numFmtId="0" fontId="73" fillId="15" borderId="44" xfId="0" applyFont="1" applyFill="1" applyBorder="1" applyAlignment="1">
      <alignment horizontal="center"/>
    </xf>
    <xf numFmtId="0" fontId="73" fillId="14" borderId="44" xfId="0" applyFont="1" applyFill="1" applyBorder="1" applyAlignment="1">
      <alignment horizontal="center"/>
    </xf>
    <xf numFmtId="0" fontId="71" fillId="14" borderId="70" xfId="0" applyFont="1" applyFill="1" applyBorder="1" applyAlignment="1">
      <alignment horizontal="center"/>
    </xf>
    <xf numFmtId="4" fontId="71" fillId="15" borderId="44" xfId="0" applyNumberFormat="1" applyFont="1" applyFill="1" applyBorder="1" applyAlignment="1">
      <alignment horizontal="center"/>
    </xf>
    <xf numFmtId="0" fontId="15" fillId="15" borderId="44" xfId="0" applyFont="1" applyFill="1" applyBorder="1" applyAlignment="1">
      <alignment horizontal="center"/>
    </xf>
    <xf numFmtId="4" fontId="71" fillId="30" borderId="44" xfId="0" applyNumberFormat="1" applyFont="1" applyFill="1" applyBorder="1"/>
    <xf numFmtId="4" fontId="15" fillId="30" borderId="44" xfId="0" applyNumberFormat="1" applyFont="1" applyFill="1" applyBorder="1"/>
    <xf numFmtId="0" fontId="49" fillId="14" borderId="44" xfId="0" applyFont="1" applyFill="1" applyBorder="1" applyAlignment="1">
      <alignment horizontal="left"/>
    </xf>
    <xf numFmtId="0" fontId="49" fillId="15" borderId="44" xfId="0" applyFont="1" applyFill="1" applyBorder="1" applyAlignment="1">
      <alignment horizontal="left"/>
    </xf>
    <xf numFmtId="0" fontId="74" fillId="14" borderId="44" xfId="0" applyFont="1" applyFill="1" applyBorder="1" applyAlignment="1">
      <alignment horizontal="left"/>
    </xf>
    <xf numFmtId="0" fontId="74" fillId="15" borderId="44" xfId="0" applyFont="1" applyFill="1" applyBorder="1" applyAlignment="1">
      <alignment horizontal="left"/>
    </xf>
    <xf numFmtId="0" fontId="75" fillId="13" borderId="44" xfId="0" applyFont="1" applyFill="1" applyBorder="1"/>
    <xf numFmtId="0" fontId="62" fillId="15" borderId="44" xfId="0" applyFont="1" applyFill="1" applyBorder="1"/>
    <xf numFmtId="0" fontId="62" fillId="14" borderId="44" xfId="0" applyFont="1" applyFill="1" applyBorder="1" applyAlignment="1">
      <alignment horizontal="left"/>
    </xf>
    <xf numFmtId="0" fontId="75" fillId="15" borderId="44" xfId="0" applyFont="1" applyFill="1" applyBorder="1" applyAlignment="1">
      <alignment horizontal="left"/>
    </xf>
    <xf numFmtId="0" fontId="59" fillId="14" borderId="44" xfId="0" applyFont="1" applyFill="1" applyBorder="1" applyAlignment="1">
      <alignment horizontal="center"/>
    </xf>
    <xf numFmtId="4" fontId="73" fillId="15" borderId="44" xfId="0" applyNumberFormat="1" applyFont="1" applyFill="1" applyBorder="1" applyAlignment="1">
      <alignment horizontal="center"/>
    </xf>
    <xf numFmtId="0" fontId="59" fillId="15" borderId="44" xfId="0" applyFont="1" applyFill="1" applyBorder="1" applyAlignment="1">
      <alignment horizontal="center"/>
    </xf>
    <xf numFmtId="0" fontId="59" fillId="29" borderId="44" xfId="0" applyFont="1" applyFill="1" applyBorder="1"/>
    <xf numFmtId="0" fontId="73" fillId="29" borderId="44" xfId="0" applyFont="1" applyFill="1" applyBorder="1"/>
    <xf numFmtId="0" fontId="64" fillId="29" borderId="44" xfId="0" applyFont="1" applyFill="1" applyBorder="1"/>
    <xf numFmtId="0" fontId="77" fillId="32" borderId="61" xfId="0" applyFont="1" applyFill="1" applyBorder="1" applyAlignment="1">
      <alignment horizontal="center"/>
    </xf>
    <xf numFmtId="0" fontId="44" fillId="12" borderId="63" xfId="0" applyFont="1" applyFill="1" applyBorder="1"/>
    <xf numFmtId="0" fontId="44" fillId="12" borderId="62" xfId="0" applyFont="1" applyFill="1" applyBorder="1"/>
    <xf numFmtId="0" fontId="78" fillId="14" borderId="44" xfId="0" applyFont="1" applyFill="1" applyBorder="1" applyAlignment="1">
      <alignment wrapText="1"/>
    </xf>
    <xf numFmtId="0" fontId="78" fillId="14" borderId="44" xfId="0" applyFont="1" applyFill="1" applyBorder="1"/>
    <xf numFmtId="0" fontId="78" fillId="15" borderId="44" xfId="0" applyFont="1" applyFill="1" applyBorder="1"/>
    <xf numFmtId="0" fontId="79" fillId="32" borderId="44" xfId="0" applyFont="1" applyFill="1" applyBorder="1" applyAlignment="1">
      <alignment horizontal="left" wrapText="1" readingOrder="1"/>
    </xf>
    <xf numFmtId="170" fontId="71" fillId="14" borderId="44" xfId="0" applyNumberFormat="1" applyFont="1" applyFill="1" applyBorder="1" applyAlignment="1">
      <alignment horizontal="center" vertical="center" wrapText="1" readingOrder="1"/>
    </xf>
    <xf numFmtId="170" fontId="71" fillId="15" borderId="44" xfId="0" applyNumberFormat="1" applyFont="1" applyFill="1" applyBorder="1" applyAlignment="1">
      <alignment horizontal="center"/>
    </xf>
    <xf numFmtId="10" fontId="71" fillId="14" borderId="44" xfId="0" applyNumberFormat="1" applyFont="1" applyFill="1" applyBorder="1" applyAlignment="1">
      <alignment horizontal="center" wrapText="1" readingOrder="1"/>
    </xf>
    <xf numFmtId="0" fontId="71" fillId="15" borderId="71" xfId="0" applyFont="1" applyFill="1" applyBorder="1"/>
    <xf numFmtId="0" fontId="18" fillId="12" borderId="72" xfId="0" applyFont="1" applyFill="1" applyBorder="1"/>
    <xf numFmtId="0" fontId="18" fillId="12" borderId="73" xfId="0" applyFont="1" applyFill="1" applyBorder="1"/>
    <xf numFmtId="166" fontId="71" fillId="15" borderId="44" xfId="0" applyNumberFormat="1" applyFont="1" applyFill="1" applyBorder="1"/>
    <xf numFmtId="0" fontId="79" fillId="15" borderId="30" xfId="0" applyFont="1" applyFill="1" applyBorder="1"/>
    <xf numFmtId="0" fontId="18" fillId="12" borderId="31" xfId="0" applyFont="1" applyFill="1" applyBorder="1"/>
    <xf numFmtId="0" fontId="18" fillId="12" borderId="75" xfId="0" applyFont="1" applyFill="1" applyBorder="1"/>
    <xf numFmtId="170" fontId="71" fillId="15" borderId="44" xfId="0" applyNumberFormat="1" applyFont="1" applyFill="1" applyBorder="1"/>
    <xf numFmtId="0" fontId="79" fillId="15" borderId="78" xfId="0" applyFont="1" applyFill="1" applyBorder="1"/>
    <xf numFmtId="0" fontId="18" fillId="12" borderId="79" xfId="0" applyFont="1" applyFill="1" applyBorder="1"/>
    <xf numFmtId="0" fontId="78" fillId="14" borderId="44" xfId="0" applyFont="1" applyFill="1" applyBorder="1" applyAlignment="1">
      <alignment horizontal="left" wrapText="1" readingOrder="1"/>
    </xf>
    <xf numFmtId="0" fontId="73" fillId="32" borderId="44" xfId="0" applyFont="1" applyFill="1" applyBorder="1" applyAlignment="1">
      <alignment horizontal="center" wrapText="1" readingOrder="1"/>
    </xf>
    <xf numFmtId="0" fontId="73" fillId="15" borderId="44" xfId="0" applyFont="1" applyFill="1" applyBorder="1" applyAlignment="1">
      <alignment horizontal="left" wrapText="1" readingOrder="1"/>
    </xf>
    <xf numFmtId="0" fontId="73" fillId="14" borderId="44" xfId="0" applyFont="1" applyFill="1" applyBorder="1" applyAlignment="1">
      <alignment horizontal="left" wrapText="1" readingOrder="1"/>
    </xf>
    <xf numFmtId="0" fontId="73" fillId="30" borderId="51" xfId="0" applyFont="1" applyFill="1" applyBorder="1" applyAlignment="1">
      <alignment horizontal="left" wrapText="1" readingOrder="1"/>
    </xf>
    <xf numFmtId="170" fontId="80" fillId="19" borderId="44" xfId="0" applyNumberFormat="1" applyFont="1" applyFill="1" applyBorder="1"/>
    <xf numFmtId="170" fontId="80" fillId="30" borderId="44" xfId="0" applyNumberFormat="1" applyFont="1" applyFill="1" applyBorder="1" applyAlignment="1">
      <alignment horizontal="center"/>
    </xf>
    <xf numFmtId="10" fontId="80" fillId="29" borderId="44" xfId="0" applyNumberFormat="1" applyFont="1" applyFill="1" applyBorder="1" applyAlignment="1">
      <alignment horizontal="center"/>
    </xf>
    <xf numFmtId="170" fontId="80" fillId="29" borderId="44" xfId="0" applyNumberFormat="1" applyFont="1" applyFill="1" applyBorder="1"/>
    <xf numFmtId="0" fontId="81" fillId="19" borderId="74" xfId="0" applyFont="1" applyFill="1" applyBorder="1" applyAlignment="1">
      <alignment horizontal="center" vertical="center" wrapText="1" readingOrder="1"/>
    </xf>
    <xf numFmtId="0" fontId="82" fillId="12" borderId="76" xfId="0" applyFont="1" applyFill="1" applyBorder="1"/>
    <xf numFmtId="0" fontId="82" fillId="12" borderId="77" xfId="0" applyFont="1" applyFill="1" applyBorder="1"/>
    <xf numFmtId="10" fontId="83" fillId="14" borderId="44" xfId="0" applyNumberFormat="1" applyFont="1" applyFill="1" applyBorder="1" applyAlignment="1">
      <alignment horizontal="center"/>
    </xf>
    <xf numFmtId="170" fontId="15" fillId="14" borderId="44" xfId="0" applyNumberFormat="1" applyFont="1" applyFill="1" applyBorder="1"/>
    <xf numFmtId="4" fontId="15" fillId="14" borderId="44" xfId="0" applyNumberFormat="1" applyFont="1" applyFill="1" applyBorder="1"/>
    <xf numFmtId="170" fontId="15" fillId="15" borderId="44" xfId="0" applyNumberFormat="1" applyFont="1" applyFill="1" applyBorder="1"/>
    <xf numFmtId="170" fontId="15" fillId="29" borderId="44" xfId="0" applyNumberFormat="1" applyFont="1" applyFill="1" applyBorder="1"/>
    <xf numFmtId="10" fontId="15" fillId="15" borderId="44" xfId="0" applyNumberFormat="1" applyFont="1" applyFill="1" applyBorder="1"/>
    <xf numFmtId="9" fontId="15" fillId="29" borderId="44" xfId="0" applyNumberFormat="1" applyFont="1" applyFill="1" applyBorder="1"/>
    <xf numFmtId="9" fontId="15" fillId="15" borderId="44" xfId="0" applyNumberFormat="1" applyFont="1" applyFill="1" applyBorder="1"/>
    <xf numFmtId="0" fontId="49" fillId="15" borderId="44" xfId="0" quotePrefix="1" applyFont="1" applyFill="1" applyBorder="1" applyAlignment="1">
      <alignment horizontal="left"/>
    </xf>
    <xf numFmtId="0" fontId="49" fillId="15" borderId="44" xfId="0" quotePrefix="1" applyFont="1" applyFill="1" applyBorder="1"/>
    <xf numFmtId="0" fontId="49" fillId="15" borderId="44" xfId="0" applyFont="1" applyFill="1" applyBorder="1"/>
    <xf numFmtId="0" fontId="56" fillId="29" borderId="44" xfId="0" applyFont="1" applyFill="1" applyBorder="1"/>
    <xf numFmtId="0" fontId="59" fillId="29" borderId="44" xfId="0" applyFont="1" applyFill="1" applyBorder="1" applyAlignment="1">
      <alignment horizontal="left"/>
    </xf>
    <xf numFmtId="0" fontId="58" fillId="29" borderId="44" xfId="0" applyFont="1" applyFill="1" applyBorder="1"/>
    <xf numFmtId="0" fontId="56" fillId="14" borderId="44" xfId="0" quotePrefix="1" applyFont="1" applyFill="1" applyBorder="1" applyAlignment="1">
      <alignment horizontal="left"/>
    </xf>
    <xf numFmtId="0" fontId="56" fillId="14" borderId="44" xfId="0" applyFont="1" applyFill="1" applyBorder="1"/>
    <xf numFmtId="4" fontId="15" fillId="14" borderId="44" xfId="0" applyNumberFormat="1" applyFont="1" applyFill="1" applyBorder="1" applyAlignment="1">
      <alignment horizontal="center"/>
    </xf>
    <xf numFmtId="9" fontId="15" fillId="14" borderId="44" xfId="0" applyNumberFormat="1" applyFont="1" applyFill="1" applyBorder="1"/>
    <xf numFmtId="4" fontId="15" fillId="15" borderId="35" xfId="0" applyNumberFormat="1" applyFont="1" applyFill="1" applyBorder="1" applyAlignment="1">
      <alignment horizontal="center"/>
    </xf>
    <xf numFmtId="170" fontId="14" fillId="29" borderId="44" xfId="0" applyNumberFormat="1" applyFont="1" applyFill="1" applyBorder="1"/>
    <xf numFmtId="9" fontId="15" fillId="29" borderId="35" xfId="0" applyNumberFormat="1" applyFont="1" applyFill="1" applyBorder="1"/>
    <xf numFmtId="0" fontId="56" fillId="15" borderId="44" xfId="0" applyFont="1" applyFill="1" applyBorder="1"/>
    <xf numFmtId="0" fontId="56" fillId="15" borderId="44" xfId="0" applyFont="1" applyFill="1" applyBorder="1" applyAlignment="1">
      <alignment horizontal="center"/>
    </xf>
    <xf numFmtId="0" fontId="49" fillId="14" borderId="44" xfId="0" applyFont="1" applyFill="1" applyBorder="1"/>
    <xf numFmtId="9" fontId="76" fillId="29" borderId="35" xfId="0" applyNumberFormat="1" applyFont="1" applyFill="1" applyBorder="1"/>
    <xf numFmtId="170" fontId="15" fillId="15" borderId="81" xfId="0" applyNumberFormat="1" applyFont="1" applyFill="1" applyBorder="1"/>
    <xf numFmtId="164" fontId="15" fillId="14" borderId="83" xfId="0" applyNumberFormat="1" applyFont="1" applyFill="1" applyBorder="1"/>
    <xf numFmtId="4" fontId="15" fillId="15" borderId="83" xfId="0" applyNumberFormat="1" applyFont="1" applyFill="1" applyBorder="1"/>
    <xf numFmtId="4" fontId="15" fillId="14" borderId="83" xfId="0" applyNumberFormat="1" applyFont="1" applyFill="1" applyBorder="1"/>
    <xf numFmtId="9" fontId="15" fillId="29" borderId="87" xfId="0" applyNumberFormat="1" applyFont="1" applyFill="1" applyBorder="1"/>
    <xf numFmtId="4" fontId="15" fillId="15" borderId="35" xfId="0" applyNumberFormat="1" applyFont="1" applyFill="1" applyBorder="1"/>
    <xf numFmtId="0" fontId="18" fillId="12" borderId="46" xfId="0" applyFont="1" applyFill="1" applyBorder="1"/>
    <xf numFmtId="9" fontId="15" fillId="30" borderId="44" xfId="0" applyNumberFormat="1" applyFont="1" applyFill="1" applyBorder="1"/>
    <xf numFmtId="4" fontId="15" fillId="15" borderId="44" xfId="0" applyNumberFormat="1" applyFont="1" applyFill="1" applyBorder="1"/>
    <xf numFmtId="2" fontId="15" fillId="30" borderId="44" xfId="0" applyNumberFormat="1" applyFont="1" applyFill="1" applyBorder="1"/>
    <xf numFmtId="164" fontId="15" fillId="15" borderId="44" xfId="0" applyNumberFormat="1" applyFont="1" applyFill="1" applyBorder="1"/>
    <xf numFmtId="4" fontId="15" fillId="15" borderId="81" xfId="0" applyNumberFormat="1" applyFont="1" applyFill="1" applyBorder="1"/>
    <xf numFmtId="9" fontId="15" fillId="29" borderId="85" xfId="0" applyNumberFormat="1" applyFont="1" applyFill="1" applyBorder="1"/>
    <xf numFmtId="9" fontId="15" fillId="15" borderId="81" xfId="0" applyNumberFormat="1" applyFont="1" applyFill="1" applyBorder="1"/>
    <xf numFmtId="9" fontId="15" fillId="14" borderId="83" xfId="0" applyNumberFormat="1" applyFont="1" applyFill="1" applyBorder="1"/>
    <xf numFmtId="166" fontId="15" fillId="29" borderId="85" xfId="0" applyNumberFormat="1" applyFont="1" applyFill="1" applyBorder="1"/>
    <xf numFmtId="170" fontId="15" fillId="14" borderId="83" xfId="0" applyNumberFormat="1" applyFont="1" applyFill="1" applyBorder="1"/>
    <xf numFmtId="0" fontId="49" fillId="15" borderId="80" xfId="0" applyFont="1" applyFill="1" applyBorder="1"/>
    <xf numFmtId="0" fontId="49" fillId="14" borderId="82" xfId="0" applyFont="1" applyFill="1" applyBorder="1"/>
    <xf numFmtId="0" fontId="49" fillId="15" borderId="82" xfId="0" applyFont="1" applyFill="1" applyBorder="1"/>
    <xf numFmtId="0" fontId="17" fillId="29" borderId="84" xfId="0" applyFont="1" applyFill="1" applyBorder="1"/>
    <xf numFmtId="0" fontId="59" fillId="29" borderId="84" xfId="0" applyFont="1" applyFill="1" applyBorder="1"/>
    <xf numFmtId="0" fontId="59" fillId="29" borderId="35" xfId="0" applyFont="1" applyFill="1" applyBorder="1"/>
    <xf numFmtId="0" fontId="59" fillId="29" borderId="86" xfId="0" applyFont="1" applyFill="1" applyBorder="1"/>
    <xf numFmtId="0" fontId="59" fillId="30" borderId="44" xfId="0" applyFont="1" applyFill="1" applyBorder="1"/>
    <xf numFmtId="0" fontId="59" fillId="30" borderId="44" xfId="0" quotePrefix="1" applyFont="1" applyFill="1" applyBorder="1"/>
    <xf numFmtId="0" fontId="56" fillId="31" borderId="45" xfId="0" applyFont="1" applyFill="1" applyBorder="1" applyAlignment="1">
      <alignment horizontal="center"/>
    </xf>
    <xf numFmtId="0" fontId="44" fillId="12" borderId="46" xfId="0" applyFont="1" applyFill="1" applyBorder="1"/>
    <xf numFmtId="0" fontId="15" fillId="30" borderId="44" xfId="0" applyFont="1" applyFill="1" applyBorder="1"/>
    <xf numFmtId="10" fontId="15" fillId="30" borderId="44" xfId="0" applyNumberFormat="1" applyFont="1" applyFill="1" applyBorder="1"/>
    <xf numFmtId="0" fontId="15" fillId="30" borderId="44" xfId="0" applyFont="1" applyFill="1" applyBorder="1" applyAlignment="1">
      <alignment horizontal="right"/>
    </xf>
    <xf numFmtId="10" fontId="15" fillId="30" borderId="44" xfId="0" applyNumberFormat="1" applyFont="1" applyFill="1" applyBorder="1" applyAlignment="1">
      <alignment horizontal="right"/>
    </xf>
    <xf numFmtId="166" fontId="15" fillId="30" borderId="44" xfId="0" applyNumberFormat="1" applyFont="1" applyFill="1" applyBorder="1"/>
    <xf numFmtId="166" fontId="15" fillId="30" borderId="44" xfId="0" applyNumberFormat="1" applyFont="1" applyFill="1" applyBorder="1" applyAlignment="1">
      <alignment horizontal="right"/>
    </xf>
    <xf numFmtId="2" fontId="15" fillId="30" borderId="35" xfId="0" applyNumberFormat="1" applyFont="1" applyFill="1" applyBorder="1"/>
    <xf numFmtId="2" fontId="15" fillId="29" borderId="44" xfId="0" applyNumberFormat="1" applyFont="1" applyFill="1" applyBorder="1"/>
    <xf numFmtId="0" fontId="18" fillId="12" borderId="88" xfId="0" applyFont="1" applyFill="1" applyBorder="1"/>
    <xf numFmtId="166" fontId="15" fillId="15" borderId="44" xfId="0" applyNumberFormat="1" applyFont="1" applyFill="1" applyBorder="1" applyAlignment="1">
      <alignment horizontal="center"/>
    </xf>
    <xf numFmtId="10" fontId="15" fillId="14" borderId="44" xfId="0" applyNumberFormat="1" applyFont="1" applyFill="1" applyBorder="1"/>
    <xf numFmtId="0" fontId="15" fillId="29" borderId="45" xfId="0" applyFont="1" applyFill="1" applyBorder="1" applyAlignment="1">
      <alignment horizontal="center"/>
    </xf>
    <xf numFmtId="2" fontId="15" fillId="14" borderId="45" xfId="0" applyNumberFormat="1" applyFont="1" applyFill="1" applyBorder="1" applyAlignment="1">
      <alignment horizontal="center"/>
    </xf>
    <xf numFmtId="0" fontId="15" fillId="15" borderId="45" xfId="0" applyFont="1" applyFill="1" applyBorder="1" applyAlignment="1">
      <alignment horizontal="center"/>
    </xf>
    <xf numFmtId="2" fontId="15" fillId="29" borderId="45" xfId="0" applyNumberFormat="1" applyFont="1" applyFill="1" applyBorder="1" applyAlignment="1">
      <alignment horizontal="center"/>
    </xf>
    <xf numFmtId="0" fontId="44" fillId="12" borderId="88" xfId="0" applyFont="1" applyFill="1" applyBorder="1"/>
    <xf numFmtId="0" fontId="56" fillId="31" borderId="71" xfId="0" applyFont="1" applyFill="1" applyBorder="1" applyAlignment="1">
      <alignment horizontal="center"/>
    </xf>
    <xf numFmtId="0" fontId="44" fillId="12" borderId="73" xfId="0" applyFont="1" applyFill="1" applyBorder="1"/>
    <xf numFmtId="0" fontId="49" fillId="30" borderId="44" xfId="0" applyFont="1" applyFill="1" applyBorder="1"/>
    <xf numFmtId="0" fontId="49" fillId="30" borderId="89" xfId="0" applyFont="1" applyFill="1" applyBorder="1"/>
    <xf numFmtId="0" fontId="59" fillId="14" borderId="44" xfId="0" applyFont="1" applyFill="1" applyBorder="1"/>
    <xf numFmtId="0" fontId="59" fillId="15" borderId="44" xfId="0" applyFont="1" applyFill="1" applyBorder="1"/>
    <xf numFmtId="0" fontId="64" fillId="31" borderId="45" xfId="0" applyFont="1" applyFill="1" applyBorder="1" applyAlignment="1">
      <alignment horizontal="center"/>
    </xf>
    <xf numFmtId="0" fontId="40" fillId="12" borderId="88" xfId="0" applyFont="1" applyFill="1" applyBorder="1"/>
    <xf numFmtId="0" fontId="40" fillId="12" borderId="46" xfId="0" applyFont="1" applyFill="1" applyBorder="1"/>
    <xf numFmtId="166" fontId="15" fillId="15" borderId="44" xfId="0" applyNumberFormat="1" applyFont="1" applyFill="1" applyBorder="1"/>
    <xf numFmtId="4" fontId="15" fillId="29" borderId="45" xfId="0" applyNumberFormat="1" applyFont="1" applyFill="1" applyBorder="1" applyAlignment="1">
      <alignment horizontal="center"/>
    </xf>
    <xf numFmtId="2" fontId="15" fillId="15" borderId="44" xfId="0" applyNumberFormat="1" applyFont="1" applyFill="1" applyBorder="1"/>
    <xf numFmtId="2" fontId="15" fillId="14" borderId="44" xfId="0" applyNumberFormat="1" applyFont="1" applyFill="1" applyBorder="1"/>
    <xf numFmtId="2" fontId="18" fillId="14" borderId="44" xfId="0" applyNumberFormat="1" applyFont="1" applyFill="1" applyBorder="1"/>
    <xf numFmtId="4" fontId="18" fillId="14" borderId="44" xfId="0" applyNumberFormat="1" applyFont="1" applyFill="1" applyBorder="1"/>
    <xf numFmtId="0" fontId="20" fillId="19" borderId="45" xfId="0" applyFont="1" applyFill="1" applyBorder="1" applyAlignment="1">
      <alignment horizontal="center"/>
    </xf>
    <xf numFmtId="0" fontId="49" fillId="15" borderId="44" xfId="0" applyFont="1" applyFill="1" applyBorder="1" applyAlignment="1">
      <alignment wrapText="1"/>
    </xf>
    <xf numFmtId="0" fontId="49" fillId="14" borderId="44" xfId="0" quotePrefix="1" applyFont="1" applyFill="1" applyBorder="1"/>
    <xf numFmtId="0" fontId="49" fillId="15" borderId="44" xfId="0" applyFont="1" applyFill="1" applyBorder="1" applyAlignment="1">
      <alignment horizontal="left" wrapText="1"/>
    </xf>
    <xf numFmtId="0" fontId="25" fillId="14" borderId="44" xfId="0" applyFont="1" applyFill="1" applyBorder="1"/>
    <xf numFmtId="0" fontId="59" fillId="30" borderId="44" xfId="0" applyFont="1" applyFill="1" applyBorder="1" applyAlignment="1">
      <alignment wrapText="1"/>
    </xf>
    <xf numFmtId="0" fontId="84" fillId="33" borderId="35" xfId="0" applyFont="1" applyFill="1" applyBorder="1"/>
    <xf numFmtId="0" fontId="85" fillId="19" borderId="45" xfId="0" applyFont="1" applyFill="1" applyBorder="1" applyAlignment="1">
      <alignment horizontal="center"/>
    </xf>
    <xf numFmtId="0" fontId="86" fillId="12" borderId="46" xfId="0" applyFont="1" applyFill="1" applyBorder="1"/>
    <xf numFmtId="0" fontId="18" fillId="29" borderId="35" xfId="0" applyFont="1" applyFill="1" applyBorder="1"/>
    <xf numFmtId="0" fontId="15" fillId="34" borderId="35" xfId="0" applyFont="1" applyFill="1" applyBorder="1"/>
    <xf numFmtId="0" fontId="15" fillId="34" borderId="35" xfId="0" applyFont="1" applyFill="1" applyBorder="1" applyAlignment="1">
      <alignment horizontal="left"/>
    </xf>
    <xf numFmtId="167" fontId="15" fillId="34" borderId="35" xfId="0" applyNumberFormat="1" applyFont="1" applyFill="1" applyBorder="1" applyAlignment="1">
      <alignment horizontal="right"/>
    </xf>
    <xf numFmtId="0" fontId="15" fillId="34" borderId="35" xfId="0" applyFont="1" applyFill="1" applyBorder="1" applyAlignment="1">
      <alignment horizontal="right"/>
    </xf>
    <xf numFmtId="168" fontId="15" fillId="34" borderId="35" xfId="0" applyNumberFormat="1" applyFont="1" applyFill="1" applyBorder="1" applyAlignment="1">
      <alignment horizontal="right"/>
    </xf>
    <xf numFmtId="168" fontId="18" fillId="34" borderId="35" xfId="0" applyNumberFormat="1" applyFont="1" applyFill="1" applyBorder="1" applyAlignment="1">
      <alignment horizontal="right"/>
    </xf>
    <xf numFmtId="168" fontId="15" fillId="34" borderId="35" xfId="0" applyNumberFormat="1" applyFont="1" applyFill="1" applyBorder="1"/>
    <xf numFmtId="2" fontId="15" fillId="34" borderId="35" xfId="0" applyNumberFormat="1" applyFont="1" applyFill="1" applyBorder="1" applyAlignment="1">
      <alignment horizontal="right"/>
    </xf>
    <xf numFmtId="167" fontId="18" fillId="34" borderId="35" xfId="0" applyNumberFormat="1" applyFont="1" applyFill="1" applyBorder="1" applyAlignment="1">
      <alignment horizontal="right"/>
    </xf>
    <xf numFmtId="167" fontId="15" fillId="34" borderId="35" xfId="0" applyNumberFormat="1" applyFont="1" applyFill="1" applyBorder="1"/>
    <xf numFmtId="2" fontId="15" fillId="34" borderId="35" xfId="0" applyNumberFormat="1" applyFont="1" applyFill="1" applyBorder="1"/>
    <xf numFmtId="0" fontId="14" fillId="34" borderId="35" xfId="0" applyFont="1" applyFill="1" applyBorder="1"/>
    <xf numFmtId="0" fontId="87" fillId="29" borderId="35" xfId="0" applyFont="1" applyFill="1" applyBorder="1"/>
    <xf numFmtId="0" fontId="44" fillId="29" borderId="35" xfId="0" applyFont="1" applyFill="1" applyBorder="1"/>
    <xf numFmtId="0" fontId="59" fillId="24" borderId="35" xfId="0" applyFont="1" applyFill="1" applyBorder="1"/>
    <xf numFmtId="0" fontId="88" fillId="34" borderId="35" xfId="0" applyFont="1" applyFill="1" applyBorder="1"/>
    <xf numFmtId="0" fontId="88" fillId="34" borderId="35" xfId="0" applyFont="1" applyFill="1" applyBorder="1" applyAlignment="1">
      <alignment horizontal="left" vertical="top"/>
    </xf>
    <xf numFmtId="0" fontId="56" fillId="34" borderId="35" xfId="0" applyFont="1" applyFill="1" applyBorder="1"/>
    <xf numFmtId="0" fontId="89" fillId="34" borderId="30" xfId="0" applyFont="1" applyFill="1" applyBorder="1"/>
    <xf numFmtId="0" fontId="90" fillId="12" borderId="32" xfId="0" applyFont="1" applyFill="1" applyBorder="1"/>
    <xf numFmtId="0" fontId="89" fillId="34" borderId="35" xfId="0" applyFont="1" applyFill="1" applyBorder="1"/>
    <xf numFmtId="0" fontId="90" fillId="12" borderId="31" xfId="0" applyFont="1" applyFill="1" applyBorder="1"/>
    <xf numFmtId="0" fontId="89" fillId="34" borderId="35" xfId="0" applyFont="1" applyFill="1" applyBorder="1" applyAlignment="1">
      <alignment horizontal="left"/>
    </xf>
    <xf numFmtId="10" fontId="66" fillId="18" borderId="21" xfId="0" applyNumberFormat="1" applyFont="1" applyFill="1" applyBorder="1"/>
    <xf numFmtId="2" fontId="66" fillId="24" borderId="21" xfId="0" applyNumberFormat="1" applyFont="1" applyFill="1" applyBorder="1" applyAlignment="1">
      <alignment horizontal="left"/>
    </xf>
    <xf numFmtId="2" fontId="66" fillId="27" borderId="35" xfId="0" applyNumberFormat="1" applyFont="1" applyFill="1" applyBorder="1" applyAlignment="1">
      <alignment horizontal="left"/>
    </xf>
    <xf numFmtId="4" fontId="91" fillId="7" borderId="21" xfId="0" applyNumberFormat="1" applyFont="1" applyFill="1" applyBorder="1" applyAlignment="1">
      <alignment horizontal="center"/>
    </xf>
  </cellXfs>
  <cellStyles count="1">
    <cellStyle name="Normale" xfId="0" builtinId="0"/>
  </cellStyles>
  <dxfs count="51"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ont>
        <strike val="0"/>
        <outline val="0"/>
        <shadow val="0"/>
        <u val="none"/>
        <vertAlign val="baseline"/>
        <sz val="11"/>
        <color rgb="FFFFFF00"/>
        <name val="Calibri"/>
        <family val="2"/>
        <scheme val="none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>
          <bgColor theme="1"/>
        </patternFill>
      </fill>
      <border outline="0">
        <left style="thin">
          <color rgb="FF5B9BD5"/>
        </left>
      </border>
    </dxf>
    <dxf>
      <font>
        <strike val="0"/>
        <outline val="0"/>
        <shadow val="0"/>
        <u val="none"/>
        <vertAlign val="baseline"/>
        <sz val="11"/>
        <color rgb="FFFFFF00"/>
        <name val="Calibri"/>
        <family val="2"/>
        <scheme val="none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1"/>
        </patternFill>
      </fill>
      <border outline="0">
        <left style="thin">
          <color rgb="FF5B9BD5"/>
        </left>
      </border>
    </dxf>
    <dxf>
      <font>
        <strike val="0"/>
        <outline val="0"/>
        <shadow val="0"/>
        <u val="none"/>
        <vertAlign val="baseline"/>
        <sz val="11"/>
        <color rgb="FFFFFF00"/>
        <name val="Calibri"/>
        <family val="2"/>
        <scheme val="none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>
          <bgColor theme="1"/>
        </patternFill>
      </fill>
      <border outline="0">
        <left style="thin">
          <color rgb="FF5B9BD5"/>
        </left>
      </border>
    </dxf>
    <dxf>
      <font>
        <strike val="0"/>
        <outline val="0"/>
        <shadow val="0"/>
        <u val="none"/>
        <vertAlign val="baseline"/>
        <sz val="11"/>
        <color theme="8"/>
        <name val="Calibri"/>
        <family val="2"/>
        <scheme val="none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8"/>
        <name val="Calibri"/>
        <family val="2"/>
        <scheme val="none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8"/>
        <name val="Calibri"/>
        <family val="2"/>
        <scheme val="none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rgb="FF00B0F0"/>
        <name val="Calibri"/>
        <family val="2"/>
        <scheme val="none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>
          <bgColor theme="1"/>
        </patternFill>
      </fill>
    </dxf>
    <dxf>
      <font>
        <strike val="0"/>
        <outline val="0"/>
        <shadow val="0"/>
        <u val="none"/>
        <vertAlign val="baseline"/>
        <sz val="11"/>
        <color rgb="FFFFFF00"/>
        <name val="Calibri"/>
        <family val="2"/>
        <scheme val="none"/>
      </font>
      <fill>
        <patternFill patternType="solid">
          <fgColor indexed="64"/>
          <bgColor theme="1" tint="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0"/>
      </font>
      <fill>
        <patternFill patternType="solid">
          <fgColor indexed="64"/>
          <bgColor theme="1" tint="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0"/>
      </font>
      <fill>
        <patternFill patternType="solid">
          <fgColor indexed="64"/>
          <bgColor theme="1" tint="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0"/>
      </font>
      <fill>
        <patternFill patternType="solid">
          <fgColor indexed="64"/>
          <bgColor theme="1" tint="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0"/>
      </font>
      <fill>
        <patternFill patternType="solid">
          <fgColor indexed="64"/>
          <bgColor theme="1" tint="4.9989318521683403E-2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</dxfs>
  <tableStyles count="6">
    <tableStyle name="All indexes-style" pivot="0" count="3" xr9:uid="{00000000-0011-0000-FFFF-FFFF00000000}">
      <tableStyleElement type="headerRow" dxfId="50"/>
      <tableStyleElement type="firstRowStripe" dxfId="49"/>
      <tableStyleElement type="secondRowStripe" dxfId="48"/>
    </tableStyle>
    <tableStyle name="Beta-style" pivot="0" count="3" xr9:uid="{00000000-0011-0000-FFFF-FFFF01000000}">
      <tableStyleElement type="headerRow" dxfId="47"/>
      <tableStyleElement type="firstRowStripe" dxfId="46"/>
      <tableStyleElement type="secondRowStripe" dxfId="45"/>
    </tableStyle>
    <tableStyle name="Foglio7-style" pivot="0" count="2" xr9:uid="{00000000-0011-0000-FFFF-FFFF02000000}">
      <tableStyleElement type="firstRowStripe" dxfId="44"/>
      <tableStyleElement type="secondRowStripe" dxfId="43"/>
    </tableStyle>
    <tableStyle name="Foglio7-style 2" pivot="0" count="3" xr9:uid="{00000000-0011-0000-FFFF-FFFF03000000}">
      <tableStyleElement type="headerRow" dxfId="42"/>
      <tableStyleElement type="firstRowStripe" dxfId="41"/>
      <tableStyleElement type="secondRowStripe" dxfId="40"/>
    </tableStyle>
    <tableStyle name="Foglio7-style 3" pivot="0" count="3" xr9:uid="{00000000-0011-0000-FFFF-FFFF04000000}">
      <tableStyleElement type="headerRow" dxfId="39"/>
      <tableStyleElement type="firstRowStripe" dxfId="38"/>
      <tableStyleElement type="secondRowStripe" dxfId="37"/>
    </tableStyle>
    <tableStyle name="Foglio7-style 4" pivot="0" count="3" xr9:uid="{00000000-0011-0000-FFFF-FFFF05000000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428625</xdr:colOff>
      <xdr:row>14</xdr:row>
      <xdr:rowOff>1</xdr:rowOff>
    </xdr:from>
    <xdr:ext cx="2428875" cy="8191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5629275" y="2667001"/>
          <a:ext cx="2428875" cy="819150"/>
        </a:xfrm>
        <a:prstGeom prst="rect">
          <a:avLst/>
        </a:prstGeom>
        <a:solidFill>
          <a:schemeClr val="tx1"/>
        </a:solidFill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100" b="1" i="0" u="sng">
              <a:solidFill>
                <a:srgbClr val="FF0000"/>
              </a:solidFill>
            </a:rPr>
            <a:t>Operation Based Approach</a:t>
          </a:r>
          <a:endParaRPr lang="en-US" sz="1100" i="1">
            <a:solidFill>
              <a:schemeClr val="accent1">
                <a:lumMod val="60000"/>
                <a:lumOff val="40000"/>
              </a:schemeClr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lang="en-US" sz="1100" i="1">
            <a:solidFill>
              <a:schemeClr val="accent1">
                <a:lumMod val="60000"/>
                <a:lumOff val="40000"/>
              </a:schemeClr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100" i="1">
              <a:solidFill>
                <a:schemeClr val="accent1">
                  <a:lumMod val="60000"/>
                  <a:lumOff val="40000"/>
                </a:schemeClr>
              </a:solidFill>
            </a:rPr>
            <a:t>To evaluate the Biogen exposure to the Country Risk Premium. </a:t>
          </a:r>
          <a:endParaRPr sz="1400"/>
        </a:p>
      </xdr:txBody>
    </xdr:sp>
    <xdr:clientData fLocksWithSheet="0"/>
  </xdr:oneCellAnchor>
  <xdr:oneCellAnchor>
    <xdr:from>
      <xdr:col>3</xdr:col>
      <xdr:colOff>228600</xdr:colOff>
      <xdr:row>7</xdr:row>
      <xdr:rowOff>66675</xdr:rowOff>
    </xdr:from>
    <xdr:ext cx="1924050" cy="8953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3276600" y="1400175"/>
          <a:ext cx="1924050" cy="895350"/>
        </a:xfrm>
        <a:prstGeom prst="rect">
          <a:avLst/>
        </a:prstGeom>
        <a:solidFill>
          <a:schemeClr val="tx1"/>
        </a:solidFill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100" i="1">
              <a:solidFill>
                <a:schemeClr val="bg1"/>
              </a:solidFill>
            </a:rPr>
            <a:t>The company has been listed on a mature market so the ERP’s value is taken</a:t>
          </a:r>
          <a:r>
            <a:rPr lang="en-US" sz="1100" i="1" baseline="0">
              <a:solidFill>
                <a:schemeClr val="bg1"/>
              </a:solidFill>
            </a:rPr>
            <a:t> </a:t>
          </a:r>
          <a:r>
            <a:rPr lang="en-US" sz="1100" i="1">
              <a:solidFill>
                <a:schemeClr val="bg1"/>
              </a:solidFill>
            </a:rPr>
            <a:t>from the Aswath Damodaran</a:t>
          </a:r>
          <a:r>
            <a:rPr lang="en-US" sz="1100" i="1">
              <a:solidFill>
                <a:srgbClr val="FF0000"/>
              </a:solidFill>
            </a:rPr>
            <a:t>*</a:t>
          </a:r>
          <a:r>
            <a:rPr lang="en-US" sz="1100" i="1">
              <a:solidFill>
                <a:schemeClr val="bg1"/>
              </a:solidFill>
            </a:rPr>
            <a:t> website.</a:t>
          </a:r>
          <a:endParaRPr sz="1100" i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352425</xdr:colOff>
      <xdr:row>0</xdr:row>
      <xdr:rowOff>76201</xdr:rowOff>
    </xdr:from>
    <xdr:ext cx="1733550" cy="5334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2228850" y="76201"/>
          <a:ext cx="1733550" cy="533400"/>
        </a:xfrm>
        <a:prstGeom prst="rect">
          <a:avLst/>
        </a:prstGeom>
        <a:solidFill>
          <a:schemeClr val="tx1"/>
        </a:solidFill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 b="1">
              <a:solidFill>
                <a:srgbClr val="92D050"/>
              </a:solidFill>
            </a:rPr>
            <a:t>Risk Free rate: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 b="1">
              <a:solidFill>
                <a:srgbClr val="92D050"/>
              </a:solidFill>
            </a:rPr>
            <a:t>US 10-years treasury</a:t>
          </a:r>
          <a:r>
            <a:rPr lang="en-US" sz="1100" b="1" baseline="0">
              <a:solidFill>
                <a:srgbClr val="92D050"/>
              </a:solidFill>
            </a:rPr>
            <a:t> </a:t>
          </a:r>
          <a:r>
            <a:rPr lang="en-US" sz="1100" b="1">
              <a:solidFill>
                <a:srgbClr val="92D050"/>
              </a:solidFill>
            </a:rPr>
            <a:t>bond</a:t>
          </a:r>
          <a:endParaRPr sz="1100" b="1">
            <a:solidFill>
              <a:srgbClr val="92D050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361950</xdr:colOff>
      <xdr:row>59</xdr:row>
      <xdr:rowOff>19050</xdr:rowOff>
    </xdr:from>
    <xdr:ext cx="2790825" cy="9810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3552825" y="11630025"/>
          <a:ext cx="2790825" cy="981075"/>
        </a:xfrm>
        <a:prstGeom prst="rect">
          <a:avLst/>
        </a:prstGeom>
        <a:solidFill>
          <a:schemeClr val="tx1"/>
        </a:solidFill>
        <a:ln w="9525" cap="flat" cmpd="sng">
          <a:solidFill>
            <a:srgbClr val="A2C4C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i="1">
              <a:solidFill>
                <a:schemeClr val="accent2">
                  <a:lumMod val="40000"/>
                  <a:lumOff val="60000"/>
                </a:schemeClr>
              </a:solidFill>
              <a:latin typeface="Calibri"/>
              <a:ea typeface="Calibri"/>
              <a:cs typeface="Calibri"/>
              <a:sym typeface="Calibri"/>
            </a:rPr>
            <a:t>The comparable firms have been chosen casually among the same industry of our company "Drugs (Biotechnology)" in order to eliminate all bias caused by the self selection methods.</a:t>
          </a:r>
          <a:endParaRPr sz="1100" i="1">
            <a:solidFill>
              <a:schemeClr val="accent2">
                <a:lumMod val="40000"/>
                <a:lumOff val="60000"/>
              </a:schemeClr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847725</xdr:colOff>
      <xdr:row>11</xdr:row>
      <xdr:rowOff>0</xdr:rowOff>
    </xdr:from>
    <xdr:ext cx="2695575" cy="9239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4943475" y="1990725"/>
          <a:ext cx="2695575" cy="923925"/>
        </a:xfrm>
        <a:prstGeom prst="rect">
          <a:avLst/>
        </a:prstGeom>
        <a:solidFill>
          <a:schemeClr val="tx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accent2">
                  <a:lumMod val="75000"/>
                </a:schemeClr>
              </a:solidFill>
            </a:rPr>
            <a:t>All the datas have been taken from the 2019 Biogen annual report, while the </a:t>
          </a:r>
          <a:r>
            <a:rPr lang="en-US" sz="1100" b="1" u="sng">
              <a:solidFill>
                <a:schemeClr val="accent2">
                  <a:lumMod val="75000"/>
                </a:schemeClr>
              </a:solidFill>
            </a:rPr>
            <a:t>marginal tax rate </a:t>
          </a:r>
          <a:r>
            <a:rPr lang="en-US" sz="1100">
              <a:solidFill>
                <a:schemeClr val="accent2">
                  <a:lumMod val="75000"/>
                </a:schemeClr>
              </a:solidFill>
            </a:rPr>
            <a:t>has been taken from the Aswath</a:t>
          </a:r>
          <a:r>
            <a:rPr lang="en-US" sz="1100" baseline="0">
              <a:solidFill>
                <a:schemeClr val="accent2">
                  <a:lumMod val="75000"/>
                </a:schemeClr>
              </a:solidFill>
            </a:rPr>
            <a:t> </a:t>
          </a:r>
          <a:r>
            <a:rPr lang="en-US" sz="1100">
              <a:solidFill>
                <a:schemeClr val="accent2">
                  <a:lumMod val="75000"/>
                </a:schemeClr>
              </a:solidFill>
            </a:rPr>
            <a:t>Damodaran website (as for ERP)</a:t>
          </a:r>
          <a:endParaRPr sz="1400">
            <a:solidFill>
              <a:schemeClr val="accent2">
                <a:lumMod val="75000"/>
              </a:schemeClr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000">
              <a:solidFill>
                <a:schemeClr val="accent2">
                  <a:lumMod val="75000"/>
                </a:schemeClr>
              </a:solidFill>
            </a:rPr>
            <a:t>http://pages.stern.nyu.edu/~adamodar/.</a:t>
          </a:r>
          <a:endParaRPr sz="1000">
            <a:solidFill>
              <a:schemeClr val="accent2">
                <a:lumMod val="7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847725</xdr:colOff>
      <xdr:row>6</xdr:row>
      <xdr:rowOff>0</xdr:rowOff>
    </xdr:from>
    <xdr:ext cx="2695575" cy="8096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4002975" y="3379950"/>
          <a:ext cx="2686050" cy="800100"/>
        </a:xfrm>
        <a:prstGeom prst="rect">
          <a:avLst/>
        </a:prstGeom>
        <a:solidFill>
          <a:schemeClr val="tx1"/>
        </a:solidFill>
        <a:ln w="9525" cap="flat" cmpd="sng">
          <a:solidFill>
            <a:srgbClr val="A4C2F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 b="1">
              <a:solidFill>
                <a:srgbClr val="7030A0"/>
              </a:solidFill>
            </a:rPr>
            <a:t>The current leasing expenses are capitalized by the company and so they aren’t considered as costs.</a:t>
          </a:r>
          <a:endParaRPr sz="1200" b="1">
            <a:solidFill>
              <a:srgbClr val="7030A0"/>
            </a:solidFill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1</xdr:rowOff>
    </xdr:from>
    <xdr:ext cx="1971674" cy="581024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0" y="2286001"/>
          <a:ext cx="1971674" cy="581024"/>
        </a:xfrm>
        <a:prstGeom prst="rect">
          <a:avLst/>
        </a:prstGeom>
        <a:solidFill>
          <a:schemeClr val="tx1"/>
        </a:solidFill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300"/>
            <a:buFont typeface="Arial"/>
            <a:buNone/>
          </a:pPr>
          <a:r>
            <a:rPr lang="en-US" sz="1000" i="1">
              <a:solidFill>
                <a:srgbClr val="FF0000"/>
              </a:solidFill>
            </a:rPr>
            <a:t>To obtain the KE I used the CAPM’s model, taking into consideration the CRP value.</a:t>
          </a:r>
          <a:endParaRPr sz="1000" i="1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314325</xdr:colOff>
      <xdr:row>9</xdr:row>
      <xdr:rowOff>28576</xdr:rowOff>
    </xdr:from>
    <xdr:ext cx="1762125" cy="342899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3228975" y="1657351"/>
          <a:ext cx="1762125" cy="342899"/>
        </a:xfrm>
        <a:prstGeom prst="rect">
          <a:avLst/>
        </a:prstGeom>
        <a:solidFill>
          <a:schemeClr val="tx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 u="sng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Since volatility isn't high, it can measure the FCFE</a:t>
          </a:r>
          <a:endParaRPr sz="900" b="1" u="sng">
            <a:solidFill>
              <a:srgbClr val="FF0000"/>
            </a:solidFill>
          </a:endParaRPr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B21" headerRowDxfId="33" dataDxfId="31" totalsRowDxfId="32">
  <tableColumns count="2">
    <tableColumn id="1" xr3:uid="{00000000-0010-0000-0000-000001000000}" name="Indexes" dataDxfId="29"/>
    <tableColumn id="2" xr3:uid="{00000000-0010-0000-0000-000002000000}" name="Outputs" dataDxfId="30"/>
  </tableColumns>
  <tableStyleInfo name="All index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3:D58" headerRowDxfId="22" dataDxfId="23" totalsRowDxfId="24">
  <tableColumns count="4">
    <tableColumn id="1" xr3:uid="{00000000-0010-0000-0100-000001000000}" name="Comparable Firms" dataDxfId="28"/>
    <tableColumn id="2" xr3:uid="{00000000-0010-0000-0100-000002000000}" name="Historical Levered Beta" dataDxfId="27"/>
    <tableColumn id="3" xr3:uid="{00000000-0010-0000-0100-000003000000}" name="Market D/E" dataDxfId="26"/>
    <tableColumn id="4" xr3:uid="{00000000-0010-0000-0100-000004000000}" name="Marginal Tax Rate" dataDxfId="25"/>
  </tableColumns>
  <tableStyleInfo name="Bet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0:B13" headerRowCount="0" headerRowDxfId="19" dataDxfId="17" totalsRowDxfId="18">
  <tableColumns count="2">
    <tableColumn id="1" xr3:uid="{00000000-0010-0000-0200-000001000000}" name="Column1" dataDxfId="21"/>
    <tableColumn id="2" xr3:uid="{00000000-0010-0000-0200-000002000000}" name="Column2" dataDxfId="20"/>
  </tableColumns>
  <tableStyleInfo name="Foglio7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3:B7" headerRowDxfId="9" dataDxfId="15" totalsRowDxfId="16">
  <tableColumns count="2">
    <tableColumn id="1" xr3:uid="{00000000-0010-0000-0300-000001000000}" name="Current accounting data" dataDxfId="6"/>
    <tableColumn id="2" xr3:uid="{00000000-0010-0000-0300-000002000000}" name="Value" dataDxfId="7"/>
  </tableColumns>
  <tableStyleInfo name="Foglio7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6:B22" headerRowDxfId="8" dataDxfId="13" totalsRowDxfId="14">
  <tableColumns count="2">
    <tableColumn id="1" xr3:uid="{00000000-0010-0000-0400-000001000000}" name="Year" dataDxfId="2"/>
    <tableColumn id="2" xr3:uid="{00000000-0010-0000-0400-000002000000}" name="Future leases commitment" dataDxfId="3"/>
  </tableColumns>
  <tableStyleInfo name="Foglio7-style 3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D3:E5" headerRowDxfId="10" dataDxfId="11" totalsRowDxfId="12">
  <tableColumns count="2">
    <tableColumn id="1" xr3:uid="{00000000-0010-0000-0500-000001000000}" name="Other data" dataDxfId="4"/>
    <tableColumn id="2" xr3:uid="{00000000-0010-0000-0500-000002000000}" name="value" dataDxfId="5"/>
  </tableColumns>
  <tableStyleInfo name="Foglio7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C1000"/>
  <sheetViews>
    <sheetView workbookViewId="0">
      <selection activeCell="G17" sqref="G17"/>
    </sheetView>
  </sheetViews>
  <sheetFormatPr defaultColWidth="12.625" defaultRowHeight="15" customHeight="1" x14ac:dyDescent="0.2"/>
  <cols>
    <col min="1" max="1" width="26.375" customWidth="1"/>
    <col min="2" max="2" width="9.875" customWidth="1"/>
    <col min="3" max="6" width="5.75" customWidth="1"/>
    <col min="7" max="26" width="9.625" customWidth="1"/>
  </cols>
  <sheetData>
    <row r="1" spans="1:3" x14ac:dyDescent="0.25">
      <c r="A1" s="1"/>
      <c r="B1" s="1"/>
      <c r="C1" s="1"/>
    </row>
    <row r="2" spans="1:3" x14ac:dyDescent="0.25">
      <c r="A2" s="35" t="s">
        <v>0</v>
      </c>
      <c r="B2" s="36" t="s">
        <v>2</v>
      </c>
      <c r="C2" s="1"/>
    </row>
    <row r="3" spans="1:3" x14ac:dyDescent="0.25">
      <c r="A3" s="37" t="s">
        <v>3</v>
      </c>
      <c r="B3" s="31">
        <f>'ERP-CRP'!B3</f>
        <v>0</v>
      </c>
      <c r="C3" s="1"/>
    </row>
    <row r="4" spans="1:3" x14ac:dyDescent="0.25">
      <c r="A4" s="37" t="s">
        <v>7</v>
      </c>
      <c r="B4" s="31">
        <f>'ERP-CRP'!B4</f>
        <v>7.0000000000000001E-3</v>
      </c>
      <c r="C4" s="1"/>
    </row>
    <row r="5" spans="1:3" x14ac:dyDescent="0.25">
      <c r="A5" s="37" t="s">
        <v>9</v>
      </c>
      <c r="B5" s="31">
        <f>'ERP-CRP'!E20</f>
        <v>3.7286920684019057E-3</v>
      </c>
      <c r="C5" s="1"/>
    </row>
    <row r="6" spans="1:3" x14ac:dyDescent="0.25">
      <c r="A6" s="37" t="s">
        <v>12</v>
      </c>
      <c r="B6" s="31">
        <f>'ERP-CRP'!B9</f>
        <v>5.1999999999999998E-2</v>
      </c>
      <c r="C6" s="1"/>
    </row>
    <row r="7" spans="1:3" x14ac:dyDescent="0.25">
      <c r="A7" s="37" t="s">
        <v>14</v>
      </c>
      <c r="B7" s="32">
        <f>Beta!B64</f>
        <v>1.5677143195082546</v>
      </c>
      <c r="C7" s="1"/>
    </row>
    <row r="8" spans="1:3" x14ac:dyDescent="0.25">
      <c r="A8" s="37" t="s">
        <v>15</v>
      </c>
      <c r="B8" s="32">
        <f>Beta!B63</f>
        <v>1.4549479874702222</v>
      </c>
      <c r="C8" s="1"/>
    </row>
    <row r="9" spans="1:3" x14ac:dyDescent="0.25">
      <c r="A9" s="37" t="s">
        <v>16</v>
      </c>
      <c r="B9" s="33">
        <f>Debt!G77</f>
        <v>55562.972951309996</v>
      </c>
      <c r="C9" s="1"/>
    </row>
    <row r="10" spans="1:3" x14ac:dyDescent="0.25">
      <c r="A10" s="37" t="s">
        <v>19</v>
      </c>
      <c r="B10" s="33">
        <f>Debt!G82</f>
        <v>6599.9484325541916</v>
      </c>
      <c r="C10" s="1"/>
    </row>
    <row r="11" spans="1:3" x14ac:dyDescent="0.25">
      <c r="A11" s="37" t="s">
        <v>20</v>
      </c>
      <c r="B11" s="31">
        <f>WACC!B12</f>
        <v>8.5378412630170666E-2</v>
      </c>
      <c r="C11" s="1"/>
    </row>
    <row r="12" spans="1:3" ht="15" customHeight="1" x14ac:dyDescent="0.25">
      <c r="A12" s="37" t="s">
        <v>21</v>
      </c>
      <c r="B12" s="33">
        <f>FCFF!B20</f>
        <v>3594.6803009464038</v>
      </c>
      <c r="C12" s="1"/>
    </row>
    <row r="13" spans="1:3" ht="15" customHeight="1" x14ac:dyDescent="0.25">
      <c r="A13" s="37" t="s">
        <v>22</v>
      </c>
      <c r="B13" s="33">
        <f>FCFE!B14</f>
        <v>4333.5938902997805</v>
      </c>
      <c r="C13" s="1"/>
    </row>
    <row r="14" spans="1:3" x14ac:dyDescent="0.25">
      <c r="A14" s="37" t="s">
        <v>24</v>
      </c>
      <c r="B14" s="34">
        <f>'Growth &amp; TV'!B8</f>
        <v>0.25059291977361892</v>
      </c>
      <c r="C14" s="1"/>
    </row>
    <row r="15" spans="1:3" x14ac:dyDescent="0.25">
      <c r="A15" s="37" t="s">
        <v>25</v>
      </c>
      <c r="B15" s="34">
        <f>'Growth &amp; TV'!E6</f>
        <v>0.28484860119261562</v>
      </c>
      <c r="C15" s="1"/>
    </row>
    <row r="16" spans="1:3" x14ac:dyDescent="0.25">
      <c r="A16" s="37" t="s">
        <v>27</v>
      </c>
      <c r="B16" s="34">
        <f>'Growth &amp; TV'!H4</f>
        <v>9.1080803615750661E-2</v>
      </c>
      <c r="C16" s="1"/>
    </row>
    <row r="17" spans="1:3" x14ac:dyDescent="0.25">
      <c r="A17" s="37" t="s">
        <v>28</v>
      </c>
      <c r="B17" s="34">
        <f>'Growth &amp; TV'!K6</f>
        <v>8.7292069745714851E-2</v>
      </c>
      <c r="C17" s="1"/>
    </row>
    <row r="18" spans="1:3" x14ac:dyDescent="0.25">
      <c r="A18" s="37" t="s">
        <v>29</v>
      </c>
      <c r="B18" s="31">
        <f>'Growth &amp; TV'!K22</f>
        <v>7.0000000000000001E-3</v>
      </c>
      <c r="C18" s="1"/>
    </row>
    <row r="19" spans="1:3" ht="15.75" customHeight="1" x14ac:dyDescent="0.25">
      <c r="A19" s="37" t="s">
        <v>30</v>
      </c>
      <c r="B19" s="32">
        <f>'Growth &amp; TV'!K36</f>
        <v>129430.7107408166</v>
      </c>
      <c r="C19" s="1"/>
    </row>
    <row r="20" spans="1:3" ht="15.75" customHeight="1" x14ac:dyDescent="0.25">
      <c r="A20" s="37" t="s">
        <v>31</v>
      </c>
      <c r="B20" s="32">
        <f>'Growth &amp; TV'!B46</f>
        <v>108584.03787009203</v>
      </c>
      <c r="C20" s="1"/>
    </row>
    <row r="21" spans="1:3" ht="15.75" customHeight="1" x14ac:dyDescent="0.25">
      <c r="A21" s="37" t="s">
        <v>32</v>
      </c>
      <c r="B21" s="32">
        <f>'Growth &amp; TV'!B59</f>
        <v>656.0915652893799</v>
      </c>
      <c r="C21" s="1"/>
    </row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I999"/>
  <sheetViews>
    <sheetView workbookViewId="0">
      <selection activeCell="L9" sqref="L9"/>
    </sheetView>
  </sheetViews>
  <sheetFormatPr defaultColWidth="12.625" defaultRowHeight="15" customHeight="1" x14ac:dyDescent="0.2"/>
  <cols>
    <col min="1" max="1" width="13" customWidth="1"/>
    <col min="2" max="2" width="8.5" customWidth="1"/>
    <col min="3" max="3" width="11" customWidth="1"/>
    <col min="4" max="4" width="12.5" customWidth="1"/>
    <col min="5" max="5" width="6.875" customWidth="1"/>
    <col min="6" max="6" width="28.875" customWidth="1"/>
    <col min="7" max="7" width="8.75" customWidth="1"/>
    <col min="8" max="8" width="10" customWidth="1"/>
    <col min="9" max="26" width="9.625" customWidth="1"/>
  </cols>
  <sheetData>
    <row r="1" spans="1:9" ht="14.25" customHeight="1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4.25" customHeigh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ht="14.25" customHeight="1" x14ac:dyDescent="0.25">
      <c r="A3" s="350" t="s">
        <v>276</v>
      </c>
      <c r="B3" s="312" t="s">
        <v>321</v>
      </c>
      <c r="C3" s="310" t="s">
        <v>322</v>
      </c>
      <c r="D3" s="351"/>
      <c r="E3" s="352" t="s">
        <v>323</v>
      </c>
      <c r="F3" s="311"/>
      <c r="G3" s="310" t="s">
        <v>324</v>
      </c>
      <c r="H3" s="311"/>
      <c r="I3" s="1"/>
    </row>
    <row r="4" spans="1:9" ht="14.25" customHeight="1" x14ac:dyDescent="0.25">
      <c r="A4" s="339"/>
      <c r="B4" s="288"/>
      <c r="C4" s="350" t="s">
        <v>146</v>
      </c>
      <c r="D4" s="353"/>
      <c r="E4" s="353" t="s">
        <v>146</v>
      </c>
      <c r="F4" s="354"/>
      <c r="G4" s="350" t="s">
        <v>146</v>
      </c>
      <c r="H4" s="354"/>
      <c r="I4" s="1"/>
    </row>
    <row r="5" spans="1:9" ht="14.25" customHeight="1" x14ac:dyDescent="0.25">
      <c r="A5" s="355" t="s">
        <v>326</v>
      </c>
      <c r="B5" s="298">
        <f>TTM!G11</f>
        <v>2193.1999999999998</v>
      </c>
      <c r="C5" s="297">
        <v>0.1</v>
      </c>
      <c r="D5" s="298">
        <f t="shared" ref="D5:D14" si="0">B5*C5</f>
        <v>219.32</v>
      </c>
      <c r="E5" s="297">
        <v>0.9</v>
      </c>
      <c r="F5" s="298">
        <f t="shared" ref="F5:F14" si="1">B5*E5</f>
        <v>1973.8799999999999</v>
      </c>
      <c r="G5" s="297">
        <v>0.1</v>
      </c>
      <c r="H5" s="298">
        <f t="shared" ref="H5:H14" si="2">B5*G5</f>
        <v>219.32</v>
      </c>
      <c r="I5" s="1"/>
    </row>
    <row r="6" spans="1:9" ht="14.25" customHeight="1" x14ac:dyDescent="0.25">
      <c r="A6" s="356">
        <v>2018</v>
      </c>
      <c r="B6" s="295">
        <v>2597.1999999999998</v>
      </c>
      <c r="C6" s="294">
        <v>0.2</v>
      </c>
      <c r="D6" s="295">
        <f t="shared" si="0"/>
        <v>519.43999999999994</v>
      </c>
      <c r="E6" s="294">
        <v>0.8</v>
      </c>
      <c r="F6" s="295">
        <f t="shared" si="1"/>
        <v>2077.7599999999998</v>
      </c>
      <c r="G6" s="294">
        <v>0.1</v>
      </c>
      <c r="H6" s="295">
        <f t="shared" si="2"/>
        <v>259.71999999999997</v>
      </c>
      <c r="I6" s="1"/>
    </row>
    <row r="7" spans="1:9" ht="14.25" customHeight="1" x14ac:dyDescent="0.25">
      <c r="A7" s="355">
        <v>2017</v>
      </c>
      <c r="B7" s="298">
        <v>2253.6</v>
      </c>
      <c r="C7" s="297">
        <v>0.3</v>
      </c>
      <c r="D7" s="298">
        <f t="shared" si="0"/>
        <v>676.07999999999993</v>
      </c>
      <c r="E7" s="297">
        <v>0.7</v>
      </c>
      <c r="F7" s="298">
        <f t="shared" si="1"/>
        <v>1577.5199999999998</v>
      </c>
      <c r="G7" s="297">
        <v>0.1</v>
      </c>
      <c r="H7" s="298">
        <f t="shared" si="2"/>
        <v>225.36</v>
      </c>
      <c r="I7" s="1"/>
    </row>
    <row r="8" spans="1:9" ht="14.25" customHeight="1" x14ac:dyDescent="0.25">
      <c r="A8" s="356">
        <v>2016</v>
      </c>
      <c r="B8" s="295">
        <v>1973.3</v>
      </c>
      <c r="C8" s="294">
        <v>0.4</v>
      </c>
      <c r="D8" s="295">
        <f t="shared" si="0"/>
        <v>789.32</v>
      </c>
      <c r="E8" s="294">
        <v>0.6</v>
      </c>
      <c r="F8" s="295">
        <f t="shared" si="1"/>
        <v>1183.98</v>
      </c>
      <c r="G8" s="294">
        <v>0.1</v>
      </c>
      <c r="H8" s="295">
        <f t="shared" si="2"/>
        <v>197.33</v>
      </c>
      <c r="I8" s="1"/>
    </row>
    <row r="9" spans="1:9" ht="14.25" customHeight="1" x14ac:dyDescent="0.25">
      <c r="A9" s="355">
        <v>2015</v>
      </c>
      <c r="B9" s="298">
        <v>2012.8</v>
      </c>
      <c r="C9" s="297">
        <v>0.5</v>
      </c>
      <c r="D9" s="298">
        <f t="shared" si="0"/>
        <v>1006.4</v>
      </c>
      <c r="E9" s="297">
        <v>0.5</v>
      </c>
      <c r="F9" s="298">
        <f t="shared" si="1"/>
        <v>1006.4</v>
      </c>
      <c r="G9" s="297">
        <v>0.1</v>
      </c>
      <c r="H9" s="298">
        <f t="shared" si="2"/>
        <v>201.28</v>
      </c>
      <c r="I9" s="1"/>
    </row>
    <row r="10" spans="1:9" ht="14.25" customHeight="1" x14ac:dyDescent="0.25">
      <c r="A10" s="356">
        <v>2014</v>
      </c>
      <c r="B10" s="295">
        <v>1893.422</v>
      </c>
      <c r="C10" s="294">
        <v>0.6</v>
      </c>
      <c r="D10" s="295">
        <f t="shared" si="0"/>
        <v>1136.0532000000001</v>
      </c>
      <c r="E10" s="294">
        <v>0.4</v>
      </c>
      <c r="F10" s="295">
        <f t="shared" si="1"/>
        <v>757.36880000000008</v>
      </c>
      <c r="G10" s="294">
        <v>0.1</v>
      </c>
      <c r="H10" s="295">
        <f t="shared" si="2"/>
        <v>189.34220000000002</v>
      </c>
      <c r="I10" s="1"/>
    </row>
    <row r="11" spans="1:9" ht="14.25" customHeight="1" x14ac:dyDescent="0.25">
      <c r="A11" s="355">
        <v>2013</v>
      </c>
      <c r="B11" s="298">
        <v>1444.0530000000001</v>
      </c>
      <c r="C11" s="297">
        <v>0.7</v>
      </c>
      <c r="D11" s="298">
        <f t="shared" si="0"/>
        <v>1010.8371</v>
      </c>
      <c r="E11" s="297">
        <v>0.3</v>
      </c>
      <c r="F11" s="298">
        <f t="shared" si="1"/>
        <v>433.21590000000003</v>
      </c>
      <c r="G11" s="297">
        <v>0.1</v>
      </c>
      <c r="H11" s="298">
        <f t="shared" si="2"/>
        <v>144.40530000000001</v>
      </c>
      <c r="I11" s="1"/>
    </row>
    <row r="12" spans="1:9" ht="14.25" customHeight="1" x14ac:dyDescent="0.25">
      <c r="A12" s="356">
        <v>2012</v>
      </c>
      <c r="B12" s="295">
        <v>1334.9190000000001</v>
      </c>
      <c r="C12" s="294">
        <v>0.8</v>
      </c>
      <c r="D12" s="295">
        <f t="shared" si="0"/>
        <v>1067.9352000000001</v>
      </c>
      <c r="E12" s="294">
        <v>0.2</v>
      </c>
      <c r="F12" s="295">
        <f t="shared" si="1"/>
        <v>266.98380000000003</v>
      </c>
      <c r="G12" s="294">
        <v>0.1</v>
      </c>
      <c r="H12" s="295">
        <f t="shared" si="2"/>
        <v>133.49190000000002</v>
      </c>
      <c r="I12" s="1"/>
    </row>
    <row r="13" spans="1:9" ht="14.25" customHeight="1" x14ac:dyDescent="0.25">
      <c r="A13" s="355">
        <v>2011</v>
      </c>
      <c r="B13" s="298">
        <v>1219.6020000000001</v>
      </c>
      <c r="C13" s="297">
        <v>0.9</v>
      </c>
      <c r="D13" s="298">
        <f t="shared" si="0"/>
        <v>1097.6418000000001</v>
      </c>
      <c r="E13" s="297">
        <v>0.1</v>
      </c>
      <c r="F13" s="298">
        <f t="shared" si="1"/>
        <v>121.96020000000001</v>
      </c>
      <c r="G13" s="297">
        <v>0.1</v>
      </c>
      <c r="H13" s="298">
        <f t="shared" si="2"/>
        <v>121.96020000000001</v>
      </c>
      <c r="I13" s="1"/>
    </row>
    <row r="14" spans="1:9" ht="14.25" customHeight="1" x14ac:dyDescent="0.25">
      <c r="A14" s="356">
        <v>2010</v>
      </c>
      <c r="B14" s="295">
        <v>1248.604</v>
      </c>
      <c r="C14" s="294">
        <v>1</v>
      </c>
      <c r="D14" s="295">
        <f t="shared" si="0"/>
        <v>1248.604</v>
      </c>
      <c r="E14" s="294">
        <v>0</v>
      </c>
      <c r="F14" s="295">
        <f t="shared" si="1"/>
        <v>0</v>
      </c>
      <c r="G14" s="294">
        <v>0.1</v>
      </c>
      <c r="H14" s="295">
        <f t="shared" si="2"/>
        <v>124.86040000000001</v>
      </c>
      <c r="I14" s="1"/>
    </row>
    <row r="15" spans="1:9" ht="14.25" customHeight="1" x14ac:dyDescent="0.25">
      <c r="A15" s="1"/>
      <c r="B15" s="1"/>
      <c r="C15" s="1"/>
      <c r="D15" s="1"/>
      <c r="E15" s="1"/>
      <c r="F15" s="342">
        <f>SUM(F5:F14)</f>
        <v>9399.068699999998</v>
      </c>
      <c r="G15" s="19"/>
      <c r="H15" s="343">
        <f>SUM(H5:H14)</f>
        <v>1817.0700000000002</v>
      </c>
      <c r="I15" s="1"/>
    </row>
    <row r="16" spans="1:9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ht="14.25" customHeight="1" x14ac:dyDescent="0.25">
      <c r="A17" s="344" t="s">
        <v>338</v>
      </c>
      <c r="B17" s="345"/>
      <c r="C17" s="340">
        <f>B5</f>
        <v>2193.1999999999998</v>
      </c>
      <c r="D17" s="1"/>
      <c r="E17" s="1"/>
      <c r="F17" s="1"/>
      <c r="G17" s="1"/>
      <c r="H17" s="1"/>
      <c r="I17" s="1"/>
    </row>
    <row r="18" spans="1:9" ht="14.25" customHeight="1" x14ac:dyDescent="0.25">
      <c r="A18" s="344" t="s">
        <v>340</v>
      </c>
      <c r="B18" s="345"/>
      <c r="C18" s="340">
        <f>Debt!B39</f>
        <v>7359.8000000000011</v>
      </c>
      <c r="D18" s="1"/>
      <c r="E18" s="1"/>
      <c r="F18" s="1"/>
      <c r="G18" s="1"/>
      <c r="H18" s="1"/>
      <c r="I18" s="1"/>
    </row>
    <row r="19" spans="1:9" ht="14.25" customHeight="1" x14ac:dyDescent="0.25">
      <c r="A19" s="344" t="s">
        <v>342</v>
      </c>
      <c r="B19" s="345"/>
      <c r="C19" s="340">
        <f>TTM!G25</f>
        <v>5872.2999999999993</v>
      </c>
      <c r="D19" s="24"/>
      <c r="E19" s="1"/>
      <c r="F19" s="1"/>
      <c r="G19" s="1"/>
      <c r="H19" s="1"/>
      <c r="I19" s="1"/>
    </row>
    <row r="20" spans="1:9" ht="14.25" customHeight="1" x14ac:dyDescent="0.25">
      <c r="A20" s="344" t="s">
        <v>345</v>
      </c>
      <c r="B20" s="345"/>
      <c r="C20" s="340">
        <f>TTM!B78</f>
        <v>12536.9</v>
      </c>
      <c r="D20" s="24"/>
      <c r="E20" s="1"/>
      <c r="F20" s="1"/>
      <c r="G20" s="1"/>
      <c r="H20" s="1"/>
      <c r="I20" s="1"/>
    </row>
    <row r="21" spans="1:9" ht="14.25" customHeight="1" x14ac:dyDescent="0.25">
      <c r="A21" s="344" t="s">
        <v>346</v>
      </c>
      <c r="B21" s="345"/>
      <c r="C21" s="340">
        <f>TTM!B79</f>
        <v>26119.200000000001</v>
      </c>
      <c r="D21" s="24"/>
      <c r="E21" s="1"/>
      <c r="F21" s="1"/>
      <c r="G21" s="1"/>
      <c r="H21" s="1"/>
      <c r="I21" s="1"/>
    </row>
    <row r="22" spans="1:9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ht="14.25" customHeight="1" x14ac:dyDescent="0.25">
      <c r="A23" s="346" t="s">
        <v>348</v>
      </c>
      <c r="B23" s="347"/>
      <c r="C23" s="341">
        <f>C18+C17-H15</f>
        <v>7735.93</v>
      </c>
      <c r="D23" s="1"/>
      <c r="E23" s="1"/>
      <c r="F23" s="1"/>
      <c r="G23" s="1"/>
      <c r="H23" s="1"/>
      <c r="I23" s="1"/>
    </row>
    <row r="24" spans="1:9" ht="14.25" customHeight="1" x14ac:dyDescent="0.25">
      <c r="A24" s="348" t="s">
        <v>352</v>
      </c>
      <c r="B24" s="349"/>
      <c r="C24" s="341">
        <f>C19+C17-H15</f>
        <v>6248.4299999999985</v>
      </c>
      <c r="D24" s="1"/>
      <c r="E24" s="1"/>
      <c r="F24" s="1"/>
      <c r="G24" s="1"/>
      <c r="H24" s="1"/>
      <c r="I24" s="1"/>
    </row>
    <row r="25" spans="1:9" ht="14.25" customHeight="1" x14ac:dyDescent="0.25">
      <c r="A25" s="346" t="s">
        <v>355</v>
      </c>
      <c r="B25" s="347"/>
      <c r="C25" s="341">
        <f>C20+F15</f>
        <v>21935.968699999998</v>
      </c>
      <c r="D25" s="24"/>
      <c r="E25" s="1"/>
      <c r="F25" s="1"/>
      <c r="G25" s="1"/>
      <c r="H25" s="1"/>
      <c r="I25" s="1"/>
    </row>
    <row r="26" spans="1:9" ht="14.25" customHeight="1" x14ac:dyDescent="0.25">
      <c r="A26" s="348" t="s">
        <v>356</v>
      </c>
      <c r="B26" s="349"/>
      <c r="C26" s="341">
        <f>C21+F15</f>
        <v>35518.268700000001</v>
      </c>
      <c r="D26" s="24"/>
      <c r="E26" s="1"/>
      <c r="F26" s="1"/>
      <c r="G26" s="1"/>
      <c r="H26" s="1"/>
      <c r="I26" s="1"/>
    </row>
    <row r="27" spans="1:9" ht="14.25" customHeight="1" x14ac:dyDescent="0.2"/>
    <row r="28" spans="1:9" ht="14.25" customHeight="1" x14ac:dyDescent="0.2"/>
    <row r="29" spans="1:9" ht="14.25" customHeight="1" x14ac:dyDescent="0.2"/>
    <row r="30" spans="1:9" ht="14.25" customHeight="1" x14ac:dyDescent="0.2"/>
    <row r="31" spans="1:9" ht="14.25" customHeight="1" x14ac:dyDescent="0.2"/>
    <row r="32" spans="1:9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8">
    <mergeCell ref="A21:B21"/>
    <mergeCell ref="C3:D3"/>
    <mergeCell ref="E3:F3"/>
    <mergeCell ref="G3:H3"/>
    <mergeCell ref="A17:B17"/>
    <mergeCell ref="A18:B18"/>
    <mergeCell ref="A19:B19"/>
    <mergeCell ref="A20:B20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Z1000"/>
  <sheetViews>
    <sheetView topLeftCell="A13" workbookViewId="0">
      <selection activeCell="H30" sqref="H30"/>
    </sheetView>
  </sheetViews>
  <sheetFormatPr defaultColWidth="12.625" defaultRowHeight="15" customHeight="1" x14ac:dyDescent="0.2"/>
  <cols>
    <col min="1" max="1" width="18.5" customWidth="1"/>
    <col min="2" max="2" width="8.875" customWidth="1"/>
    <col min="3" max="3" width="7.75" customWidth="1"/>
    <col min="4" max="4" width="10.75" customWidth="1"/>
    <col min="5" max="5" width="9.375" customWidth="1"/>
    <col min="6" max="6" width="6.625" customWidth="1"/>
    <col min="7" max="7" width="10.125" customWidth="1"/>
    <col min="8" max="8" width="11.25" customWidth="1"/>
    <col min="9" max="26" width="6.62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4.25" customHeight="1" x14ac:dyDescent="0.25">
      <c r="A2" s="374" t="s">
        <v>330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6"/>
    </row>
    <row r="3" spans="1:26" ht="16.5" customHeight="1" x14ac:dyDescent="0.25">
      <c r="A3" s="358"/>
      <c r="B3" s="380">
        <v>2020</v>
      </c>
      <c r="C3" s="381">
        <v>2019</v>
      </c>
      <c r="D3" s="381">
        <v>2018</v>
      </c>
      <c r="E3" s="381">
        <v>2017</v>
      </c>
      <c r="F3" s="381">
        <v>2016</v>
      </c>
      <c r="G3" s="381">
        <v>2015</v>
      </c>
      <c r="H3" s="380">
        <v>2014</v>
      </c>
      <c r="I3" s="380">
        <v>2013</v>
      </c>
      <c r="J3" s="380">
        <v>2012</v>
      </c>
      <c r="K3" s="380">
        <v>2011</v>
      </c>
      <c r="L3" s="380">
        <v>2010</v>
      </c>
      <c r="M3" s="380">
        <v>2009</v>
      </c>
      <c r="N3" s="380">
        <v>2008</v>
      </c>
      <c r="O3" s="380">
        <v>2007</v>
      </c>
    </row>
    <row r="4" spans="1:26" ht="14.25" customHeight="1" x14ac:dyDescent="0.25">
      <c r="A4" s="377" t="s">
        <v>335</v>
      </c>
      <c r="B4" s="359"/>
      <c r="C4" s="360">
        <v>155</v>
      </c>
      <c r="D4" s="360">
        <v>3</v>
      </c>
      <c r="E4" s="360">
        <v>975.4</v>
      </c>
      <c r="F4" s="360">
        <v>111.6</v>
      </c>
      <c r="G4" s="360">
        <v>15.4</v>
      </c>
      <c r="H4" s="361" t="s">
        <v>223</v>
      </c>
      <c r="I4" s="361" t="s">
        <v>223</v>
      </c>
      <c r="J4" s="362">
        <v>72.400999999999996</v>
      </c>
      <c r="K4" s="362">
        <v>5</v>
      </c>
      <c r="L4" s="362">
        <v>84.951999999999998</v>
      </c>
      <c r="M4" s="363"/>
      <c r="N4" s="363"/>
      <c r="O4" s="363"/>
    </row>
    <row r="5" spans="1:26" ht="32.25" customHeight="1" x14ac:dyDescent="0.25">
      <c r="A5" s="378" t="s">
        <v>168</v>
      </c>
      <c r="B5" s="364"/>
      <c r="C5" s="365">
        <v>514.5</v>
      </c>
      <c r="D5" s="365">
        <v>770.6</v>
      </c>
      <c r="E5" s="365">
        <v>867.4</v>
      </c>
      <c r="F5" s="365">
        <v>616.1</v>
      </c>
      <c r="G5" s="365">
        <v>643</v>
      </c>
      <c r="H5" s="366">
        <v>287.8</v>
      </c>
      <c r="I5" s="366">
        <v>246.3</v>
      </c>
      <c r="J5" s="366">
        <v>254.548</v>
      </c>
      <c r="K5" s="366">
        <v>208.02</v>
      </c>
      <c r="L5" s="366">
        <v>173.05500000000001</v>
      </c>
      <c r="M5" s="367">
        <v>165.64599999999999</v>
      </c>
      <c r="N5" s="367">
        <v>275.95400000000001</v>
      </c>
      <c r="O5" s="367">
        <v>284.10599999999999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6.5" customHeight="1" x14ac:dyDescent="0.25">
      <c r="A6" s="377" t="s">
        <v>344</v>
      </c>
      <c r="B6" s="363"/>
      <c r="C6" s="368" t="s">
        <v>223</v>
      </c>
      <c r="D6" s="369">
        <v>112.5</v>
      </c>
      <c r="E6" s="369">
        <v>120</v>
      </c>
      <c r="F6" s="368" t="s">
        <v>223</v>
      </c>
      <c r="G6" s="368" t="s">
        <v>223</v>
      </c>
      <c r="H6" s="363"/>
      <c r="I6" s="363"/>
      <c r="J6" s="363"/>
      <c r="K6" s="363"/>
      <c r="L6" s="363"/>
      <c r="M6" s="363"/>
      <c r="N6" s="363"/>
      <c r="O6" s="363"/>
    </row>
    <row r="7" spans="1:26" ht="15.75" customHeight="1" x14ac:dyDescent="0.25">
      <c r="A7" s="379" t="s">
        <v>347</v>
      </c>
      <c r="B7" s="370"/>
      <c r="C7" s="360">
        <v>680.6</v>
      </c>
      <c r="D7" s="360">
        <v>1016.6</v>
      </c>
      <c r="E7" s="360">
        <v>1081</v>
      </c>
      <c r="F7" s="360">
        <v>682.7</v>
      </c>
      <c r="G7" s="360">
        <v>600.4</v>
      </c>
      <c r="H7" s="362">
        <v>688.1</v>
      </c>
      <c r="I7" s="362">
        <v>531.70000000000005</v>
      </c>
      <c r="J7" s="362">
        <v>365.64800000000002</v>
      </c>
      <c r="K7" s="362">
        <v>358.93299999999999</v>
      </c>
      <c r="L7" s="362">
        <v>355.74400000000003</v>
      </c>
      <c r="M7" s="363">
        <v>427.96100000000001</v>
      </c>
      <c r="N7" s="363">
        <v>462.05900000000003</v>
      </c>
      <c r="O7" s="363">
        <v>380.29300000000001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79" t="s">
        <v>349</v>
      </c>
      <c r="B8" s="371">
        <f>TTM!G11</f>
        <v>2193.1999999999998</v>
      </c>
      <c r="C8" s="372"/>
      <c r="D8" s="372"/>
      <c r="E8" s="372"/>
      <c r="F8" s="360"/>
      <c r="G8" s="360"/>
      <c r="H8" s="362"/>
      <c r="I8" s="362"/>
      <c r="J8" s="362"/>
      <c r="K8" s="362"/>
      <c r="L8" s="362"/>
      <c r="M8" s="363"/>
      <c r="N8" s="363"/>
      <c r="O8" s="363"/>
    </row>
    <row r="9" spans="1:26" ht="30" customHeight="1" x14ac:dyDescent="0.25">
      <c r="A9" s="377" t="s">
        <v>350</v>
      </c>
      <c r="B9" s="363"/>
      <c r="C9" s="373">
        <v>300</v>
      </c>
      <c r="D9" s="373">
        <v>1500</v>
      </c>
      <c r="E9" s="373">
        <v>1200</v>
      </c>
      <c r="F9" s="373">
        <v>1200</v>
      </c>
      <c r="G9" s="373">
        <v>850</v>
      </c>
      <c r="H9" s="363"/>
      <c r="I9" s="363"/>
      <c r="J9" s="363"/>
      <c r="K9" s="363"/>
      <c r="L9" s="363"/>
      <c r="M9" s="363"/>
      <c r="N9" s="363"/>
      <c r="O9" s="363"/>
    </row>
    <row r="10" spans="1:26" ht="27.75" customHeight="1" x14ac:dyDescent="0.25">
      <c r="A10" s="377" t="s">
        <v>354</v>
      </c>
      <c r="B10" s="363"/>
      <c r="C10" s="373">
        <v>744.4</v>
      </c>
      <c r="D10" s="373"/>
      <c r="E10" s="373"/>
      <c r="F10" s="373"/>
      <c r="G10" s="373"/>
      <c r="H10" s="363"/>
      <c r="I10" s="363"/>
      <c r="J10" s="363"/>
      <c r="K10" s="363"/>
      <c r="L10" s="363"/>
      <c r="M10" s="363"/>
      <c r="N10" s="363"/>
      <c r="O10" s="363"/>
    </row>
    <row r="11" spans="1:26" ht="29.25" customHeight="1" x14ac:dyDescent="0.25">
      <c r="A11" s="377" t="s">
        <v>170</v>
      </c>
      <c r="B11" s="363"/>
      <c r="C11" s="373"/>
      <c r="D11" s="373">
        <v>462.9</v>
      </c>
      <c r="E11" s="373"/>
      <c r="F11" s="373"/>
      <c r="G11" s="373"/>
      <c r="H11" s="363"/>
      <c r="I11" s="363"/>
      <c r="J11" s="363"/>
      <c r="K11" s="363"/>
      <c r="L11" s="363"/>
      <c r="M11" s="363"/>
      <c r="N11" s="363"/>
      <c r="O11" s="36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6" ht="14.25" customHeight="1" x14ac:dyDescent="0.25">
      <c r="A14" s="391" t="s">
        <v>276</v>
      </c>
      <c r="B14" s="391" t="s">
        <v>357</v>
      </c>
      <c r="C14" s="1"/>
      <c r="D14" s="391" t="s">
        <v>276</v>
      </c>
      <c r="E14" s="391" t="s">
        <v>347</v>
      </c>
      <c r="F14" s="1"/>
      <c r="G14" s="391" t="s">
        <v>276</v>
      </c>
      <c r="H14" s="391" t="s">
        <v>358</v>
      </c>
      <c r="I14" s="1"/>
      <c r="J14" s="1"/>
      <c r="K14" s="1"/>
      <c r="L14" s="1"/>
      <c r="M14" s="1"/>
      <c r="N14" s="1"/>
      <c r="O14" s="1"/>
    </row>
    <row r="15" spans="1:26" ht="14.25" customHeight="1" x14ac:dyDescent="0.25">
      <c r="A15" s="389">
        <v>2015</v>
      </c>
      <c r="B15" s="382">
        <f>G4+G5</f>
        <v>658.4</v>
      </c>
      <c r="C15" s="1"/>
      <c r="D15" s="387">
        <v>2010</v>
      </c>
      <c r="E15" s="369">
        <f>L7</f>
        <v>355.74400000000003</v>
      </c>
      <c r="F15" s="1"/>
      <c r="G15" s="387">
        <v>2015</v>
      </c>
      <c r="H15" s="369">
        <f>G9</f>
        <v>850</v>
      </c>
      <c r="I15" s="1"/>
      <c r="J15" s="1"/>
      <c r="K15" s="1"/>
      <c r="L15" s="1"/>
      <c r="M15" s="1"/>
      <c r="N15" s="1"/>
      <c r="O15" s="1"/>
    </row>
    <row r="16" spans="1:26" ht="14.25" customHeight="1" x14ac:dyDescent="0.25">
      <c r="A16" s="390">
        <v>2016</v>
      </c>
      <c r="B16" s="362">
        <f>F4+F5</f>
        <v>727.7</v>
      </c>
      <c r="C16" s="1"/>
      <c r="D16" s="388">
        <v>2011</v>
      </c>
      <c r="E16" s="384">
        <f>K7</f>
        <v>358.93299999999999</v>
      </c>
      <c r="F16" s="1"/>
      <c r="G16" s="388">
        <v>2016</v>
      </c>
      <c r="H16" s="384">
        <f>F9</f>
        <v>1200</v>
      </c>
      <c r="I16" s="1"/>
      <c r="J16" s="1"/>
      <c r="K16" s="1"/>
      <c r="L16" s="1"/>
      <c r="M16" s="1"/>
      <c r="N16" s="1"/>
      <c r="O16" s="1"/>
    </row>
    <row r="17" spans="1:15" ht="14.25" customHeight="1" x14ac:dyDescent="0.25">
      <c r="A17" s="389">
        <v>2017</v>
      </c>
      <c r="B17" s="372">
        <f>E4+E5+E6</f>
        <v>1962.8</v>
      </c>
      <c r="C17" s="1"/>
      <c r="D17" s="387">
        <v>2012</v>
      </c>
      <c r="E17" s="369">
        <f>J7</f>
        <v>365.64800000000002</v>
      </c>
      <c r="F17" s="1"/>
      <c r="G17" s="387">
        <v>2017</v>
      </c>
      <c r="H17" s="369">
        <f>E9</f>
        <v>1200</v>
      </c>
      <c r="I17" s="1"/>
      <c r="J17" s="1"/>
      <c r="K17" s="1"/>
      <c r="L17" s="1"/>
      <c r="M17" s="1"/>
      <c r="N17" s="1"/>
      <c r="O17" s="1"/>
    </row>
    <row r="18" spans="1:15" ht="14.25" customHeight="1" x14ac:dyDescent="0.25">
      <c r="A18" s="390">
        <v>2018</v>
      </c>
      <c r="B18" s="383">
        <f>D4+D5+D6</f>
        <v>886.1</v>
      </c>
      <c r="C18" s="1"/>
      <c r="D18" s="388">
        <v>2013</v>
      </c>
      <c r="E18" s="384">
        <f>I7</f>
        <v>531.70000000000005</v>
      </c>
      <c r="F18" s="1"/>
      <c r="G18" s="388">
        <v>2018</v>
      </c>
      <c r="H18" s="384">
        <f>D9+D11</f>
        <v>1962.9</v>
      </c>
      <c r="I18" s="1"/>
      <c r="J18" s="1"/>
      <c r="K18" s="1"/>
      <c r="L18" s="1"/>
      <c r="M18" s="1"/>
      <c r="N18" s="1"/>
      <c r="O18" s="1"/>
    </row>
    <row r="19" spans="1:15" ht="14.25" customHeight="1" x14ac:dyDescent="0.25">
      <c r="A19" s="389" t="s">
        <v>360</v>
      </c>
      <c r="B19" s="372">
        <f>C4+C5</f>
        <v>669.5</v>
      </c>
      <c r="C19" s="1"/>
      <c r="D19" s="387">
        <v>2014</v>
      </c>
      <c r="E19" s="369">
        <f>H7</f>
        <v>688.1</v>
      </c>
      <c r="F19" s="1"/>
      <c r="G19" s="387" t="s">
        <v>360</v>
      </c>
      <c r="H19" s="369">
        <f>C9+C10</f>
        <v>1044.4000000000001</v>
      </c>
      <c r="I19" s="1"/>
      <c r="J19" s="1"/>
      <c r="K19" s="1"/>
      <c r="L19" s="1"/>
      <c r="M19" s="1"/>
      <c r="N19" s="1"/>
      <c r="O19" s="1"/>
    </row>
    <row r="20" spans="1:15" ht="14.25" customHeight="1" x14ac:dyDescent="0.25">
      <c r="A20" s="394" t="s">
        <v>181</v>
      </c>
      <c r="B20" s="396">
        <f>AVERAGE(B15:B19)</f>
        <v>980.9</v>
      </c>
      <c r="C20" s="1"/>
      <c r="D20" s="388">
        <v>2015</v>
      </c>
      <c r="E20" s="384">
        <f>G7</f>
        <v>600.4</v>
      </c>
      <c r="F20" s="1"/>
      <c r="G20" s="392" t="s">
        <v>181</v>
      </c>
      <c r="H20" s="397">
        <f>AVERAGE(H15:H19)</f>
        <v>1251.4599999999998</v>
      </c>
      <c r="I20" s="1"/>
      <c r="J20" s="1"/>
      <c r="K20" s="1"/>
      <c r="L20" s="1"/>
      <c r="M20" s="1"/>
      <c r="N20" s="1"/>
      <c r="O20" s="1"/>
    </row>
    <row r="21" spans="1:15" ht="14.25" customHeight="1" x14ac:dyDescent="0.25">
      <c r="A21" s="1"/>
      <c r="B21" s="1"/>
      <c r="C21" s="1"/>
      <c r="D21" s="387">
        <v>2016</v>
      </c>
      <c r="E21" s="369">
        <f>F7</f>
        <v>682.7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4.25" customHeight="1" x14ac:dyDescent="0.25">
      <c r="A22" s="1"/>
      <c r="B22" s="1"/>
      <c r="C22" s="1"/>
      <c r="D22" s="388">
        <v>2017</v>
      </c>
      <c r="E22" s="384">
        <f>E7</f>
        <v>1081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4.25" customHeight="1" x14ac:dyDescent="0.25">
      <c r="A23" s="1"/>
      <c r="B23" s="1"/>
      <c r="C23" s="1"/>
      <c r="D23" s="387">
        <v>2018</v>
      </c>
      <c r="E23" s="369">
        <f>D7</f>
        <v>1016.6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25" customHeight="1" x14ac:dyDescent="0.25">
      <c r="A24" s="1"/>
      <c r="B24" s="1"/>
      <c r="C24" s="1"/>
      <c r="D24" s="388" t="s">
        <v>360</v>
      </c>
      <c r="E24" s="384">
        <f>C7</f>
        <v>680.6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4.25" customHeight="1" x14ac:dyDescent="0.25">
      <c r="A25" s="1"/>
      <c r="B25" s="1"/>
      <c r="C25" s="1"/>
      <c r="D25" s="393" t="s">
        <v>181</v>
      </c>
      <c r="E25" s="395">
        <f>AVERAGE(E15:E24)</f>
        <v>636.14250000000015</v>
      </c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4.25" customHeight="1" x14ac:dyDescent="0.25">
      <c r="A28" s="400" t="s">
        <v>368</v>
      </c>
      <c r="B28" s="385">
        <f>B20-E25</f>
        <v>344.75749999999982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4.25" customHeight="1" x14ac:dyDescent="0.25">
      <c r="A29" s="399" t="s">
        <v>370</v>
      </c>
      <c r="B29" s="385">
        <f>B20+B8</f>
        <v>3174.1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4.25" customHeight="1" x14ac:dyDescent="0.25">
      <c r="A30" s="399" t="s">
        <v>371</v>
      </c>
      <c r="B30" s="385">
        <f>E25+'R&amp;D'!H15</f>
        <v>2453.2125000000005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4.25" customHeight="1" x14ac:dyDescent="0.25">
      <c r="A31" s="400" t="s">
        <v>372</v>
      </c>
      <c r="B31" s="386">
        <f>B29-B30+H20</f>
        <v>1972.3474999999992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4.25" customHeight="1" x14ac:dyDescent="0.2">
      <c r="B32" s="3"/>
      <c r="C32" s="3"/>
    </row>
    <row r="33" spans="2:2" ht="14.25" customHeight="1" x14ac:dyDescent="0.2">
      <c r="B33" s="3"/>
    </row>
    <row r="34" spans="2:2" ht="14.25" customHeight="1" x14ac:dyDescent="0.2">
      <c r="B34" s="3"/>
    </row>
    <row r="35" spans="2:2" ht="14.25" customHeight="1" x14ac:dyDescent="0.2">
      <c r="B35" s="3"/>
    </row>
    <row r="36" spans="2:2" ht="14.25" customHeight="1" x14ac:dyDescent="0.2">
      <c r="B36" s="3"/>
    </row>
    <row r="37" spans="2:2" ht="14.25" customHeight="1" x14ac:dyDescent="0.2">
      <c r="B37" s="3"/>
    </row>
    <row r="38" spans="2:2" ht="14.25" customHeight="1" x14ac:dyDescent="0.2">
      <c r="B38" s="3"/>
    </row>
    <row r="39" spans="2:2" ht="14.25" customHeight="1" x14ac:dyDescent="0.2">
      <c r="B39" s="3"/>
    </row>
    <row r="40" spans="2:2" ht="14.25" customHeight="1" x14ac:dyDescent="0.2">
      <c r="B40" s="3"/>
    </row>
    <row r="41" spans="2:2" ht="14.25" customHeight="1" x14ac:dyDescent="0.2">
      <c r="B41" s="3"/>
    </row>
    <row r="42" spans="2:2" ht="14.25" customHeight="1" x14ac:dyDescent="0.2">
      <c r="B42" s="3"/>
    </row>
    <row r="43" spans="2:2" ht="14.25" customHeight="1" x14ac:dyDescent="0.2">
      <c r="B43" s="3"/>
    </row>
    <row r="44" spans="2:2" ht="14.25" customHeight="1" x14ac:dyDescent="0.2">
      <c r="B44" s="3"/>
    </row>
    <row r="45" spans="2:2" ht="14.25" customHeight="1" x14ac:dyDescent="0.2">
      <c r="B45" s="3"/>
    </row>
    <row r="46" spans="2:2" ht="14.25" customHeight="1" x14ac:dyDescent="0.2">
      <c r="B46" s="3"/>
    </row>
    <row r="47" spans="2:2" ht="14.25" customHeight="1" x14ac:dyDescent="0.2">
      <c r="B47" s="3"/>
    </row>
    <row r="48" spans="2:2" ht="14.25" customHeight="1" x14ac:dyDescent="0.2">
      <c r="B48" s="3"/>
    </row>
    <row r="49" spans="2:2" ht="14.25" customHeight="1" x14ac:dyDescent="0.2">
      <c r="B49" s="3"/>
    </row>
    <row r="50" spans="2:2" ht="14.25" customHeight="1" x14ac:dyDescent="0.2">
      <c r="B50" s="3"/>
    </row>
    <row r="51" spans="2:2" ht="14.25" customHeight="1" x14ac:dyDescent="0.2">
      <c r="B51" s="3"/>
    </row>
    <row r="52" spans="2:2" ht="14.25" customHeight="1" x14ac:dyDescent="0.2">
      <c r="B52" s="3"/>
    </row>
    <row r="53" spans="2:2" ht="14.25" customHeight="1" x14ac:dyDescent="0.2">
      <c r="B53" s="3"/>
    </row>
    <row r="54" spans="2:2" ht="14.25" customHeight="1" x14ac:dyDescent="0.2">
      <c r="B54" s="3"/>
    </row>
    <row r="55" spans="2:2" ht="14.25" customHeight="1" x14ac:dyDescent="0.2">
      <c r="B55" s="3"/>
    </row>
    <row r="56" spans="2:2" ht="14.25" customHeight="1" x14ac:dyDescent="0.2">
      <c r="B56" s="3"/>
    </row>
    <row r="57" spans="2:2" ht="14.25" customHeight="1" x14ac:dyDescent="0.2">
      <c r="B57" s="3"/>
    </row>
    <row r="58" spans="2:2" ht="14.25" customHeight="1" x14ac:dyDescent="0.2">
      <c r="B58" s="3"/>
    </row>
    <row r="59" spans="2:2" ht="14.25" customHeight="1" x14ac:dyDescent="0.2">
      <c r="B59" s="3"/>
    </row>
    <row r="60" spans="2:2" ht="14.25" customHeight="1" x14ac:dyDescent="0.2">
      <c r="B60" s="3"/>
    </row>
    <row r="61" spans="2:2" ht="14.25" customHeight="1" x14ac:dyDescent="0.2">
      <c r="B61" s="3"/>
    </row>
    <row r="62" spans="2:2" ht="14.25" customHeight="1" x14ac:dyDescent="0.2">
      <c r="B62" s="3"/>
    </row>
    <row r="63" spans="2:2" ht="14.25" customHeight="1" x14ac:dyDescent="0.2">
      <c r="B63" s="3"/>
    </row>
    <row r="64" spans="2:2" ht="14.25" customHeight="1" x14ac:dyDescent="0.2">
      <c r="B64" s="3"/>
    </row>
    <row r="65" spans="2:2" ht="14.25" customHeight="1" x14ac:dyDescent="0.2">
      <c r="B65" s="3"/>
    </row>
    <row r="66" spans="2:2" ht="14.25" customHeight="1" x14ac:dyDescent="0.2">
      <c r="B66" s="3"/>
    </row>
    <row r="67" spans="2:2" ht="14.25" customHeight="1" x14ac:dyDescent="0.2">
      <c r="B67" s="3"/>
    </row>
    <row r="68" spans="2:2" ht="14.25" customHeight="1" x14ac:dyDescent="0.2">
      <c r="B68" s="3"/>
    </row>
    <row r="69" spans="2:2" ht="14.25" customHeight="1" x14ac:dyDescent="0.2">
      <c r="B69" s="3"/>
    </row>
    <row r="70" spans="2:2" ht="14.25" customHeight="1" x14ac:dyDescent="0.2">
      <c r="B70" s="3"/>
    </row>
    <row r="71" spans="2:2" ht="14.25" customHeight="1" x14ac:dyDescent="0.2">
      <c r="B71" s="3"/>
    </row>
    <row r="72" spans="2:2" ht="14.25" customHeight="1" x14ac:dyDescent="0.2">
      <c r="B72" s="3"/>
    </row>
    <row r="73" spans="2:2" ht="14.25" customHeight="1" x14ac:dyDescent="0.2">
      <c r="B73" s="3"/>
    </row>
    <row r="74" spans="2:2" ht="14.25" customHeight="1" x14ac:dyDescent="0.2">
      <c r="B74" s="3"/>
    </row>
    <row r="75" spans="2:2" ht="14.25" customHeight="1" x14ac:dyDescent="0.2">
      <c r="B75" s="3"/>
    </row>
    <row r="76" spans="2:2" ht="14.25" customHeight="1" x14ac:dyDescent="0.2">
      <c r="B76" s="3"/>
    </row>
    <row r="77" spans="2:2" ht="14.25" customHeight="1" x14ac:dyDescent="0.2">
      <c r="B77" s="3"/>
    </row>
    <row r="78" spans="2:2" ht="14.25" customHeight="1" x14ac:dyDescent="0.2">
      <c r="B78" s="3"/>
    </row>
    <row r="79" spans="2:2" ht="14.25" customHeight="1" x14ac:dyDescent="0.2">
      <c r="B79" s="3"/>
    </row>
    <row r="80" spans="2:2" ht="14.25" customHeight="1" x14ac:dyDescent="0.2">
      <c r="B80" s="3"/>
    </row>
    <row r="81" spans="2:2" ht="14.25" customHeight="1" x14ac:dyDescent="0.2">
      <c r="B81" s="3"/>
    </row>
    <row r="82" spans="2:2" ht="14.25" customHeight="1" x14ac:dyDescent="0.2">
      <c r="B82" s="3"/>
    </row>
    <row r="83" spans="2:2" ht="14.25" customHeight="1" x14ac:dyDescent="0.2">
      <c r="B83" s="3"/>
    </row>
    <row r="84" spans="2:2" ht="14.25" customHeight="1" x14ac:dyDescent="0.2">
      <c r="B84" s="3"/>
    </row>
    <row r="85" spans="2:2" ht="14.25" customHeight="1" x14ac:dyDescent="0.2">
      <c r="B85" s="3"/>
    </row>
    <row r="86" spans="2:2" ht="14.25" customHeight="1" x14ac:dyDescent="0.2">
      <c r="B86" s="3"/>
    </row>
    <row r="87" spans="2:2" ht="14.25" customHeight="1" x14ac:dyDescent="0.2">
      <c r="B87" s="3"/>
    </row>
    <row r="88" spans="2:2" ht="14.25" customHeight="1" x14ac:dyDescent="0.2">
      <c r="B88" s="3"/>
    </row>
    <row r="89" spans="2:2" ht="14.25" customHeight="1" x14ac:dyDescent="0.2">
      <c r="B89" s="3"/>
    </row>
    <row r="90" spans="2:2" ht="14.25" customHeight="1" x14ac:dyDescent="0.2">
      <c r="B90" s="3"/>
    </row>
    <row r="91" spans="2:2" ht="14.25" customHeight="1" x14ac:dyDescent="0.2">
      <c r="B91" s="3"/>
    </row>
    <row r="92" spans="2:2" ht="14.25" customHeight="1" x14ac:dyDescent="0.2">
      <c r="B92" s="3"/>
    </row>
    <row r="93" spans="2:2" ht="14.25" customHeight="1" x14ac:dyDescent="0.2">
      <c r="B93" s="3"/>
    </row>
    <row r="94" spans="2:2" ht="14.25" customHeight="1" x14ac:dyDescent="0.2">
      <c r="B94" s="3"/>
    </row>
    <row r="95" spans="2:2" ht="14.25" customHeight="1" x14ac:dyDescent="0.2">
      <c r="B95" s="3"/>
    </row>
    <row r="96" spans="2:2" ht="14.25" customHeight="1" x14ac:dyDescent="0.2">
      <c r="B96" s="3"/>
    </row>
    <row r="97" spans="2:2" ht="14.25" customHeight="1" x14ac:dyDescent="0.2">
      <c r="B97" s="3"/>
    </row>
    <row r="98" spans="2:2" ht="14.25" customHeight="1" x14ac:dyDescent="0.2">
      <c r="B98" s="3"/>
    </row>
    <row r="99" spans="2:2" ht="14.25" customHeight="1" x14ac:dyDescent="0.2">
      <c r="B99" s="3"/>
    </row>
    <row r="100" spans="2:2" ht="14.25" customHeight="1" x14ac:dyDescent="0.2">
      <c r="B100" s="3"/>
    </row>
    <row r="101" spans="2:2" ht="14.25" customHeight="1" x14ac:dyDescent="0.2">
      <c r="B101" s="3"/>
    </row>
    <row r="102" spans="2:2" ht="14.25" customHeight="1" x14ac:dyDescent="0.2">
      <c r="B102" s="3"/>
    </row>
    <row r="103" spans="2:2" ht="14.25" customHeight="1" x14ac:dyDescent="0.2">
      <c r="B103" s="3"/>
    </row>
    <row r="104" spans="2:2" ht="14.25" customHeight="1" x14ac:dyDescent="0.2">
      <c r="B104" s="3"/>
    </row>
    <row r="105" spans="2:2" ht="14.25" customHeight="1" x14ac:dyDescent="0.2">
      <c r="B105" s="3"/>
    </row>
    <row r="106" spans="2:2" ht="14.25" customHeight="1" x14ac:dyDescent="0.2">
      <c r="B106" s="3"/>
    </row>
    <row r="107" spans="2:2" ht="14.25" customHeight="1" x14ac:dyDescent="0.2">
      <c r="B107" s="3"/>
    </row>
    <row r="108" spans="2:2" ht="14.25" customHeight="1" x14ac:dyDescent="0.2">
      <c r="B108" s="3"/>
    </row>
    <row r="109" spans="2:2" ht="14.25" customHeight="1" x14ac:dyDescent="0.2">
      <c r="B109" s="3"/>
    </row>
    <row r="110" spans="2:2" ht="14.25" customHeight="1" x14ac:dyDescent="0.2">
      <c r="B110" s="3"/>
    </row>
    <row r="111" spans="2:2" ht="14.25" customHeight="1" x14ac:dyDescent="0.2">
      <c r="B111" s="3"/>
    </row>
    <row r="112" spans="2:2" ht="14.25" customHeight="1" x14ac:dyDescent="0.2">
      <c r="B112" s="3"/>
    </row>
    <row r="113" spans="2:2" ht="14.25" customHeight="1" x14ac:dyDescent="0.2">
      <c r="B113" s="3"/>
    </row>
    <row r="114" spans="2:2" ht="14.25" customHeight="1" x14ac:dyDescent="0.2">
      <c r="B114" s="3"/>
    </row>
    <row r="115" spans="2:2" ht="14.25" customHeight="1" x14ac:dyDescent="0.2">
      <c r="B115" s="3"/>
    </row>
    <row r="116" spans="2:2" ht="14.25" customHeight="1" x14ac:dyDescent="0.2">
      <c r="B116" s="3"/>
    </row>
    <row r="117" spans="2:2" ht="14.25" customHeight="1" x14ac:dyDescent="0.2">
      <c r="B117" s="3"/>
    </row>
    <row r="118" spans="2:2" ht="14.25" customHeight="1" x14ac:dyDescent="0.2">
      <c r="B118" s="3"/>
    </row>
    <row r="119" spans="2:2" ht="14.25" customHeight="1" x14ac:dyDescent="0.2">
      <c r="B119" s="3"/>
    </row>
    <row r="120" spans="2:2" ht="14.25" customHeight="1" x14ac:dyDescent="0.2">
      <c r="B120" s="3"/>
    </row>
    <row r="121" spans="2:2" ht="14.25" customHeight="1" x14ac:dyDescent="0.2">
      <c r="B121" s="3"/>
    </row>
    <row r="122" spans="2:2" ht="14.25" customHeight="1" x14ac:dyDescent="0.2">
      <c r="B122" s="3"/>
    </row>
    <row r="123" spans="2:2" ht="14.25" customHeight="1" x14ac:dyDescent="0.2">
      <c r="B123" s="3"/>
    </row>
    <row r="124" spans="2:2" ht="14.25" customHeight="1" x14ac:dyDescent="0.2">
      <c r="B124" s="3"/>
    </row>
    <row r="125" spans="2:2" ht="14.25" customHeight="1" x14ac:dyDescent="0.2">
      <c r="B125" s="3"/>
    </row>
    <row r="126" spans="2:2" ht="14.25" customHeight="1" x14ac:dyDescent="0.2">
      <c r="B126" s="3"/>
    </row>
    <row r="127" spans="2:2" ht="14.25" customHeight="1" x14ac:dyDescent="0.2">
      <c r="B127" s="3"/>
    </row>
    <row r="128" spans="2:2" ht="14.25" customHeight="1" x14ac:dyDescent="0.2">
      <c r="B128" s="3"/>
    </row>
    <row r="129" spans="2:2" ht="14.25" customHeight="1" x14ac:dyDescent="0.2">
      <c r="B129" s="3"/>
    </row>
    <row r="130" spans="2:2" ht="14.25" customHeight="1" x14ac:dyDescent="0.2">
      <c r="B130" s="3"/>
    </row>
    <row r="131" spans="2:2" ht="14.25" customHeight="1" x14ac:dyDescent="0.2">
      <c r="B131" s="3"/>
    </row>
    <row r="132" spans="2:2" ht="14.25" customHeight="1" x14ac:dyDescent="0.2">
      <c r="B132" s="3"/>
    </row>
    <row r="133" spans="2:2" ht="14.25" customHeight="1" x14ac:dyDescent="0.2">
      <c r="B133" s="3"/>
    </row>
    <row r="134" spans="2:2" ht="14.25" customHeight="1" x14ac:dyDescent="0.2">
      <c r="B134" s="3"/>
    </row>
    <row r="135" spans="2:2" ht="14.25" customHeight="1" x14ac:dyDescent="0.2">
      <c r="B135" s="3"/>
    </row>
    <row r="136" spans="2:2" ht="14.25" customHeight="1" x14ac:dyDescent="0.2">
      <c r="B136" s="3"/>
    </row>
    <row r="137" spans="2:2" ht="14.25" customHeight="1" x14ac:dyDescent="0.2">
      <c r="B137" s="3"/>
    </row>
    <row r="138" spans="2:2" ht="14.25" customHeight="1" x14ac:dyDescent="0.2">
      <c r="B138" s="3"/>
    </row>
    <row r="139" spans="2:2" ht="14.25" customHeight="1" x14ac:dyDescent="0.2">
      <c r="B139" s="3"/>
    </row>
    <row r="140" spans="2:2" ht="14.25" customHeight="1" x14ac:dyDescent="0.2">
      <c r="B140" s="3"/>
    </row>
    <row r="141" spans="2:2" ht="14.25" customHeight="1" x14ac:dyDescent="0.2">
      <c r="B141" s="3"/>
    </row>
    <row r="142" spans="2:2" ht="14.25" customHeight="1" x14ac:dyDescent="0.2">
      <c r="B142" s="3"/>
    </row>
    <row r="143" spans="2:2" ht="14.25" customHeight="1" x14ac:dyDescent="0.2">
      <c r="B143" s="3"/>
    </row>
    <row r="144" spans="2:2" ht="14.25" customHeight="1" x14ac:dyDescent="0.2">
      <c r="B144" s="3"/>
    </row>
    <row r="145" spans="2:2" ht="14.25" customHeight="1" x14ac:dyDescent="0.2">
      <c r="B145" s="3"/>
    </row>
    <row r="146" spans="2:2" ht="14.25" customHeight="1" x14ac:dyDescent="0.2">
      <c r="B146" s="3"/>
    </row>
    <row r="147" spans="2:2" ht="14.25" customHeight="1" x14ac:dyDescent="0.2">
      <c r="B147" s="3"/>
    </row>
    <row r="148" spans="2:2" ht="14.25" customHeight="1" x14ac:dyDescent="0.2">
      <c r="B148" s="3"/>
    </row>
    <row r="149" spans="2:2" ht="14.25" customHeight="1" x14ac:dyDescent="0.2">
      <c r="B149" s="3"/>
    </row>
    <row r="150" spans="2:2" ht="14.25" customHeight="1" x14ac:dyDescent="0.2">
      <c r="B150" s="3"/>
    </row>
    <row r="151" spans="2:2" ht="14.25" customHeight="1" x14ac:dyDescent="0.2">
      <c r="B151" s="3"/>
    </row>
    <row r="152" spans="2:2" ht="14.25" customHeight="1" x14ac:dyDescent="0.2">
      <c r="B152" s="3"/>
    </row>
    <row r="153" spans="2:2" ht="14.25" customHeight="1" x14ac:dyDescent="0.2">
      <c r="B153" s="3"/>
    </row>
    <row r="154" spans="2:2" ht="14.25" customHeight="1" x14ac:dyDescent="0.2">
      <c r="B154" s="3"/>
    </row>
    <row r="155" spans="2:2" ht="14.25" customHeight="1" x14ac:dyDescent="0.2">
      <c r="B155" s="3"/>
    </row>
    <row r="156" spans="2:2" ht="14.25" customHeight="1" x14ac:dyDescent="0.2">
      <c r="B156" s="3"/>
    </row>
    <row r="157" spans="2:2" ht="14.25" customHeight="1" x14ac:dyDescent="0.2">
      <c r="B157" s="3"/>
    </row>
    <row r="158" spans="2:2" ht="14.25" customHeight="1" x14ac:dyDescent="0.2">
      <c r="B158" s="3"/>
    </row>
    <row r="159" spans="2:2" ht="14.25" customHeight="1" x14ac:dyDescent="0.2">
      <c r="B159" s="3"/>
    </row>
    <row r="160" spans="2:2" ht="14.25" customHeight="1" x14ac:dyDescent="0.2">
      <c r="B160" s="3"/>
    </row>
    <row r="161" spans="2:2" ht="14.25" customHeight="1" x14ac:dyDescent="0.2">
      <c r="B161" s="3"/>
    </row>
    <row r="162" spans="2:2" ht="14.25" customHeight="1" x14ac:dyDescent="0.2">
      <c r="B162" s="3"/>
    </row>
    <row r="163" spans="2:2" ht="14.25" customHeight="1" x14ac:dyDescent="0.2">
      <c r="B163" s="3"/>
    </row>
    <row r="164" spans="2:2" ht="14.25" customHeight="1" x14ac:dyDescent="0.2">
      <c r="B164" s="3"/>
    </row>
    <row r="165" spans="2:2" ht="14.25" customHeight="1" x14ac:dyDescent="0.2">
      <c r="B165" s="3"/>
    </row>
    <row r="166" spans="2:2" ht="14.25" customHeight="1" x14ac:dyDescent="0.2">
      <c r="B166" s="3"/>
    </row>
    <row r="167" spans="2:2" ht="14.25" customHeight="1" x14ac:dyDescent="0.2">
      <c r="B167" s="3"/>
    </row>
    <row r="168" spans="2:2" ht="14.25" customHeight="1" x14ac:dyDescent="0.2">
      <c r="B168" s="3"/>
    </row>
    <row r="169" spans="2:2" ht="14.25" customHeight="1" x14ac:dyDescent="0.2">
      <c r="B169" s="3"/>
    </row>
    <row r="170" spans="2:2" ht="14.25" customHeight="1" x14ac:dyDescent="0.2">
      <c r="B170" s="3"/>
    </row>
    <row r="171" spans="2:2" ht="14.25" customHeight="1" x14ac:dyDescent="0.2">
      <c r="B171" s="3"/>
    </row>
    <row r="172" spans="2:2" ht="14.25" customHeight="1" x14ac:dyDescent="0.2">
      <c r="B172" s="3"/>
    </row>
    <row r="173" spans="2:2" ht="14.25" customHeight="1" x14ac:dyDescent="0.2">
      <c r="B173" s="3"/>
    </row>
    <row r="174" spans="2:2" ht="14.25" customHeight="1" x14ac:dyDescent="0.2">
      <c r="B174" s="3"/>
    </row>
    <row r="175" spans="2:2" ht="14.25" customHeight="1" x14ac:dyDescent="0.2">
      <c r="B175" s="3"/>
    </row>
    <row r="176" spans="2:2" ht="14.25" customHeight="1" x14ac:dyDescent="0.2">
      <c r="B176" s="3"/>
    </row>
    <row r="177" spans="2:2" ht="14.25" customHeight="1" x14ac:dyDescent="0.2">
      <c r="B177" s="3"/>
    </row>
    <row r="178" spans="2:2" ht="14.25" customHeight="1" x14ac:dyDescent="0.2">
      <c r="B178" s="3"/>
    </row>
    <row r="179" spans="2:2" ht="14.25" customHeight="1" x14ac:dyDescent="0.2">
      <c r="B179" s="3"/>
    </row>
    <row r="180" spans="2:2" ht="14.25" customHeight="1" x14ac:dyDescent="0.2">
      <c r="B180" s="3"/>
    </row>
    <row r="181" spans="2:2" ht="14.25" customHeight="1" x14ac:dyDescent="0.2">
      <c r="B181" s="3"/>
    </row>
    <row r="182" spans="2:2" ht="14.25" customHeight="1" x14ac:dyDescent="0.2">
      <c r="B182" s="3"/>
    </row>
    <row r="183" spans="2:2" ht="14.25" customHeight="1" x14ac:dyDescent="0.2">
      <c r="B183" s="3"/>
    </row>
    <row r="184" spans="2:2" ht="14.25" customHeight="1" x14ac:dyDescent="0.2">
      <c r="B184" s="3"/>
    </row>
    <row r="185" spans="2:2" ht="14.25" customHeight="1" x14ac:dyDescent="0.2">
      <c r="B185" s="3"/>
    </row>
    <row r="186" spans="2:2" ht="14.25" customHeight="1" x14ac:dyDescent="0.2">
      <c r="B186" s="3"/>
    </row>
    <row r="187" spans="2:2" ht="14.25" customHeight="1" x14ac:dyDescent="0.2">
      <c r="B187" s="3"/>
    </row>
    <row r="188" spans="2:2" ht="14.25" customHeight="1" x14ac:dyDescent="0.2">
      <c r="B188" s="3"/>
    </row>
    <row r="189" spans="2:2" ht="14.25" customHeight="1" x14ac:dyDescent="0.2">
      <c r="B189" s="3"/>
    </row>
    <row r="190" spans="2:2" ht="14.25" customHeight="1" x14ac:dyDescent="0.2">
      <c r="B190" s="3"/>
    </row>
    <row r="191" spans="2:2" ht="14.25" customHeight="1" x14ac:dyDescent="0.2">
      <c r="B191" s="3"/>
    </row>
    <row r="192" spans="2:2" ht="14.25" customHeight="1" x14ac:dyDescent="0.2">
      <c r="B192" s="3"/>
    </row>
    <row r="193" spans="2:2" ht="14.25" customHeight="1" x14ac:dyDescent="0.2">
      <c r="B193" s="3"/>
    </row>
    <row r="194" spans="2:2" ht="14.25" customHeight="1" x14ac:dyDescent="0.2">
      <c r="B194" s="3"/>
    </row>
    <row r="195" spans="2:2" ht="14.25" customHeight="1" x14ac:dyDescent="0.2">
      <c r="B195" s="3"/>
    </row>
    <row r="196" spans="2:2" ht="14.25" customHeight="1" x14ac:dyDescent="0.2">
      <c r="B196" s="3"/>
    </row>
    <row r="197" spans="2:2" ht="14.25" customHeight="1" x14ac:dyDescent="0.2">
      <c r="B197" s="3"/>
    </row>
    <row r="198" spans="2:2" ht="14.25" customHeight="1" x14ac:dyDescent="0.2">
      <c r="B198" s="3"/>
    </row>
    <row r="199" spans="2:2" ht="14.25" customHeight="1" x14ac:dyDescent="0.2">
      <c r="B199" s="3"/>
    </row>
    <row r="200" spans="2:2" ht="14.25" customHeight="1" x14ac:dyDescent="0.2">
      <c r="B200" s="3"/>
    </row>
    <row r="201" spans="2:2" ht="14.25" customHeight="1" x14ac:dyDescent="0.2">
      <c r="B201" s="3"/>
    </row>
    <row r="202" spans="2:2" ht="14.25" customHeight="1" x14ac:dyDescent="0.2">
      <c r="B202" s="3"/>
    </row>
    <row r="203" spans="2:2" ht="14.25" customHeight="1" x14ac:dyDescent="0.2">
      <c r="B203" s="3"/>
    </row>
    <row r="204" spans="2:2" ht="14.25" customHeight="1" x14ac:dyDescent="0.2">
      <c r="B204" s="3"/>
    </row>
    <row r="205" spans="2:2" ht="14.25" customHeight="1" x14ac:dyDescent="0.2">
      <c r="B205" s="3"/>
    </row>
    <row r="206" spans="2:2" ht="14.25" customHeight="1" x14ac:dyDescent="0.2">
      <c r="B206" s="3"/>
    </row>
    <row r="207" spans="2:2" ht="14.25" customHeight="1" x14ac:dyDescent="0.2">
      <c r="B207" s="3"/>
    </row>
    <row r="208" spans="2:2" ht="14.25" customHeight="1" x14ac:dyDescent="0.2">
      <c r="B208" s="3"/>
    </row>
    <row r="209" spans="2:2" ht="14.25" customHeight="1" x14ac:dyDescent="0.2">
      <c r="B209" s="3"/>
    </row>
    <row r="210" spans="2:2" ht="14.25" customHeight="1" x14ac:dyDescent="0.2">
      <c r="B210" s="3"/>
    </row>
    <row r="211" spans="2:2" ht="14.25" customHeight="1" x14ac:dyDescent="0.2">
      <c r="B211" s="3"/>
    </row>
    <row r="212" spans="2:2" ht="14.25" customHeight="1" x14ac:dyDescent="0.2">
      <c r="B212" s="3"/>
    </row>
    <row r="213" spans="2:2" ht="14.25" customHeight="1" x14ac:dyDescent="0.2">
      <c r="B213" s="3"/>
    </row>
    <row r="214" spans="2:2" ht="14.25" customHeight="1" x14ac:dyDescent="0.2">
      <c r="B214" s="3"/>
    </row>
    <row r="215" spans="2:2" ht="14.25" customHeight="1" x14ac:dyDescent="0.2">
      <c r="B215" s="3"/>
    </row>
    <row r="216" spans="2:2" ht="14.25" customHeight="1" x14ac:dyDescent="0.2">
      <c r="B216" s="3"/>
    </row>
    <row r="217" spans="2:2" ht="14.25" customHeight="1" x14ac:dyDescent="0.2">
      <c r="B217" s="3"/>
    </row>
    <row r="218" spans="2:2" ht="14.25" customHeight="1" x14ac:dyDescent="0.2">
      <c r="B218" s="3"/>
    </row>
    <row r="219" spans="2:2" ht="14.25" customHeight="1" x14ac:dyDescent="0.2">
      <c r="B219" s="3"/>
    </row>
    <row r="220" spans="2:2" ht="14.25" customHeight="1" x14ac:dyDescent="0.2">
      <c r="B220" s="3"/>
    </row>
    <row r="221" spans="2:2" ht="14.25" customHeight="1" x14ac:dyDescent="0.2">
      <c r="B221" s="3"/>
    </row>
    <row r="222" spans="2:2" ht="14.25" customHeight="1" x14ac:dyDescent="0.2">
      <c r="B222" s="3"/>
    </row>
    <row r="223" spans="2:2" ht="14.25" customHeight="1" x14ac:dyDescent="0.2">
      <c r="B223" s="3"/>
    </row>
    <row r="224" spans="2:2" ht="14.25" customHeight="1" x14ac:dyDescent="0.2">
      <c r="B224" s="3"/>
    </row>
    <row r="225" spans="2:2" ht="14.25" customHeight="1" x14ac:dyDescent="0.2">
      <c r="B225" s="3"/>
    </row>
    <row r="226" spans="2:2" ht="14.25" customHeight="1" x14ac:dyDescent="0.2">
      <c r="B226" s="3"/>
    </row>
    <row r="227" spans="2:2" ht="14.25" customHeight="1" x14ac:dyDescent="0.2">
      <c r="B227" s="3"/>
    </row>
    <row r="228" spans="2:2" ht="14.25" customHeight="1" x14ac:dyDescent="0.2">
      <c r="B228" s="3"/>
    </row>
    <row r="229" spans="2:2" ht="14.25" customHeight="1" x14ac:dyDescent="0.2">
      <c r="B229" s="3"/>
    </row>
    <row r="230" spans="2:2" ht="14.25" customHeight="1" x14ac:dyDescent="0.2">
      <c r="B230" s="3"/>
    </row>
    <row r="231" spans="2:2" ht="14.25" customHeight="1" x14ac:dyDescent="0.2">
      <c r="B231" s="3"/>
    </row>
    <row r="232" spans="2:2" ht="14.25" customHeight="1" x14ac:dyDescent="0.2">
      <c r="B232" s="3"/>
    </row>
    <row r="233" spans="2:2" ht="14.25" customHeight="1" x14ac:dyDescent="0.2">
      <c r="B233" s="3"/>
    </row>
    <row r="234" spans="2:2" ht="14.25" customHeight="1" x14ac:dyDescent="0.2">
      <c r="B234" s="3"/>
    </row>
    <row r="235" spans="2:2" ht="14.25" customHeight="1" x14ac:dyDescent="0.2">
      <c r="B235" s="3"/>
    </row>
    <row r="236" spans="2:2" ht="14.25" customHeight="1" x14ac:dyDescent="0.2">
      <c r="B236" s="3"/>
    </row>
    <row r="237" spans="2:2" ht="14.25" customHeight="1" x14ac:dyDescent="0.2">
      <c r="B237" s="3"/>
    </row>
    <row r="238" spans="2:2" ht="14.25" customHeight="1" x14ac:dyDescent="0.2">
      <c r="B238" s="3"/>
    </row>
    <row r="239" spans="2:2" ht="14.25" customHeight="1" x14ac:dyDescent="0.2">
      <c r="B239" s="3"/>
    </row>
    <row r="240" spans="2:2" ht="14.25" customHeight="1" x14ac:dyDescent="0.2">
      <c r="B240" s="3"/>
    </row>
    <row r="241" spans="2:2" ht="14.25" customHeight="1" x14ac:dyDescent="0.2">
      <c r="B241" s="3"/>
    </row>
    <row r="242" spans="2:2" ht="14.25" customHeight="1" x14ac:dyDescent="0.2">
      <c r="B242" s="3"/>
    </row>
    <row r="243" spans="2:2" ht="14.25" customHeight="1" x14ac:dyDescent="0.2">
      <c r="B243" s="3"/>
    </row>
    <row r="244" spans="2:2" ht="14.25" customHeight="1" x14ac:dyDescent="0.2">
      <c r="B244" s="3"/>
    </row>
    <row r="245" spans="2:2" ht="14.25" customHeight="1" x14ac:dyDescent="0.2">
      <c r="B245" s="3"/>
    </row>
    <row r="246" spans="2:2" ht="14.25" customHeight="1" x14ac:dyDescent="0.2">
      <c r="B246" s="3"/>
    </row>
    <row r="247" spans="2:2" ht="14.25" customHeight="1" x14ac:dyDescent="0.2">
      <c r="B247" s="3"/>
    </row>
    <row r="248" spans="2:2" ht="14.25" customHeight="1" x14ac:dyDescent="0.2">
      <c r="B248" s="3"/>
    </row>
    <row r="249" spans="2:2" ht="14.25" customHeight="1" x14ac:dyDescent="0.2">
      <c r="B249" s="3"/>
    </row>
    <row r="250" spans="2:2" ht="14.25" customHeight="1" x14ac:dyDescent="0.2">
      <c r="B250" s="3"/>
    </row>
    <row r="251" spans="2:2" ht="14.25" customHeight="1" x14ac:dyDescent="0.2">
      <c r="B251" s="3"/>
    </row>
    <row r="252" spans="2:2" ht="14.25" customHeight="1" x14ac:dyDescent="0.2">
      <c r="B252" s="3"/>
    </row>
    <row r="253" spans="2:2" ht="14.25" customHeight="1" x14ac:dyDescent="0.2">
      <c r="B253" s="3"/>
    </row>
    <row r="254" spans="2:2" ht="14.25" customHeight="1" x14ac:dyDescent="0.2">
      <c r="B254" s="3"/>
    </row>
    <row r="255" spans="2:2" ht="14.25" customHeight="1" x14ac:dyDescent="0.2">
      <c r="B255" s="3"/>
    </row>
    <row r="256" spans="2:2" ht="14.25" customHeight="1" x14ac:dyDescent="0.2">
      <c r="B256" s="3"/>
    </row>
    <row r="257" spans="2:2" ht="14.25" customHeight="1" x14ac:dyDescent="0.2">
      <c r="B257" s="3"/>
    </row>
    <row r="258" spans="2:2" ht="14.25" customHeight="1" x14ac:dyDescent="0.2">
      <c r="B258" s="3"/>
    </row>
    <row r="259" spans="2:2" ht="14.25" customHeight="1" x14ac:dyDescent="0.2">
      <c r="B259" s="3"/>
    </row>
    <row r="260" spans="2:2" ht="14.25" customHeight="1" x14ac:dyDescent="0.2">
      <c r="B260" s="3"/>
    </row>
    <row r="261" spans="2:2" ht="14.25" customHeight="1" x14ac:dyDescent="0.2">
      <c r="B261" s="3"/>
    </row>
    <row r="262" spans="2:2" ht="14.25" customHeight="1" x14ac:dyDescent="0.2">
      <c r="B262" s="3"/>
    </row>
    <row r="263" spans="2:2" ht="14.25" customHeight="1" x14ac:dyDescent="0.2">
      <c r="B263" s="3"/>
    </row>
    <row r="264" spans="2:2" ht="14.25" customHeight="1" x14ac:dyDescent="0.2">
      <c r="B264" s="3"/>
    </row>
    <row r="265" spans="2:2" ht="14.25" customHeight="1" x14ac:dyDescent="0.2">
      <c r="B265" s="3"/>
    </row>
    <row r="266" spans="2:2" ht="14.25" customHeight="1" x14ac:dyDescent="0.2">
      <c r="B266" s="3"/>
    </row>
    <row r="267" spans="2:2" ht="14.25" customHeight="1" x14ac:dyDescent="0.2">
      <c r="B267" s="3"/>
    </row>
    <row r="268" spans="2:2" ht="14.25" customHeight="1" x14ac:dyDescent="0.2">
      <c r="B268" s="3"/>
    </row>
    <row r="269" spans="2:2" ht="14.25" customHeight="1" x14ac:dyDescent="0.2">
      <c r="B269" s="3"/>
    </row>
    <row r="270" spans="2:2" ht="14.25" customHeight="1" x14ac:dyDescent="0.2">
      <c r="B270" s="3"/>
    </row>
    <row r="271" spans="2:2" ht="14.25" customHeight="1" x14ac:dyDescent="0.2">
      <c r="B271" s="3"/>
    </row>
    <row r="272" spans="2:2" ht="14.25" customHeight="1" x14ac:dyDescent="0.2">
      <c r="B272" s="3"/>
    </row>
    <row r="273" spans="2:2" ht="14.25" customHeight="1" x14ac:dyDescent="0.2">
      <c r="B273" s="3"/>
    </row>
    <row r="274" spans="2:2" ht="14.25" customHeight="1" x14ac:dyDescent="0.2">
      <c r="B274" s="3"/>
    </row>
    <row r="275" spans="2:2" ht="14.25" customHeight="1" x14ac:dyDescent="0.2">
      <c r="B275" s="3"/>
    </row>
    <row r="276" spans="2:2" ht="14.25" customHeight="1" x14ac:dyDescent="0.2">
      <c r="B276" s="3"/>
    </row>
    <row r="277" spans="2:2" ht="14.25" customHeight="1" x14ac:dyDescent="0.2">
      <c r="B277" s="3"/>
    </row>
    <row r="278" spans="2:2" ht="14.25" customHeight="1" x14ac:dyDescent="0.2">
      <c r="B278" s="3"/>
    </row>
    <row r="279" spans="2:2" ht="14.25" customHeight="1" x14ac:dyDescent="0.2">
      <c r="B279" s="3"/>
    </row>
    <row r="280" spans="2:2" ht="14.25" customHeight="1" x14ac:dyDescent="0.2">
      <c r="B280" s="3"/>
    </row>
    <row r="281" spans="2:2" ht="14.25" customHeight="1" x14ac:dyDescent="0.2">
      <c r="B281" s="3"/>
    </row>
    <row r="282" spans="2:2" ht="14.25" customHeight="1" x14ac:dyDescent="0.2">
      <c r="B282" s="3"/>
    </row>
    <row r="283" spans="2:2" ht="14.25" customHeight="1" x14ac:dyDescent="0.2">
      <c r="B283" s="3"/>
    </row>
    <row r="284" spans="2:2" ht="14.25" customHeight="1" x14ac:dyDescent="0.2">
      <c r="B284" s="3"/>
    </row>
    <row r="285" spans="2:2" ht="14.25" customHeight="1" x14ac:dyDescent="0.2">
      <c r="B285" s="3"/>
    </row>
    <row r="286" spans="2:2" ht="14.25" customHeight="1" x14ac:dyDescent="0.2">
      <c r="B286" s="3"/>
    </row>
    <row r="287" spans="2:2" ht="14.25" customHeight="1" x14ac:dyDescent="0.2">
      <c r="B287" s="3"/>
    </row>
    <row r="288" spans="2:2" ht="14.25" customHeight="1" x14ac:dyDescent="0.2">
      <c r="B288" s="3"/>
    </row>
    <row r="289" spans="2:2" ht="14.25" customHeight="1" x14ac:dyDescent="0.2">
      <c r="B289" s="3"/>
    </row>
    <row r="290" spans="2:2" ht="14.25" customHeight="1" x14ac:dyDescent="0.2">
      <c r="B290" s="3"/>
    </row>
    <row r="291" spans="2:2" ht="14.25" customHeight="1" x14ac:dyDescent="0.2">
      <c r="B291" s="3"/>
    </row>
    <row r="292" spans="2:2" ht="14.25" customHeight="1" x14ac:dyDescent="0.2">
      <c r="B292" s="3"/>
    </row>
    <row r="293" spans="2:2" ht="14.25" customHeight="1" x14ac:dyDescent="0.2">
      <c r="B293" s="3"/>
    </row>
    <row r="294" spans="2:2" ht="14.25" customHeight="1" x14ac:dyDescent="0.2">
      <c r="B294" s="3"/>
    </row>
    <row r="295" spans="2:2" ht="14.25" customHeight="1" x14ac:dyDescent="0.2">
      <c r="B295" s="3"/>
    </row>
    <row r="296" spans="2:2" ht="14.25" customHeight="1" x14ac:dyDescent="0.2">
      <c r="B296" s="3"/>
    </row>
    <row r="297" spans="2:2" ht="14.25" customHeight="1" x14ac:dyDescent="0.2">
      <c r="B297" s="3"/>
    </row>
    <row r="298" spans="2:2" ht="14.25" customHeight="1" x14ac:dyDescent="0.2">
      <c r="B298" s="3"/>
    </row>
    <row r="299" spans="2:2" ht="14.25" customHeight="1" x14ac:dyDescent="0.2">
      <c r="B299" s="3"/>
    </row>
    <row r="300" spans="2:2" ht="14.25" customHeight="1" x14ac:dyDescent="0.2">
      <c r="B300" s="3"/>
    </row>
    <row r="301" spans="2:2" ht="14.25" customHeight="1" x14ac:dyDescent="0.2">
      <c r="B301" s="3"/>
    </row>
    <row r="302" spans="2:2" ht="14.25" customHeight="1" x14ac:dyDescent="0.2">
      <c r="B302" s="3"/>
    </row>
    <row r="303" spans="2:2" ht="14.25" customHeight="1" x14ac:dyDescent="0.2">
      <c r="B303" s="3"/>
    </row>
    <row r="304" spans="2:2" ht="14.25" customHeight="1" x14ac:dyDescent="0.2">
      <c r="B304" s="3"/>
    </row>
    <row r="305" spans="2:2" ht="14.25" customHeight="1" x14ac:dyDescent="0.2">
      <c r="B305" s="3"/>
    </row>
    <row r="306" spans="2:2" ht="14.25" customHeight="1" x14ac:dyDescent="0.2">
      <c r="B306" s="3"/>
    </row>
    <row r="307" spans="2:2" ht="14.25" customHeight="1" x14ac:dyDescent="0.2">
      <c r="B307" s="3"/>
    </row>
    <row r="308" spans="2:2" ht="14.25" customHeight="1" x14ac:dyDescent="0.2">
      <c r="B308" s="3"/>
    </row>
    <row r="309" spans="2:2" ht="14.25" customHeight="1" x14ac:dyDescent="0.2">
      <c r="B309" s="3"/>
    </row>
    <row r="310" spans="2:2" ht="14.25" customHeight="1" x14ac:dyDescent="0.2">
      <c r="B310" s="3"/>
    </row>
    <row r="311" spans="2:2" ht="14.25" customHeight="1" x14ac:dyDescent="0.2">
      <c r="B311" s="3"/>
    </row>
    <row r="312" spans="2:2" ht="14.25" customHeight="1" x14ac:dyDescent="0.2">
      <c r="B312" s="3"/>
    </row>
    <row r="313" spans="2:2" ht="14.25" customHeight="1" x14ac:dyDescent="0.2">
      <c r="B313" s="3"/>
    </row>
    <row r="314" spans="2:2" ht="14.25" customHeight="1" x14ac:dyDescent="0.2">
      <c r="B314" s="3"/>
    </row>
    <row r="315" spans="2:2" ht="14.25" customHeight="1" x14ac:dyDescent="0.2">
      <c r="B315" s="3"/>
    </row>
    <row r="316" spans="2:2" ht="14.25" customHeight="1" x14ac:dyDescent="0.2">
      <c r="B316" s="3"/>
    </row>
    <row r="317" spans="2:2" ht="14.25" customHeight="1" x14ac:dyDescent="0.2">
      <c r="B317" s="3"/>
    </row>
    <row r="318" spans="2:2" ht="14.25" customHeight="1" x14ac:dyDescent="0.2">
      <c r="B318" s="3"/>
    </row>
    <row r="319" spans="2:2" ht="14.25" customHeight="1" x14ac:dyDescent="0.2">
      <c r="B319" s="3"/>
    </row>
    <row r="320" spans="2:2" ht="14.25" customHeight="1" x14ac:dyDescent="0.2">
      <c r="B320" s="3"/>
    </row>
    <row r="321" spans="2:2" ht="14.25" customHeight="1" x14ac:dyDescent="0.2">
      <c r="B321" s="3"/>
    </row>
    <row r="322" spans="2:2" ht="14.25" customHeight="1" x14ac:dyDescent="0.2">
      <c r="B322" s="3"/>
    </row>
    <row r="323" spans="2:2" ht="14.25" customHeight="1" x14ac:dyDescent="0.2">
      <c r="B323" s="3"/>
    </row>
    <row r="324" spans="2:2" ht="14.25" customHeight="1" x14ac:dyDescent="0.2">
      <c r="B324" s="3"/>
    </row>
    <row r="325" spans="2:2" ht="14.25" customHeight="1" x14ac:dyDescent="0.2">
      <c r="B325" s="3"/>
    </row>
    <row r="326" spans="2:2" ht="14.25" customHeight="1" x14ac:dyDescent="0.2">
      <c r="B326" s="3"/>
    </row>
    <row r="327" spans="2:2" ht="14.25" customHeight="1" x14ac:dyDescent="0.2">
      <c r="B327" s="3"/>
    </row>
    <row r="328" spans="2:2" ht="14.25" customHeight="1" x14ac:dyDescent="0.2">
      <c r="B328" s="3"/>
    </row>
    <row r="329" spans="2:2" ht="14.25" customHeight="1" x14ac:dyDescent="0.2">
      <c r="B329" s="3"/>
    </row>
    <row r="330" spans="2:2" ht="14.25" customHeight="1" x14ac:dyDescent="0.2">
      <c r="B330" s="3"/>
    </row>
    <row r="331" spans="2:2" ht="14.25" customHeight="1" x14ac:dyDescent="0.2">
      <c r="B331" s="3"/>
    </row>
    <row r="332" spans="2:2" ht="14.25" customHeight="1" x14ac:dyDescent="0.2">
      <c r="B332" s="3"/>
    </row>
    <row r="333" spans="2:2" ht="14.25" customHeight="1" x14ac:dyDescent="0.2">
      <c r="B333" s="3"/>
    </row>
    <row r="334" spans="2:2" ht="14.25" customHeight="1" x14ac:dyDescent="0.2">
      <c r="B334" s="3"/>
    </row>
    <row r="335" spans="2:2" ht="14.25" customHeight="1" x14ac:dyDescent="0.2">
      <c r="B335" s="3"/>
    </row>
    <row r="336" spans="2:2" ht="14.25" customHeight="1" x14ac:dyDescent="0.2">
      <c r="B336" s="3"/>
    </row>
    <row r="337" spans="2:2" ht="14.25" customHeight="1" x14ac:dyDescent="0.2">
      <c r="B337" s="3"/>
    </row>
    <row r="338" spans="2:2" ht="14.25" customHeight="1" x14ac:dyDescent="0.2">
      <c r="B338" s="3"/>
    </row>
    <row r="339" spans="2:2" ht="14.25" customHeight="1" x14ac:dyDescent="0.2">
      <c r="B339" s="3"/>
    </row>
    <row r="340" spans="2:2" ht="14.25" customHeight="1" x14ac:dyDescent="0.2">
      <c r="B340" s="3"/>
    </row>
    <row r="341" spans="2:2" ht="14.25" customHeight="1" x14ac:dyDescent="0.2">
      <c r="B341" s="3"/>
    </row>
    <row r="342" spans="2:2" ht="14.25" customHeight="1" x14ac:dyDescent="0.2">
      <c r="B342" s="3"/>
    </row>
    <row r="343" spans="2:2" ht="14.25" customHeight="1" x14ac:dyDescent="0.2">
      <c r="B343" s="3"/>
    </row>
    <row r="344" spans="2:2" ht="14.25" customHeight="1" x14ac:dyDescent="0.2">
      <c r="B344" s="3"/>
    </row>
    <row r="345" spans="2:2" ht="14.25" customHeight="1" x14ac:dyDescent="0.2">
      <c r="B345" s="3"/>
    </row>
    <row r="346" spans="2:2" ht="14.25" customHeight="1" x14ac:dyDescent="0.2">
      <c r="B346" s="3"/>
    </row>
    <row r="347" spans="2:2" ht="14.25" customHeight="1" x14ac:dyDescent="0.2">
      <c r="B347" s="3"/>
    </row>
    <row r="348" spans="2:2" ht="14.25" customHeight="1" x14ac:dyDescent="0.2">
      <c r="B348" s="3"/>
    </row>
    <row r="349" spans="2:2" ht="14.25" customHeight="1" x14ac:dyDescent="0.2">
      <c r="B349" s="3"/>
    </row>
    <row r="350" spans="2:2" ht="14.25" customHeight="1" x14ac:dyDescent="0.2">
      <c r="B350" s="3"/>
    </row>
    <row r="351" spans="2:2" ht="14.25" customHeight="1" x14ac:dyDescent="0.2">
      <c r="B351" s="3"/>
    </row>
    <row r="352" spans="2:2" ht="14.25" customHeight="1" x14ac:dyDescent="0.2">
      <c r="B352" s="3"/>
    </row>
    <row r="353" spans="2:2" ht="14.25" customHeight="1" x14ac:dyDescent="0.2">
      <c r="B353" s="3"/>
    </row>
    <row r="354" spans="2:2" ht="14.25" customHeight="1" x14ac:dyDescent="0.2">
      <c r="B354" s="3"/>
    </row>
    <row r="355" spans="2:2" ht="14.25" customHeight="1" x14ac:dyDescent="0.2">
      <c r="B355" s="3"/>
    </row>
    <row r="356" spans="2:2" ht="14.25" customHeight="1" x14ac:dyDescent="0.2">
      <c r="B356" s="3"/>
    </row>
    <row r="357" spans="2:2" ht="14.25" customHeight="1" x14ac:dyDescent="0.2">
      <c r="B357" s="3"/>
    </row>
    <row r="358" spans="2:2" ht="14.25" customHeight="1" x14ac:dyDescent="0.2">
      <c r="B358" s="3"/>
    </row>
    <row r="359" spans="2:2" ht="14.25" customHeight="1" x14ac:dyDescent="0.2">
      <c r="B359" s="3"/>
    </row>
    <row r="360" spans="2:2" ht="14.25" customHeight="1" x14ac:dyDescent="0.2">
      <c r="B360" s="3"/>
    </row>
    <row r="361" spans="2:2" ht="14.25" customHeight="1" x14ac:dyDescent="0.2">
      <c r="B361" s="3"/>
    </row>
    <row r="362" spans="2:2" ht="14.25" customHeight="1" x14ac:dyDescent="0.2">
      <c r="B362" s="3"/>
    </row>
    <row r="363" spans="2:2" ht="14.25" customHeight="1" x14ac:dyDescent="0.2">
      <c r="B363" s="3"/>
    </row>
    <row r="364" spans="2:2" ht="14.25" customHeight="1" x14ac:dyDescent="0.2">
      <c r="B364" s="3"/>
    </row>
    <row r="365" spans="2:2" ht="14.25" customHeight="1" x14ac:dyDescent="0.2">
      <c r="B365" s="3"/>
    </row>
    <row r="366" spans="2:2" ht="14.25" customHeight="1" x14ac:dyDescent="0.2">
      <c r="B366" s="3"/>
    </row>
    <row r="367" spans="2:2" ht="14.25" customHeight="1" x14ac:dyDescent="0.2">
      <c r="B367" s="3"/>
    </row>
    <row r="368" spans="2:2" ht="14.25" customHeight="1" x14ac:dyDescent="0.2">
      <c r="B368" s="3"/>
    </row>
    <row r="369" spans="2:2" ht="14.25" customHeight="1" x14ac:dyDescent="0.2">
      <c r="B369" s="3"/>
    </row>
    <row r="370" spans="2:2" ht="14.25" customHeight="1" x14ac:dyDescent="0.2">
      <c r="B370" s="3"/>
    </row>
    <row r="371" spans="2:2" ht="14.25" customHeight="1" x14ac:dyDescent="0.2">
      <c r="B371" s="3"/>
    </row>
    <row r="372" spans="2:2" ht="14.25" customHeight="1" x14ac:dyDescent="0.2">
      <c r="B372" s="3"/>
    </row>
    <row r="373" spans="2:2" ht="14.25" customHeight="1" x14ac:dyDescent="0.2">
      <c r="B373" s="3"/>
    </row>
    <row r="374" spans="2:2" ht="14.25" customHeight="1" x14ac:dyDescent="0.2">
      <c r="B374" s="3"/>
    </row>
    <row r="375" spans="2:2" ht="14.25" customHeight="1" x14ac:dyDescent="0.2">
      <c r="B375" s="3"/>
    </row>
    <row r="376" spans="2:2" ht="14.25" customHeight="1" x14ac:dyDescent="0.2">
      <c r="B376" s="3"/>
    </row>
    <row r="377" spans="2:2" ht="14.25" customHeight="1" x14ac:dyDescent="0.2">
      <c r="B377" s="3"/>
    </row>
    <row r="378" spans="2:2" ht="14.25" customHeight="1" x14ac:dyDescent="0.2">
      <c r="B378" s="3"/>
    </row>
    <row r="379" spans="2:2" ht="14.25" customHeight="1" x14ac:dyDescent="0.2">
      <c r="B379" s="3"/>
    </row>
    <row r="380" spans="2:2" ht="14.25" customHeight="1" x14ac:dyDescent="0.2">
      <c r="B380" s="3"/>
    </row>
    <row r="381" spans="2:2" ht="14.25" customHeight="1" x14ac:dyDescent="0.2">
      <c r="B381" s="3"/>
    </row>
    <row r="382" spans="2:2" ht="14.25" customHeight="1" x14ac:dyDescent="0.2">
      <c r="B382" s="3"/>
    </row>
    <row r="383" spans="2:2" ht="14.25" customHeight="1" x14ac:dyDescent="0.2">
      <c r="B383" s="3"/>
    </row>
    <row r="384" spans="2:2" ht="14.25" customHeight="1" x14ac:dyDescent="0.2">
      <c r="B384" s="3"/>
    </row>
    <row r="385" spans="2:2" ht="14.25" customHeight="1" x14ac:dyDescent="0.2">
      <c r="B385" s="3"/>
    </row>
    <row r="386" spans="2:2" ht="14.25" customHeight="1" x14ac:dyDescent="0.2">
      <c r="B386" s="3"/>
    </row>
    <row r="387" spans="2:2" ht="14.25" customHeight="1" x14ac:dyDescent="0.2">
      <c r="B387" s="3"/>
    </row>
    <row r="388" spans="2:2" ht="14.25" customHeight="1" x14ac:dyDescent="0.2">
      <c r="B388" s="3"/>
    </row>
    <row r="389" spans="2:2" ht="14.25" customHeight="1" x14ac:dyDescent="0.2">
      <c r="B389" s="3"/>
    </row>
    <row r="390" spans="2:2" ht="14.25" customHeight="1" x14ac:dyDescent="0.2">
      <c r="B390" s="3"/>
    </row>
    <row r="391" spans="2:2" ht="14.25" customHeight="1" x14ac:dyDescent="0.2">
      <c r="B391" s="3"/>
    </row>
    <row r="392" spans="2:2" ht="14.25" customHeight="1" x14ac:dyDescent="0.2">
      <c r="B392" s="3"/>
    </row>
    <row r="393" spans="2:2" ht="14.25" customHeight="1" x14ac:dyDescent="0.2">
      <c r="B393" s="3"/>
    </row>
    <row r="394" spans="2:2" ht="14.25" customHeight="1" x14ac:dyDescent="0.2">
      <c r="B394" s="3"/>
    </row>
    <row r="395" spans="2:2" ht="14.25" customHeight="1" x14ac:dyDescent="0.2">
      <c r="B395" s="3"/>
    </row>
    <row r="396" spans="2:2" ht="14.25" customHeight="1" x14ac:dyDescent="0.2">
      <c r="B396" s="3"/>
    </row>
    <row r="397" spans="2:2" ht="14.25" customHeight="1" x14ac:dyDescent="0.2">
      <c r="B397" s="3"/>
    </row>
    <row r="398" spans="2:2" ht="14.25" customHeight="1" x14ac:dyDescent="0.2">
      <c r="B398" s="3"/>
    </row>
    <row r="399" spans="2:2" ht="14.25" customHeight="1" x14ac:dyDescent="0.2">
      <c r="B399" s="3"/>
    </row>
    <row r="400" spans="2:2" ht="14.25" customHeight="1" x14ac:dyDescent="0.2">
      <c r="B400" s="3"/>
    </row>
    <row r="401" spans="2:2" ht="14.25" customHeight="1" x14ac:dyDescent="0.2">
      <c r="B401" s="3"/>
    </row>
    <row r="402" spans="2:2" ht="14.25" customHeight="1" x14ac:dyDescent="0.2">
      <c r="B402" s="3"/>
    </row>
    <row r="403" spans="2:2" ht="14.25" customHeight="1" x14ac:dyDescent="0.2">
      <c r="B403" s="3"/>
    </row>
    <row r="404" spans="2:2" ht="14.25" customHeight="1" x14ac:dyDescent="0.2">
      <c r="B404" s="3"/>
    </row>
    <row r="405" spans="2:2" ht="14.25" customHeight="1" x14ac:dyDescent="0.2">
      <c r="B405" s="3"/>
    </row>
    <row r="406" spans="2:2" ht="14.25" customHeight="1" x14ac:dyDescent="0.2">
      <c r="B406" s="3"/>
    </row>
    <row r="407" spans="2:2" ht="14.25" customHeight="1" x14ac:dyDescent="0.2">
      <c r="B407" s="3"/>
    </row>
    <row r="408" spans="2:2" ht="14.25" customHeight="1" x14ac:dyDescent="0.2">
      <c r="B408" s="3"/>
    </row>
    <row r="409" spans="2:2" ht="14.25" customHeight="1" x14ac:dyDescent="0.2">
      <c r="B409" s="3"/>
    </row>
    <row r="410" spans="2:2" ht="14.25" customHeight="1" x14ac:dyDescent="0.2">
      <c r="B410" s="3"/>
    </row>
    <row r="411" spans="2:2" ht="14.25" customHeight="1" x14ac:dyDescent="0.2">
      <c r="B411" s="3"/>
    </row>
    <row r="412" spans="2:2" ht="14.25" customHeight="1" x14ac:dyDescent="0.2">
      <c r="B412" s="3"/>
    </row>
    <row r="413" spans="2:2" ht="14.25" customHeight="1" x14ac:dyDescent="0.2">
      <c r="B413" s="3"/>
    </row>
    <row r="414" spans="2:2" ht="14.25" customHeight="1" x14ac:dyDescent="0.2">
      <c r="B414" s="3"/>
    </row>
    <row r="415" spans="2:2" ht="14.25" customHeight="1" x14ac:dyDescent="0.2">
      <c r="B415" s="3"/>
    </row>
    <row r="416" spans="2:2" ht="14.25" customHeight="1" x14ac:dyDescent="0.2">
      <c r="B416" s="3"/>
    </row>
    <row r="417" spans="2:2" ht="14.25" customHeight="1" x14ac:dyDescent="0.2">
      <c r="B417" s="3"/>
    </row>
    <row r="418" spans="2:2" ht="14.25" customHeight="1" x14ac:dyDescent="0.2">
      <c r="B418" s="3"/>
    </row>
    <row r="419" spans="2:2" ht="14.25" customHeight="1" x14ac:dyDescent="0.2">
      <c r="B419" s="3"/>
    </row>
    <row r="420" spans="2:2" ht="14.25" customHeight="1" x14ac:dyDescent="0.2">
      <c r="B420" s="3"/>
    </row>
    <row r="421" spans="2:2" ht="14.25" customHeight="1" x14ac:dyDescent="0.2">
      <c r="B421" s="3"/>
    </row>
    <row r="422" spans="2:2" ht="14.25" customHeight="1" x14ac:dyDescent="0.2">
      <c r="B422" s="3"/>
    </row>
    <row r="423" spans="2:2" ht="14.25" customHeight="1" x14ac:dyDescent="0.2">
      <c r="B423" s="3"/>
    </row>
    <row r="424" spans="2:2" ht="14.25" customHeight="1" x14ac:dyDescent="0.2">
      <c r="B424" s="3"/>
    </row>
    <row r="425" spans="2:2" ht="14.25" customHeight="1" x14ac:dyDescent="0.2">
      <c r="B425" s="3"/>
    </row>
    <row r="426" spans="2:2" ht="14.25" customHeight="1" x14ac:dyDescent="0.2">
      <c r="B426" s="3"/>
    </row>
    <row r="427" spans="2:2" ht="14.25" customHeight="1" x14ac:dyDescent="0.2">
      <c r="B427" s="3"/>
    </row>
    <row r="428" spans="2:2" ht="14.25" customHeight="1" x14ac:dyDescent="0.2">
      <c r="B428" s="3"/>
    </row>
    <row r="429" spans="2:2" ht="14.25" customHeight="1" x14ac:dyDescent="0.2">
      <c r="B429" s="3"/>
    </row>
    <row r="430" spans="2:2" ht="14.25" customHeight="1" x14ac:dyDescent="0.2">
      <c r="B430" s="3"/>
    </row>
    <row r="431" spans="2:2" ht="14.25" customHeight="1" x14ac:dyDescent="0.2">
      <c r="B431" s="3"/>
    </row>
    <row r="432" spans="2:2" ht="14.25" customHeight="1" x14ac:dyDescent="0.2">
      <c r="B432" s="3"/>
    </row>
    <row r="433" spans="2:2" ht="14.25" customHeight="1" x14ac:dyDescent="0.2">
      <c r="B433" s="3"/>
    </row>
    <row r="434" spans="2:2" ht="14.25" customHeight="1" x14ac:dyDescent="0.2">
      <c r="B434" s="3"/>
    </row>
    <row r="435" spans="2:2" ht="14.25" customHeight="1" x14ac:dyDescent="0.2">
      <c r="B435" s="3"/>
    </row>
    <row r="436" spans="2:2" ht="14.25" customHeight="1" x14ac:dyDescent="0.2">
      <c r="B436" s="3"/>
    </row>
    <row r="437" spans="2:2" ht="14.25" customHeight="1" x14ac:dyDescent="0.2">
      <c r="B437" s="3"/>
    </row>
    <row r="438" spans="2:2" ht="14.25" customHeight="1" x14ac:dyDescent="0.2">
      <c r="B438" s="3"/>
    </row>
    <row r="439" spans="2:2" ht="14.25" customHeight="1" x14ac:dyDescent="0.2">
      <c r="B439" s="3"/>
    </row>
    <row r="440" spans="2:2" ht="14.25" customHeight="1" x14ac:dyDescent="0.2">
      <c r="B440" s="3"/>
    </row>
    <row r="441" spans="2:2" ht="14.25" customHeight="1" x14ac:dyDescent="0.2">
      <c r="B441" s="3"/>
    </row>
    <row r="442" spans="2:2" ht="14.25" customHeight="1" x14ac:dyDescent="0.2">
      <c r="B442" s="3"/>
    </row>
    <row r="443" spans="2:2" ht="14.25" customHeight="1" x14ac:dyDescent="0.2">
      <c r="B443" s="3"/>
    </row>
    <row r="444" spans="2:2" ht="14.25" customHeight="1" x14ac:dyDescent="0.2">
      <c r="B444" s="3"/>
    </row>
    <row r="445" spans="2:2" ht="14.25" customHeight="1" x14ac:dyDescent="0.2">
      <c r="B445" s="3"/>
    </row>
    <row r="446" spans="2:2" ht="14.25" customHeight="1" x14ac:dyDescent="0.2">
      <c r="B446" s="3"/>
    </row>
    <row r="447" spans="2:2" ht="14.25" customHeight="1" x14ac:dyDescent="0.2">
      <c r="B447" s="3"/>
    </row>
    <row r="448" spans="2:2" ht="14.25" customHeight="1" x14ac:dyDescent="0.2">
      <c r="B448" s="3"/>
    </row>
    <row r="449" spans="2:2" ht="14.25" customHeight="1" x14ac:dyDescent="0.2">
      <c r="B449" s="3"/>
    </row>
    <row r="450" spans="2:2" ht="14.25" customHeight="1" x14ac:dyDescent="0.2">
      <c r="B450" s="3"/>
    </row>
    <row r="451" spans="2:2" ht="14.25" customHeight="1" x14ac:dyDescent="0.2">
      <c r="B451" s="3"/>
    </row>
    <row r="452" spans="2:2" ht="14.25" customHeight="1" x14ac:dyDescent="0.2">
      <c r="B452" s="3"/>
    </row>
    <row r="453" spans="2:2" ht="14.25" customHeight="1" x14ac:dyDescent="0.2">
      <c r="B453" s="3"/>
    </row>
    <row r="454" spans="2:2" ht="14.25" customHeight="1" x14ac:dyDescent="0.2">
      <c r="B454" s="3"/>
    </row>
    <row r="455" spans="2:2" ht="14.25" customHeight="1" x14ac:dyDescent="0.2">
      <c r="B455" s="3"/>
    </row>
    <row r="456" spans="2:2" ht="14.25" customHeight="1" x14ac:dyDescent="0.2">
      <c r="B456" s="3"/>
    </row>
    <row r="457" spans="2:2" ht="14.25" customHeight="1" x14ac:dyDescent="0.2">
      <c r="B457" s="3"/>
    </row>
    <row r="458" spans="2:2" ht="14.25" customHeight="1" x14ac:dyDescent="0.2">
      <c r="B458" s="3"/>
    </row>
    <row r="459" spans="2:2" ht="14.25" customHeight="1" x14ac:dyDescent="0.2">
      <c r="B459" s="3"/>
    </row>
    <row r="460" spans="2:2" ht="14.25" customHeight="1" x14ac:dyDescent="0.2">
      <c r="B460" s="3"/>
    </row>
    <row r="461" spans="2:2" ht="14.25" customHeight="1" x14ac:dyDescent="0.2">
      <c r="B461" s="3"/>
    </row>
    <row r="462" spans="2:2" ht="14.25" customHeight="1" x14ac:dyDescent="0.2">
      <c r="B462" s="3"/>
    </row>
    <row r="463" spans="2:2" ht="14.25" customHeight="1" x14ac:dyDescent="0.2">
      <c r="B463" s="3"/>
    </row>
    <row r="464" spans="2:2" ht="14.25" customHeight="1" x14ac:dyDescent="0.2">
      <c r="B464" s="3"/>
    </row>
    <row r="465" spans="2:2" ht="14.25" customHeight="1" x14ac:dyDescent="0.2">
      <c r="B465" s="3"/>
    </row>
    <row r="466" spans="2:2" ht="14.25" customHeight="1" x14ac:dyDescent="0.2">
      <c r="B466" s="3"/>
    </row>
    <row r="467" spans="2:2" ht="14.25" customHeight="1" x14ac:dyDescent="0.2">
      <c r="B467" s="3"/>
    </row>
    <row r="468" spans="2:2" ht="14.25" customHeight="1" x14ac:dyDescent="0.2">
      <c r="B468" s="3"/>
    </row>
    <row r="469" spans="2:2" ht="14.25" customHeight="1" x14ac:dyDescent="0.2">
      <c r="B469" s="3"/>
    </row>
    <row r="470" spans="2:2" ht="14.25" customHeight="1" x14ac:dyDescent="0.2">
      <c r="B470" s="3"/>
    </row>
    <row r="471" spans="2:2" ht="14.25" customHeight="1" x14ac:dyDescent="0.2">
      <c r="B471" s="3"/>
    </row>
    <row r="472" spans="2:2" ht="14.25" customHeight="1" x14ac:dyDescent="0.2">
      <c r="B472" s="3"/>
    </row>
    <row r="473" spans="2:2" ht="14.25" customHeight="1" x14ac:dyDescent="0.2">
      <c r="B473" s="3"/>
    </row>
    <row r="474" spans="2:2" ht="14.25" customHeight="1" x14ac:dyDescent="0.2">
      <c r="B474" s="3"/>
    </row>
    <row r="475" spans="2:2" ht="14.25" customHeight="1" x14ac:dyDescent="0.2">
      <c r="B475" s="3"/>
    </row>
    <row r="476" spans="2:2" ht="14.25" customHeight="1" x14ac:dyDescent="0.2">
      <c r="B476" s="3"/>
    </row>
    <row r="477" spans="2:2" ht="14.25" customHeight="1" x14ac:dyDescent="0.2">
      <c r="B477" s="3"/>
    </row>
    <row r="478" spans="2:2" ht="14.25" customHeight="1" x14ac:dyDescent="0.2">
      <c r="B478" s="3"/>
    </row>
    <row r="479" spans="2:2" ht="14.25" customHeight="1" x14ac:dyDescent="0.2">
      <c r="B479" s="3"/>
    </row>
    <row r="480" spans="2:2" ht="14.25" customHeight="1" x14ac:dyDescent="0.2">
      <c r="B480" s="3"/>
    </row>
    <row r="481" spans="2:2" ht="14.25" customHeight="1" x14ac:dyDescent="0.2">
      <c r="B481" s="3"/>
    </row>
    <row r="482" spans="2:2" ht="14.25" customHeight="1" x14ac:dyDescent="0.2">
      <c r="B482" s="3"/>
    </row>
    <row r="483" spans="2:2" ht="14.25" customHeight="1" x14ac:dyDescent="0.2">
      <c r="B483" s="3"/>
    </row>
    <row r="484" spans="2:2" ht="14.25" customHeight="1" x14ac:dyDescent="0.2">
      <c r="B484" s="3"/>
    </row>
    <row r="485" spans="2:2" ht="14.25" customHeight="1" x14ac:dyDescent="0.2">
      <c r="B485" s="3"/>
    </row>
    <row r="486" spans="2:2" ht="14.25" customHeight="1" x14ac:dyDescent="0.2">
      <c r="B486" s="3"/>
    </row>
    <row r="487" spans="2:2" ht="14.25" customHeight="1" x14ac:dyDescent="0.2">
      <c r="B487" s="3"/>
    </row>
    <row r="488" spans="2:2" ht="14.25" customHeight="1" x14ac:dyDescent="0.2">
      <c r="B488" s="3"/>
    </row>
    <row r="489" spans="2:2" ht="14.25" customHeight="1" x14ac:dyDescent="0.2">
      <c r="B489" s="3"/>
    </row>
    <row r="490" spans="2:2" ht="14.25" customHeight="1" x14ac:dyDescent="0.2">
      <c r="B490" s="3"/>
    </row>
    <row r="491" spans="2:2" ht="14.25" customHeight="1" x14ac:dyDescent="0.2">
      <c r="B491" s="3"/>
    </row>
    <row r="492" spans="2:2" ht="14.25" customHeight="1" x14ac:dyDescent="0.2">
      <c r="B492" s="3"/>
    </row>
    <row r="493" spans="2:2" ht="14.25" customHeight="1" x14ac:dyDescent="0.2">
      <c r="B493" s="3"/>
    </row>
    <row r="494" spans="2:2" ht="14.25" customHeight="1" x14ac:dyDescent="0.2">
      <c r="B494" s="3"/>
    </row>
    <row r="495" spans="2:2" ht="14.25" customHeight="1" x14ac:dyDescent="0.2">
      <c r="B495" s="3"/>
    </row>
    <row r="496" spans="2:2" ht="14.25" customHeight="1" x14ac:dyDescent="0.2">
      <c r="B496" s="3"/>
    </row>
    <row r="497" spans="2:2" ht="14.25" customHeight="1" x14ac:dyDescent="0.2">
      <c r="B497" s="3"/>
    </row>
    <row r="498" spans="2:2" ht="14.25" customHeight="1" x14ac:dyDescent="0.2">
      <c r="B498" s="3"/>
    </row>
    <row r="499" spans="2:2" ht="14.25" customHeight="1" x14ac:dyDescent="0.2">
      <c r="B499" s="3"/>
    </row>
    <row r="500" spans="2:2" ht="14.25" customHeight="1" x14ac:dyDescent="0.2">
      <c r="B500" s="3"/>
    </row>
    <row r="501" spans="2:2" ht="14.25" customHeight="1" x14ac:dyDescent="0.2">
      <c r="B501" s="3"/>
    </row>
    <row r="502" spans="2:2" ht="14.25" customHeight="1" x14ac:dyDescent="0.2">
      <c r="B502" s="3"/>
    </row>
    <row r="503" spans="2:2" ht="14.25" customHeight="1" x14ac:dyDescent="0.2">
      <c r="B503" s="3"/>
    </row>
    <row r="504" spans="2:2" ht="14.25" customHeight="1" x14ac:dyDescent="0.2">
      <c r="B504" s="3"/>
    </row>
    <row r="505" spans="2:2" ht="14.25" customHeight="1" x14ac:dyDescent="0.2">
      <c r="B505" s="3"/>
    </row>
    <row r="506" spans="2:2" ht="14.25" customHeight="1" x14ac:dyDescent="0.2">
      <c r="B506" s="3"/>
    </row>
    <row r="507" spans="2:2" ht="14.25" customHeight="1" x14ac:dyDescent="0.2">
      <c r="B507" s="3"/>
    </row>
    <row r="508" spans="2:2" ht="14.25" customHeight="1" x14ac:dyDescent="0.2">
      <c r="B508" s="3"/>
    </row>
    <row r="509" spans="2:2" ht="14.25" customHeight="1" x14ac:dyDescent="0.2">
      <c r="B509" s="3"/>
    </row>
    <row r="510" spans="2:2" ht="14.25" customHeight="1" x14ac:dyDescent="0.2">
      <c r="B510" s="3"/>
    </row>
    <row r="511" spans="2:2" ht="14.25" customHeight="1" x14ac:dyDescent="0.2">
      <c r="B511" s="3"/>
    </row>
    <row r="512" spans="2:2" ht="14.25" customHeight="1" x14ac:dyDescent="0.2">
      <c r="B512" s="3"/>
    </row>
    <row r="513" spans="2:2" ht="14.25" customHeight="1" x14ac:dyDescent="0.2">
      <c r="B513" s="3"/>
    </row>
    <row r="514" spans="2:2" ht="14.25" customHeight="1" x14ac:dyDescent="0.2">
      <c r="B514" s="3"/>
    </row>
    <row r="515" spans="2:2" ht="14.25" customHeight="1" x14ac:dyDescent="0.2">
      <c r="B515" s="3"/>
    </row>
    <row r="516" spans="2:2" ht="14.25" customHeight="1" x14ac:dyDescent="0.2">
      <c r="B516" s="3"/>
    </row>
    <row r="517" spans="2:2" ht="14.25" customHeight="1" x14ac:dyDescent="0.2">
      <c r="B517" s="3"/>
    </row>
    <row r="518" spans="2:2" ht="14.25" customHeight="1" x14ac:dyDescent="0.2">
      <c r="B518" s="3"/>
    </row>
    <row r="519" spans="2:2" ht="14.25" customHeight="1" x14ac:dyDescent="0.2">
      <c r="B519" s="3"/>
    </row>
    <row r="520" spans="2:2" ht="14.25" customHeight="1" x14ac:dyDescent="0.2">
      <c r="B520" s="3"/>
    </row>
    <row r="521" spans="2:2" ht="14.25" customHeight="1" x14ac:dyDescent="0.2">
      <c r="B521" s="3"/>
    </row>
    <row r="522" spans="2:2" ht="14.25" customHeight="1" x14ac:dyDescent="0.2">
      <c r="B522" s="3"/>
    </row>
    <row r="523" spans="2:2" ht="14.25" customHeight="1" x14ac:dyDescent="0.2">
      <c r="B523" s="3"/>
    </row>
    <row r="524" spans="2:2" ht="14.25" customHeight="1" x14ac:dyDescent="0.2">
      <c r="B524" s="3"/>
    </row>
    <row r="525" spans="2:2" ht="14.25" customHeight="1" x14ac:dyDescent="0.2">
      <c r="B525" s="3"/>
    </row>
    <row r="526" spans="2:2" ht="14.25" customHeight="1" x14ac:dyDescent="0.2">
      <c r="B526" s="3"/>
    </row>
    <row r="527" spans="2:2" ht="14.25" customHeight="1" x14ac:dyDescent="0.2">
      <c r="B527" s="3"/>
    </row>
    <row r="528" spans="2:2" ht="14.25" customHeight="1" x14ac:dyDescent="0.2">
      <c r="B528" s="3"/>
    </row>
    <row r="529" spans="2:2" ht="14.25" customHeight="1" x14ac:dyDescent="0.2">
      <c r="B529" s="3"/>
    </row>
    <row r="530" spans="2:2" ht="14.25" customHeight="1" x14ac:dyDescent="0.2">
      <c r="B530" s="3"/>
    </row>
    <row r="531" spans="2:2" ht="14.25" customHeight="1" x14ac:dyDescent="0.2">
      <c r="B531" s="3"/>
    </row>
    <row r="532" spans="2:2" ht="14.25" customHeight="1" x14ac:dyDescent="0.2">
      <c r="B532" s="3"/>
    </row>
    <row r="533" spans="2:2" ht="14.25" customHeight="1" x14ac:dyDescent="0.2">
      <c r="B533" s="3"/>
    </row>
    <row r="534" spans="2:2" ht="14.25" customHeight="1" x14ac:dyDescent="0.2">
      <c r="B534" s="3"/>
    </row>
    <row r="535" spans="2:2" ht="14.25" customHeight="1" x14ac:dyDescent="0.2">
      <c r="B535" s="3"/>
    </row>
    <row r="536" spans="2:2" ht="14.25" customHeight="1" x14ac:dyDescent="0.2">
      <c r="B536" s="3"/>
    </row>
    <row r="537" spans="2:2" ht="14.25" customHeight="1" x14ac:dyDescent="0.2">
      <c r="B537" s="3"/>
    </row>
    <row r="538" spans="2:2" ht="14.25" customHeight="1" x14ac:dyDescent="0.2">
      <c r="B538" s="3"/>
    </row>
    <row r="539" spans="2:2" ht="14.25" customHeight="1" x14ac:dyDescent="0.2">
      <c r="B539" s="3"/>
    </row>
    <row r="540" spans="2:2" ht="14.25" customHeight="1" x14ac:dyDescent="0.2">
      <c r="B540" s="3"/>
    </row>
    <row r="541" spans="2:2" ht="14.25" customHeight="1" x14ac:dyDescent="0.2">
      <c r="B541" s="3"/>
    </row>
    <row r="542" spans="2:2" ht="14.25" customHeight="1" x14ac:dyDescent="0.2">
      <c r="B542" s="3"/>
    </row>
    <row r="543" spans="2:2" ht="14.25" customHeight="1" x14ac:dyDescent="0.2">
      <c r="B543" s="3"/>
    </row>
    <row r="544" spans="2:2" ht="14.25" customHeight="1" x14ac:dyDescent="0.2">
      <c r="B544" s="3"/>
    </row>
    <row r="545" spans="2:2" ht="14.25" customHeight="1" x14ac:dyDescent="0.2">
      <c r="B545" s="3"/>
    </row>
    <row r="546" spans="2:2" ht="14.25" customHeight="1" x14ac:dyDescent="0.2">
      <c r="B546" s="3"/>
    </row>
    <row r="547" spans="2:2" ht="14.25" customHeight="1" x14ac:dyDescent="0.2">
      <c r="B547" s="3"/>
    </row>
    <row r="548" spans="2:2" ht="14.25" customHeight="1" x14ac:dyDescent="0.2">
      <c r="B548" s="3"/>
    </row>
    <row r="549" spans="2:2" ht="14.25" customHeight="1" x14ac:dyDescent="0.2">
      <c r="B549" s="3"/>
    </row>
    <row r="550" spans="2:2" ht="14.25" customHeight="1" x14ac:dyDescent="0.2">
      <c r="B550" s="3"/>
    </row>
    <row r="551" spans="2:2" ht="14.25" customHeight="1" x14ac:dyDescent="0.2">
      <c r="B551" s="3"/>
    </row>
    <row r="552" spans="2:2" ht="14.25" customHeight="1" x14ac:dyDescent="0.2">
      <c r="B552" s="3"/>
    </row>
    <row r="553" spans="2:2" ht="14.25" customHeight="1" x14ac:dyDescent="0.2">
      <c r="B553" s="3"/>
    </row>
    <row r="554" spans="2:2" ht="14.25" customHeight="1" x14ac:dyDescent="0.2">
      <c r="B554" s="3"/>
    </row>
    <row r="555" spans="2:2" ht="14.25" customHeight="1" x14ac:dyDescent="0.2">
      <c r="B555" s="3"/>
    </row>
    <row r="556" spans="2:2" ht="14.25" customHeight="1" x14ac:dyDescent="0.2">
      <c r="B556" s="3"/>
    </row>
    <row r="557" spans="2:2" ht="14.25" customHeight="1" x14ac:dyDescent="0.2">
      <c r="B557" s="3"/>
    </row>
    <row r="558" spans="2:2" ht="14.25" customHeight="1" x14ac:dyDescent="0.2">
      <c r="B558" s="3"/>
    </row>
    <row r="559" spans="2:2" ht="14.25" customHeight="1" x14ac:dyDescent="0.2">
      <c r="B559" s="3"/>
    </row>
    <row r="560" spans="2:2" ht="14.25" customHeight="1" x14ac:dyDescent="0.2">
      <c r="B560" s="3"/>
    </row>
    <row r="561" spans="2:2" ht="14.25" customHeight="1" x14ac:dyDescent="0.2">
      <c r="B561" s="3"/>
    </row>
    <row r="562" spans="2:2" ht="14.25" customHeight="1" x14ac:dyDescent="0.2">
      <c r="B562" s="3"/>
    </row>
    <row r="563" spans="2:2" ht="14.25" customHeight="1" x14ac:dyDescent="0.2">
      <c r="B563" s="3"/>
    </row>
    <row r="564" spans="2:2" ht="14.25" customHeight="1" x14ac:dyDescent="0.2">
      <c r="B564" s="3"/>
    </row>
    <row r="565" spans="2:2" ht="14.25" customHeight="1" x14ac:dyDescent="0.2">
      <c r="B565" s="3"/>
    </row>
    <row r="566" spans="2:2" ht="14.25" customHeight="1" x14ac:dyDescent="0.2">
      <c r="B566" s="3"/>
    </row>
    <row r="567" spans="2:2" ht="14.25" customHeight="1" x14ac:dyDescent="0.2">
      <c r="B567" s="3"/>
    </row>
    <row r="568" spans="2:2" ht="14.25" customHeight="1" x14ac:dyDescent="0.2">
      <c r="B568" s="3"/>
    </row>
    <row r="569" spans="2:2" ht="14.25" customHeight="1" x14ac:dyDescent="0.2">
      <c r="B569" s="3"/>
    </row>
    <row r="570" spans="2:2" ht="14.25" customHeight="1" x14ac:dyDescent="0.2">
      <c r="B570" s="3"/>
    </row>
    <row r="571" spans="2:2" ht="14.25" customHeight="1" x14ac:dyDescent="0.2">
      <c r="B571" s="3"/>
    </row>
    <row r="572" spans="2:2" ht="14.25" customHeight="1" x14ac:dyDescent="0.2">
      <c r="B572" s="3"/>
    </row>
    <row r="573" spans="2:2" ht="14.25" customHeight="1" x14ac:dyDescent="0.2">
      <c r="B573" s="3"/>
    </row>
    <row r="574" spans="2:2" ht="14.25" customHeight="1" x14ac:dyDescent="0.2">
      <c r="B574" s="3"/>
    </row>
    <row r="575" spans="2:2" ht="14.25" customHeight="1" x14ac:dyDescent="0.2">
      <c r="B575" s="3"/>
    </row>
    <row r="576" spans="2:2" ht="14.25" customHeight="1" x14ac:dyDescent="0.2">
      <c r="B576" s="3"/>
    </row>
    <row r="577" spans="2:2" ht="14.25" customHeight="1" x14ac:dyDescent="0.2">
      <c r="B577" s="3"/>
    </row>
    <row r="578" spans="2:2" ht="14.25" customHeight="1" x14ac:dyDescent="0.2">
      <c r="B578" s="3"/>
    </row>
    <row r="579" spans="2:2" ht="14.25" customHeight="1" x14ac:dyDescent="0.2">
      <c r="B579" s="3"/>
    </row>
    <row r="580" spans="2:2" ht="14.25" customHeight="1" x14ac:dyDescent="0.2">
      <c r="B580" s="3"/>
    </row>
    <row r="581" spans="2:2" ht="14.25" customHeight="1" x14ac:dyDescent="0.2">
      <c r="B581" s="3"/>
    </row>
    <row r="582" spans="2:2" ht="14.25" customHeight="1" x14ac:dyDescent="0.2">
      <c r="B582" s="3"/>
    </row>
    <row r="583" spans="2:2" ht="14.25" customHeight="1" x14ac:dyDescent="0.2">
      <c r="B583" s="3"/>
    </row>
    <row r="584" spans="2:2" ht="14.25" customHeight="1" x14ac:dyDescent="0.2">
      <c r="B584" s="3"/>
    </row>
    <row r="585" spans="2:2" ht="14.25" customHeight="1" x14ac:dyDescent="0.2">
      <c r="B585" s="3"/>
    </row>
    <row r="586" spans="2:2" ht="14.25" customHeight="1" x14ac:dyDescent="0.2">
      <c r="B586" s="3"/>
    </row>
    <row r="587" spans="2:2" ht="14.25" customHeight="1" x14ac:dyDescent="0.2">
      <c r="B587" s="3"/>
    </row>
    <row r="588" spans="2:2" ht="14.25" customHeight="1" x14ac:dyDescent="0.2">
      <c r="B588" s="3"/>
    </row>
    <row r="589" spans="2:2" ht="14.25" customHeight="1" x14ac:dyDescent="0.2">
      <c r="B589" s="3"/>
    </row>
    <row r="590" spans="2:2" ht="14.25" customHeight="1" x14ac:dyDescent="0.2">
      <c r="B590" s="3"/>
    </row>
    <row r="591" spans="2:2" ht="14.25" customHeight="1" x14ac:dyDescent="0.2">
      <c r="B591" s="3"/>
    </row>
    <row r="592" spans="2:2" ht="14.25" customHeight="1" x14ac:dyDescent="0.2">
      <c r="B592" s="3"/>
    </row>
    <row r="593" spans="2:2" ht="14.25" customHeight="1" x14ac:dyDescent="0.2">
      <c r="B593" s="3"/>
    </row>
    <row r="594" spans="2:2" ht="14.25" customHeight="1" x14ac:dyDescent="0.2">
      <c r="B594" s="3"/>
    </row>
    <row r="595" spans="2:2" ht="14.25" customHeight="1" x14ac:dyDescent="0.2">
      <c r="B595" s="3"/>
    </row>
    <row r="596" spans="2:2" ht="14.25" customHeight="1" x14ac:dyDescent="0.2">
      <c r="B596" s="3"/>
    </row>
    <row r="597" spans="2:2" ht="14.25" customHeight="1" x14ac:dyDescent="0.2">
      <c r="B597" s="3"/>
    </row>
    <row r="598" spans="2:2" ht="14.25" customHeight="1" x14ac:dyDescent="0.2">
      <c r="B598" s="3"/>
    </row>
    <row r="599" spans="2:2" ht="14.25" customHeight="1" x14ac:dyDescent="0.2">
      <c r="B599" s="3"/>
    </row>
    <row r="600" spans="2:2" ht="14.25" customHeight="1" x14ac:dyDescent="0.2">
      <c r="B600" s="3"/>
    </row>
    <row r="601" spans="2:2" ht="14.25" customHeight="1" x14ac:dyDescent="0.2">
      <c r="B601" s="3"/>
    </row>
    <row r="602" spans="2:2" ht="14.25" customHeight="1" x14ac:dyDescent="0.2">
      <c r="B602" s="3"/>
    </row>
    <row r="603" spans="2:2" ht="14.25" customHeight="1" x14ac:dyDescent="0.2">
      <c r="B603" s="3"/>
    </row>
    <row r="604" spans="2:2" ht="14.25" customHeight="1" x14ac:dyDescent="0.2">
      <c r="B604" s="3"/>
    </row>
    <row r="605" spans="2:2" ht="14.25" customHeight="1" x14ac:dyDescent="0.2">
      <c r="B605" s="3"/>
    </row>
    <row r="606" spans="2:2" ht="14.25" customHeight="1" x14ac:dyDescent="0.2">
      <c r="B606" s="3"/>
    </row>
    <row r="607" spans="2:2" ht="14.25" customHeight="1" x14ac:dyDescent="0.2">
      <c r="B607" s="3"/>
    </row>
    <row r="608" spans="2:2" ht="14.25" customHeight="1" x14ac:dyDescent="0.2">
      <c r="B608" s="3"/>
    </row>
    <row r="609" spans="2:2" ht="14.25" customHeight="1" x14ac:dyDescent="0.2">
      <c r="B609" s="3"/>
    </row>
    <row r="610" spans="2:2" ht="14.25" customHeight="1" x14ac:dyDescent="0.2">
      <c r="B610" s="3"/>
    </row>
    <row r="611" spans="2:2" ht="14.25" customHeight="1" x14ac:dyDescent="0.2">
      <c r="B611" s="3"/>
    </row>
    <row r="612" spans="2:2" ht="14.25" customHeight="1" x14ac:dyDescent="0.2">
      <c r="B612" s="3"/>
    </row>
    <row r="613" spans="2:2" ht="14.25" customHeight="1" x14ac:dyDescent="0.2">
      <c r="B613" s="3"/>
    </row>
    <row r="614" spans="2:2" ht="14.25" customHeight="1" x14ac:dyDescent="0.2">
      <c r="B614" s="3"/>
    </row>
    <row r="615" spans="2:2" ht="14.25" customHeight="1" x14ac:dyDescent="0.2">
      <c r="B615" s="3"/>
    </row>
    <row r="616" spans="2:2" ht="14.25" customHeight="1" x14ac:dyDescent="0.2">
      <c r="B616" s="3"/>
    </row>
    <row r="617" spans="2:2" ht="14.25" customHeight="1" x14ac:dyDescent="0.2">
      <c r="B617" s="3"/>
    </row>
    <row r="618" spans="2:2" ht="14.25" customHeight="1" x14ac:dyDescent="0.2">
      <c r="B618" s="3"/>
    </row>
    <row r="619" spans="2:2" ht="14.25" customHeight="1" x14ac:dyDescent="0.2">
      <c r="B619" s="3"/>
    </row>
    <row r="620" spans="2:2" ht="14.25" customHeight="1" x14ac:dyDescent="0.2">
      <c r="B620" s="3"/>
    </row>
    <row r="621" spans="2:2" ht="14.25" customHeight="1" x14ac:dyDescent="0.2">
      <c r="B621" s="3"/>
    </row>
    <row r="622" spans="2:2" ht="14.25" customHeight="1" x14ac:dyDescent="0.2">
      <c r="B622" s="3"/>
    </row>
    <row r="623" spans="2:2" ht="14.25" customHeight="1" x14ac:dyDescent="0.2">
      <c r="B623" s="3"/>
    </row>
    <row r="624" spans="2:2" ht="14.25" customHeight="1" x14ac:dyDescent="0.2">
      <c r="B624" s="3"/>
    </row>
    <row r="625" spans="2:2" ht="14.25" customHeight="1" x14ac:dyDescent="0.2">
      <c r="B625" s="3"/>
    </row>
    <row r="626" spans="2:2" ht="14.25" customHeight="1" x14ac:dyDescent="0.2">
      <c r="B626" s="3"/>
    </row>
    <row r="627" spans="2:2" ht="14.25" customHeight="1" x14ac:dyDescent="0.2">
      <c r="B627" s="3"/>
    </row>
    <row r="628" spans="2:2" ht="14.25" customHeight="1" x14ac:dyDescent="0.2">
      <c r="B628" s="3"/>
    </row>
    <row r="629" spans="2:2" ht="14.25" customHeight="1" x14ac:dyDescent="0.2">
      <c r="B629" s="3"/>
    </row>
    <row r="630" spans="2:2" ht="14.25" customHeight="1" x14ac:dyDescent="0.2">
      <c r="B630" s="3"/>
    </row>
    <row r="631" spans="2:2" ht="14.25" customHeight="1" x14ac:dyDescent="0.2">
      <c r="B631" s="3"/>
    </row>
    <row r="632" spans="2:2" ht="14.25" customHeight="1" x14ac:dyDescent="0.2">
      <c r="B632" s="3"/>
    </row>
    <row r="633" spans="2:2" ht="14.25" customHeight="1" x14ac:dyDescent="0.2">
      <c r="B633" s="3"/>
    </row>
    <row r="634" spans="2:2" ht="14.25" customHeight="1" x14ac:dyDescent="0.2">
      <c r="B634" s="3"/>
    </row>
    <row r="635" spans="2:2" ht="14.25" customHeight="1" x14ac:dyDescent="0.2">
      <c r="B635" s="3"/>
    </row>
    <row r="636" spans="2:2" ht="14.25" customHeight="1" x14ac:dyDescent="0.2">
      <c r="B636" s="3"/>
    </row>
    <row r="637" spans="2:2" ht="14.25" customHeight="1" x14ac:dyDescent="0.2">
      <c r="B637" s="3"/>
    </row>
    <row r="638" spans="2:2" ht="14.25" customHeight="1" x14ac:dyDescent="0.2">
      <c r="B638" s="3"/>
    </row>
    <row r="639" spans="2:2" ht="14.25" customHeight="1" x14ac:dyDescent="0.2">
      <c r="B639" s="3"/>
    </row>
    <row r="640" spans="2:2" ht="14.25" customHeight="1" x14ac:dyDescent="0.2">
      <c r="B640" s="3"/>
    </row>
    <row r="641" spans="2:2" ht="14.25" customHeight="1" x14ac:dyDescent="0.2">
      <c r="B641" s="3"/>
    </row>
    <row r="642" spans="2:2" ht="14.25" customHeight="1" x14ac:dyDescent="0.2">
      <c r="B642" s="3"/>
    </row>
    <row r="643" spans="2:2" ht="14.25" customHeight="1" x14ac:dyDescent="0.2">
      <c r="B643" s="3"/>
    </row>
    <row r="644" spans="2:2" ht="14.25" customHeight="1" x14ac:dyDescent="0.2">
      <c r="B644" s="3"/>
    </row>
    <row r="645" spans="2:2" ht="14.25" customHeight="1" x14ac:dyDescent="0.2">
      <c r="B645" s="3"/>
    </row>
    <row r="646" spans="2:2" ht="14.25" customHeight="1" x14ac:dyDescent="0.2">
      <c r="B646" s="3"/>
    </row>
    <row r="647" spans="2:2" ht="14.25" customHeight="1" x14ac:dyDescent="0.2">
      <c r="B647" s="3"/>
    </row>
    <row r="648" spans="2:2" ht="14.25" customHeight="1" x14ac:dyDescent="0.2">
      <c r="B648" s="3"/>
    </row>
    <row r="649" spans="2:2" ht="14.25" customHeight="1" x14ac:dyDescent="0.2">
      <c r="B649" s="3"/>
    </row>
    <row r="650" spans="2:2" ht="14.25" customHeight="1" x14ac:dyDescent="0.2">
      <c r="B650" s="3"/>
    </row>
    <row r="651" spans="2:2" ht="14.25" customHeight="1" x14ac:dyDescent="0.2">
      <c r="B651" s="3"/>
    </row>
    <row r="652" spans="2:2" ht="14.25" customHeight="1" x14ac:dyDescent="0.2">
      <c r="B652" s="3"/>
    </row>
    <row r="653" spans="2:2" ht="14.25" customHeight="1" x14ac:dyDescent="0.2">
      <c r="B653" s="3"/>
    </row>
    <row r="654" spans="2:2" ht="14.25" customHeight="1" x14ac:dyDescent="0.2">
      <c r="B654" s="3"/>
    </row>
    <row r="655" spans="2:2" ht="14.25" customHeight="1" x14ac:dyDescent="0.2">
      <c r="B655" s="3"/>
    </row>
    <row r="656" spans="2:2" ht="14.25" customHeight="1" x14ac:dyDescent="0.2">
      <c r="B656" s="3"/>
    </row>
    <row r="657" spans="2:2" ht="14.25" customHeight="1" x14ac:dyDescent="0.2">
      <c r="B657" s="3"/>
    </row>
    <row r="658" spans="2:2" ht="14.25" customHeight="1" x14ac:dyDescent="0.2">
      <c r="B658" s="3"/>
    </row>
    <row r="659" spans="2:2" ht="14.25" customHeight="1" x14ac:dyDescent="0.2">
      <c r="B659" s="3"/>
    </row>
    <row r="660" spans="2:2" ht="14.25" customHeight="1" x14ac:dyDescent="0.2">
      <c r="B660" s="3"/>
    </row>
    <row r="661" spans="2:2" ht="14.25" customHeight="1" x14ac:dyDescent="0.2">
      <c r="B661" s="3"/>
    </row>
    <row r="662" spans="2:2" ht="14.25" customHeight="1" x14ac:dyDescent="0.2">
      <c r="B662" s="3"/>
    </row>
    <row r="663" spans="2:2" ht="14.25" customHeight="1" x14ac:dyDescent="0.2">
      <c r="B663" s="3"/>
    </row>
    <row r="664" spans="2:2" ht="14.25" customHeight="1" x14ac:dyDescent="0.2">
      <c r="B664" s="3"/>
    </row>
    <row r="665" spans="2:2" ht="14.25" customHeight="1" x14ac:dyDescent="0.2">
      <c r="B665" s="3"/>
    </row>
    <row r="666" spans="2:2" ht="14.25" customHeight="1" x14ac:dyDescent="0.2">
      <c r="B666" s="3"/>
    </row>
    <row r="667" spans="2:2" ht="14.25" customHeight="1" x14ac:dyDescent="0.2">
      <c r="B667" s="3"/>
    </row>
    <row r="668" spans="2:2" ht="14.25" customHeight="1" x14ac:dyDescent="0.2">
      <c r="B668" s="3"/>
    </row>
    <row r="669" spans="2:2" ht="14.25" customHeight="1" x14ac:dyDescent="0.2">
      <c r="B669" s="3"/>
    </row>
    <row r="670" spans="2:2" ht="14.25" customHeight="1" x14ac:dyDescent="0.2">
      <c r="B670" s="3"/>
    </row>
    <row r="671" spans="2:2" ht="14.25" customHeight="1" x14ac:dyDescent="0.2">
      <c r="B671" s="3"/>
    </row>
    <row r="672" spans="2:2" ht="14.25" customHeight="1" x14ac:dyDescent="0.2">
      <c r="B672" s="3"/>
    </row>
    <row r="673" spans="2:2" ht="14.25" customHeight="1" x14ac:dyDescent="0.2">
      <c r="B673" s="3"/>
    </row>
    <row r="674" spans="2:2" ht="14.25" customHeight="1" x14ac:dyDescent="0.2">
      <c r="B674" s="3"/>
    </row>
    <row r="675" spans="2:2" ht="14.25" customHeight="1" x14ac:dyDescent="0.2">
      <c r="B675" s="3"/>
    </row>
    <row r="676" spans="2:2" ht="14.25" customHeight="1" x14ac:dyDescent="0.2">
      <c r="B676" s="3"/>
    </row>
    <row r="677" spans="2:2" ht="14.25" customHeight="1" x14ac:dyDescent="0.2">
      <c r="B677" s="3"/>
    </row>
    <row r="678" spans="2:2" ht="14.25" customHeight="1" x14ac:dyDescent="0.2">
      <c r="B678" s="3"/>
    </row>
    <row r="679" spans="2:2" ht="14.25" customHeight="1" x14ac:dyDescent="0.2">
      <c r="B679" s="3"/>
    </row>
    <row r="680" spans="2:2" ht="14.25" customHeight="1" x14ac:dyDescent="0.2">
      <c r="B680" s="3"/>
    </row>
    <row r="681" spans="2:2" ht="14.25" customHeight="1" x14ac:dyDescent="0.2">
      <c r="B681" s="3"/>
    </row>
    <row r="682" spans="2:2" ht="14.25" customHeight="1" x14ac:dyDescent="0.2">
      <c r="B682" s="3"/>
    </row>
    <row r="683" spans="2:2" ht="14.25" customHeight="1" x14ac:dyDescent="0.2">
      <c r="B683" s="3"/>
    </row>
    <row r="684" spans="2:2" ht="14.25" customHeight="1" x14ac:dyDescent="0.2">
      <c r="B684" s="3"/>
    </row>
    <row r="685" spans="2:2" ht="14.25" customHeight="1" x14ac:dyDescent="0.2">
      <c r="B685" s="3"/>
    </row>
    <row r="686" spans="2:2" ht="14.25" customHeight="1" x14ac:dyDescent="0.2">
      <c r="B686" s="3"/>
    </row>
    <row r="687" spans="2:2" ht="14.25" customHeight="1" x14ac:dyDescent="0.2">
      <c r="B687" s="3"/>
    </row>
    <row r="688" spans="2:2" ht="14.25" customHeight="1" x14ac:dyDescent="0.2">
      <c r="B688" s="3"/>
    </row>
    <row r="689" spans="2:2" ht="14.25" customHeight="1" x14ac:dyDescent="0.2">
      <c r="B689" s="3"/>
    </row>
    <row r="690" spans="2:2" ht="14.25" customHeight="1" x14ac:dyDescent="0.2">
      <c r="B690" s="3"/>
    </row>
    <row r="691" spans="2:2" ht="14.25" customHeight="1" x14ac:dyDescent="0.2">
      <c r="B691" s="3"/>
    </row>
    <row r="692" spans="2:2" ht="14.25" customHeight="1" x14ac:dyDescent="0.2">
      <c r="B692" s="3"/>
    </row>
    <row r="693" spans="2:2" ht="14.25" customHeight="1" x14ac:dyDescent="0.2">
      <c r="B693" s="3"/>
    </row>
    <row r="694" spans="2:2" ht="14.25" customHeight="1" x14ac:dyDescent="0.2">
      <c r="B694" s="3"/>
    </row>
    <row r="695" spans="2:2" ht="14.25" customHeight="1" x14ac:dyDescent="0.2">
      <c r="B695" s="3"/>
    </row>
    <row r="696" spans="2:2" ht="14.25" customHeight="1" x14ac:dyDescent="0.2">
      <c r="B696" s="3"/>
    </row>
    <row r="697" spans="2:2" ht="14.25" customHeight="1" x14ac:dyDescent="0.2">
      <c r="B697" s="3"/>
    </row>
    <row r="698" spans="2:2" ht="14.25" customHeight="1" x14ac:dyDescent="0.2">
      <c r="B698" s="3"/>
    </row>
    <row r="699" spans="2:2" ht="14.25" customHeight="1" x14ac:dyDescent="0.2">
      <c r="B699" s="3"/>
    </row>
    <row r="700" spans="2:2" ht="14.25" customHeight="1" x14ac:dyDescent="0.2">
      <c r="B700" s="3"/>
    </row>
    <row r="701" spans="2:2" ht="14.25" customHeight="1" x14ac:dyDescent="0.2">
      <c r="B701" s="3"/>
    </row>
    <row r="702" spans="2:2" ht="14.25" customHeight="1" x14ac:dyDescent="0.2">
      <c r="B702" s="3"/>
    </row>
    <row r="703" spans="2:2" ht="14.25" customHeight="1" x14ac:dyDescent="0.2">
      <c r="B703" s="3"/>
    </row>
    <row r="704" spans="2:2" ht="14.25" customHeight="1" x14ac:dyDescent="0.2">
      <c r="B704" s="3"/>
    </row>
    <row r="705" spans="2:2" ht="14.25" customHeight="1" x14ac:dyDescent="0.2">
      <c r="B705" s="3"/>
    </row>
    <row r="706" spans="2:2" ht="14.25" customHeight="1" x14ac:dyDescent="0.2">
      <c r="B706" s="3"/>
    </row>
    <row r="707" spans="2:2" ht="14.25" customHeight="1" x14ac:dyDescent="0.2">
      <c r="B707" s="3"/>
    </row>
    <row r="708" spans="2:2" ht="14.25" customHeight="1" x14ac:dyDescent="0.2">
      <c r="B708" s="3"/>
    </row>
    <row r="709" spans="2:2" ht="14.25" customHeight="1" x14ac:dyDescent="0.2">
      <c r="B709" s="3"/>
    </row>
    <row r="710" spans="2:2" ht="14.25" customHeight="1" x14ac:dyDescent="0.2">
      <c r="B710" s="3"/>
    </row>
    <row r="711" spans="2:2" ht="14.25" customHeight="1" x14ac:dyDescent="0.2">
      <c r="B711" s="3"/>
    </row>
    <row r="712" spans="2:2" ht="14.25" customHeight="1" x14ac:dyDescent="0.2">
      <c r="B712" s="3"/>
    </row>
    <row r="713" spans="2:2" ht="14.25" customHeight="1" x14ac:dyDescent="0.2">
      <c r="B713" s="3"/>
    </row>
    <row r="714" spans="2:2" ht="14.25" customHeight="1" x14ac:dyDescent="0.2">
      <c r="B714" s="3"/>
    </row>
    <row r="715" spans="2:2" ht="14.25" customHeight="1" x14ac:dyDescent="0.2">
      <c r="B715" s="3"/>
    </row>
    <row r="716" spans="2:2" ht="14.25" customHeight="1" x14ac:dyDescent="0.2">
      <c r="B716" s="3"/>
    </row>
    <row r="717" spans="2:2" ht="14.25" customHeight="1" x14ac:dyDescent="0.2">
      <c r="B717" s="3"/>
    </row>
    <row r="718" spans="2:2" ht="14.25" customHeight="1" x14ac:dyDescent="0.2">
      <c r="B718" s="3"/>
    </row>
    <row r="719" spans="2:2" ht="14.25" customHeight="1" x14ac:dyDescent="0.2">
      <c r="B719" s="3"/>
    </row>
    <row r="720" spans="2:2" ht="14.25" customHeight="1" x14ac:dyDescent="0.2">
      <c r="B720" s="3"/>
    </row>
    <row r="721" spans="2:2" ht="14.25" customHeight="1" x14ac:dyDescent="0.2">
      <c r="B721" s="3"/>
    </row>
    <row r="722" spans="2:2" ht="14.25" customHeight="1" x14ac:dyDescent="0.2">
      <c r="B722" s="3"/>
    </row>
    <row r="723" spans="2:2" ht="14.25" customHeight="1" x14ac:dyDescent="0.2">
      <c r="B723" s="3"/>
    </row>
    <row r="724" spans="2:2" ht="14.25" customHeight="1" x14ac:dyDescent="0.2">
      <c r="B724" s="3"/>
    </row>
    <row r="725" spans="2:2" ht="14.25" customHeight="1" x14ac:dyDescent="0.2">
      <c r="B725" s="3"/>
    </row>
    <row r="726" spans="2:2" ht="14.25" customHeight="1" x14ac:dyDescent="0.2">
      <c r="B726" s="3"/>
    </row>
    <row r="727" spans="2:2" ht="14.25" customHeight="1" x14ac:dyDescent="0.2">
      <c r="B727" s="3"/>
    </row>
    <row r="728" spans="2:2" ht="14.25" customHeight="1" x14ac:dyDescent="0.2">
      <c r="B728" s="3"/>
    </row>
    <row r="729" spans="2:2" ht="14.25" customHeight="1" x14ac:dyDescent="0.2">
      <c r="B729" s="3"/>
    </row>
    <row r="730" spans="2:2" ht="14.25" customHeight="1" x14ac:dyDescent="0.2">
      <c r="B730" s="3"/>
    </row>
    <row r="731" spans="2:2" ht="14.25" customHeight="1" x14ac:dyDescent="0.2">
      <c r="B731" s="3"/>
    </row>
    <row r="732" spans="2:2" ht="14.25" customHeight="1" x14ac:dyDescent="0.2">
      <c r="B732" s="3"/>
    </row>
    <row r="733" spans="2:2" ht="14.25" customHeight="1" x14ac:dyDescent="0.2">
      <c r="B733" s="3"/>
    </row>
    <row r="734" spans="2:2" ht="14.25" customHeight="1" x14ac:dyDescent="0.2">
      <c r="B734" s="3"/>
    </row>
    <row r="735" spans="2:2" ht="14.25" customHeight="1" x14ac:dyDescent="0.2">
      <c r="B735" s="3"/>
    </row>
    <row r="736" spans="2:2" ht="14.25" customHeight="1" x14ac:dyDescent="0.2">
      <c r="B736" s="3"/>
    </row>
    <row r="737" spans="2:2" ht="14.25" customHeight="1" x14ac:dyDescent="0.2">
      <c r="B737" s="3"/>
    </row>
    <row r="738" spans="2:2" ht="14.25" customHeight="1" x14ac:dyDescent="0.2">
      <c r="B738" s="3"/>
    </row>
    <row r="739" spans="2:2" ht="14.25" customHeight="1" x14ac:dyDescent="0.2">
      <c r="B739" s="3"/>
    </row>
    <row r="740" spans="2:2" ht="14.25" customHeight="1" x14ac:dyDescent="0.2">
      <c r="B740" s="3"/>
    </row>
    <row r="741" spans="2:2" ht="14.25" customHeight="1" x14ac:dyDescent="0.2">
      <c r="B741" s="3"/>
    </row>
    <row r="742" spans="2:2" ht="14.25" customHeight="1" x14ac:dyDescent="0.2">
      <c r="B742" s="3"/>
    </row>
    <row r="743" spans="2:2" ht="14.25" customHeight="1" x14ac:dyDescent="0.2">
      <c r="B743" s="3"/>
    </row>
    <row r="744" spans="2:2" ht="14.25" customHeight="1" x14ac:dyDescent="0.2">
      <c r="B744" s="3"/>
    </row>
    <row r="745" spans="2:2" ht="14.25" customHeight="1" x14ac:dyDescent="0.2">
      <c r="B745" s="3"/>
    </row>
    <row r="746" spans="2:2" ht="14.25" customHeight="1" x14ac:dyDescent="0.2">
      <c r="B746" s="3"/>
    </row>
    <row r="747" spans="2:2" ht="14.25" customHeight="1" x14ac:dyDescent="0.2">
      <c r="B747" s="3"/>
    </row>
    <row r="748" spans="2:2" ht="14.25" customHeight="1" x14ac:dyDescent="0.2">
      <c r="B748" s="3"/>
    </row>
    <row r="749" spans="2:2" ht="14.25" customHeight="1" x14ac:dyDescent="0.2">
      <c r="B749" s="3"/>
    </row>
    <row r="750" spans="2:2" ht="14.25" customHeight="1" x14ac:dyDescent="0.2">
      <c r="B750" s="3"/>
    </row>
    <row r="751" spans="2:2" ht="14.25" customHeight="1" x14ac:dyDescent="0.2">
      <c r="B751" s="3"/>
    </row>
    <row r="752" spans="2:2" ht="14.25" customHeight="1" x14ac:dyDescent="0.2">
      <c r="B752" s="3"/>
    </row>
    <row r="753" spans="2:2" ht="14.25" customHeight="1" x14ac:dyDescent="0.2">
      <c r="B753" s="3"/>
    </row>
    <row r="754" spans="2:2" ht="14.25" customHeight="1" x14ac:dyDescent="0.2">
      <c r="B754" s="3"/>
    </row>
    <row r="755" spans="2:2" ht="14.25" customHeight="1" x14ac:dyDescent="0.2">
      <c r="B755" s="3"/>
    </row>
    <row r="756" spans="2:2" ht="14.25" customHeight="1" x14ac:dyDescent="0.2">
      <c r="B756" s="3"/>
    </row>
    <row r="757" spans="2:2" ht="14.25" customHeight="1" x14ac:dyDescent="0.2">
      <c r="B757" s="3"/>
    </row>
    <row r="758" spans="2:2" ht="14.25" customHeight="1" x14ac:dyDescent="0.2">
      <c r="B758" s="3"/>
    </row>
    <row r="759" spans="2:2" ht="14.25" customHeight="1" x14ac:dyDescent="0.2">
      <c r="B759" s="3"/>
    </row>
    <row r="760" spans="2:2" ht="14.25" customHeight="1" x14ac:dyDescent="0.2">
      <c r="B760" s="3"/>
    </row>
    <row r="761" spans="2:2" ht="14.25" customHeight="1" x14ac:dyDescent="0.2">
      <c r="B761" s="3"/>
    </row>
    <row r="762" spans="2:2" ht="14.25" customHeight="1" x14ac:dyDescent="0.2">
      <c r="B762" s="3"/>
    </row>
    <row r="763" spans="2:2" ht="14.25" customHeight="1" x14ac:dyDescent="0.2">
      <c r="B763" s="3"/>
    </row>
    <row r="764" spans="2:2" ht="14.25" customHeight="1" x14ac:dyDescent="0.2">
      <c r="B764" s="3"/>
    </row>
    <row r="765" spans="2:2" ht="14.25" customHeight="1" x14ac:dyDescent="0.2">
      <c r="B765" s="3"/>
    </row>
    <row r="766" spans="2:2" ht="14.25" customHeight="1" x14ac:dyDescent="0.2">
      <c r="B766" s="3"/>
    </row>
    <row r="767" spans="2:2" ht="14.25" customHeight="1" x14ac:dyDescent="0.2">
      <c r="B767" s="3"/>
    </row>
    <row r="768" spans="2:2" ht="14.25" customHeight="1" x14ac:dyDescent="0.2">
      <c r="B768" s="3"/>
    </row>
    <row r="769" spans="2:2" ht="14.25" customHeight="1" x14ac:dyDescent="0.2">
      <c r="B769" s="3"/>
    </row>
    <row r="770" spans="2:2" ht="14.25" customHeight="1" x14ac:dyDescent="0.2">
      <c r="B770" s="3"/>
    </row>
    <row r="771" spans="2:2" ht="14.25" customHeight="1" x14ac:dyDescent="0.2">
      <c r="B771" s="3"/>
    </row>
    <row r="772" spans="2:2" ht="14.25" customHeight="1" x14ac:dyDescent="0.2">
      <c r="B772" s="3"/>
    </row>
    <row r="773" spans="2:2" ht="14.25" customHeight="1" x14ac:dyDescent="0.2">
      <c r="B773" s="3"/>
    </row>
    <row r="774" spans="2:2" ht="14.25" customHeight="1" x14ac:dyDescent="0.2">
      <c r="B774" s="3"/>
    </row>
    <row r="775" spans="2:2" ht="14.25" customHeight="1" x14ac:dyDescent="0.2">
      <c r="B775" s="3"/>
    </row>
    <row r="776" spans="2:2" ht="14.25" customHeight="1" x14ac:dyDescent="0.2">
      <c r="B776" s="3"/>
    </row>
    <row r="777" spans="2:2" ht="14.25" customHeight="1" x14ac:dyDescent="0.2">
      <c r="B777" s="3"/>
    </row>
    <row r="778" spans="2:2" ht="14.25" customHeight="1" x14ac:dyDescent="0.2">
      <c r="B778" s="3"/>
    </row>
    <row r="779" spans="2:2" ht="14.25" customHeight="1" x14ac:dyDescent="0.2">
      <c r="B779" s="3"/>
    </row>
    <row r="780" spans="2:2" ht="14.25" customHeight="1" x14ac:dyDescent="0.2">
      <c r="B780" s="3"/>
    </row>
    <row r="781" spans="2:2" ht="14.25" customHeight="1" x14ac:dyDescent="0.2">
      <c r="B781" s="3"/>
    </row>
    <row r="782" spans="2:2" ht="14.25" customHeight="1" x14ac:dyDescent="0.2">
      <c r="B782" s="3"/>
    </row>
    <row r="783" spans="2:2" ht="14.25" customHeight="1" x14ac:dyDescent="0.2">
      <c r="B783" s="3"/>
    </row>
    <row r="784" spans="2:2" ht="14.25" customHeight="1" x14ac:dyDescent="0.2">
      <c r="B784" s="3"/>
    </row>
    <row r="785" spans="2:2" ht="14.25" customHeight="1" x14ac:dyDescent="0.2">
      <c r="B785" s="3"/>
    </row>
    <row r="786" spans="2:2" ht="14.25" customHeight="1" x14ac:dyDescent="0.2">
      <c r="B786" s="3"/>
    </row>
    <row r="787" spans="2:2" ht="14.25" customHeight="1" x14ac:dyDescent="0.2">
      <c r="B787" s="3"/>
    </row>
    <row r="788" spans="2:2" ht="14.25" customHeight="1" x14ac:dyDescent="0.2">
      <c r="B788" s="3"/>
    </row>
    <row r="789" spans="2:2" ht="14.25" customHeight="1" x14ac:dyDescent="0.2">
      <c r="B789" s="3"/>
    </row>
    <row r="790" spans="2:2" ht="14.25" customHeight="1" x14ac:dyDescent="0.2">
      <c r="B790" s="3"/>
    </row>
    <row r="791" spans="2:2" ht="14.25" customHeight="1" x14ac:dyDescent="0.2">
      <c r="B791" s="3"/>
    </row>
    <row r="792" spans="2:2" ht="14.25" customHeight="1" x14ac:dyDescent="0.2">
      <c r="B792" s="3"/>
    </row>
    <row r="793" spans="2:2" ht="14.25" customHeight="1" x14ac:dyDescent="0.2">
      <c r="B793" s="3"/>
    </row>
    <row r="794" spans="2:2" ht="14.25" customHeight="1" x14ac:dyDescent="0.2">
      <c r="B794" s="3"/>
    </row>
    <row r="795" spans="2:2" ht="14.25" customHeight="1" x14ac:dyDescent="0.2">
      <c r="B795" s="3"/>
    </row>
    <row r="796" spans="2:2" ht="14.25" customHeight="1" x14ac:dyDescent="0.2">
      <c r="B796" s="3"/>
    </row>
    <row r="797" spans="2:2" ht="14.25" customHeight="1" x14ac:dyDescent="0.2">
      <c r="B797" s="3"/>
    </row>
    <row r="798" spans="2:2" ht="14.25" customHeight="1" x14ac:dyDescent="0.2">
      <c r="B798" s="3"/>
    </row>
    <row r="799" spans="2:2" ht="14.25" customHeight="1" x14ac:dyDescent="0.2">
      <c r="B799" s="3"/>
    </row>
    <row r="800" spans="2:2" ht="14.25" customHeight="1" x14ac:dyDescent="0.2">
      <c r="B800" s="3"/>
    </row>
    <row r="801" spans="2:2" ht="14.25" customHeight="1" x14ac:dyDescent="0.2">
      <c r="B801" s="3"/>
    </row>
    <row r="802" spans="2:2" ht="14.25" customHeight="1" x14ac:dyDescent="0.2">
      <c r="B802" s="3"/>
    </row>
    <row r="803" spans="2:2" ht="14.25" customHeight="1" x14ac:dyDescent="0.2">
      <c r="B803" s="3"/>
    </row>
    <row r="804" spans="2:2" ht="14.25" customHeight="1" x14ac:dyDescent="0.2">
      <c r="B804" s="3"/>
    </row>
    <row r="805" spans="2:2" ht="14.25" customHeight="1" x14ac:dyDescent="0.2">
      <c r="B805" s="3"/>
    </row>
    <row r="806" spans="2:2" ht="14.25" customHeight="1" x14ac:dyDescent="0.2">
      <c r="B806" s="3"/>
    </row>
    <row r="807" spans="2:2" ht="14.25" customHeight="1" x14ac:dyDescent="0.2">
      <c r="B807" s="3"/>
    </row>
    <row r="808" spans="2:2" ht="14.25" customHeight="1" x14ac:dyDescent="0.2">
      <c r="B808" s="3"/>
    </row>
    <row r="809" spans="2:2" ht="14.25" customHeight="1" x14ac:dyDescent="0.2">
      <c r="B809" s="3"/>
    </row>
    <row r="810" spans="2:2" ht="14.25" customHeight="1" x14ac:dyDescent="0.2">
      <c r="B810" s="3"/>
    </row>
    <row r="811" spans="2:2" ht="14.25" customHeight="1" x14ac:dyDescent="0.2">
      <c r="B811" s="3"/>
    </row>
    <row r="812" spans="2:2" ht="14.25" customHeight="1" x14ac:dyDescent="0.2">
      <c r="B812" s="3"/>
    </row>
    <row r="813" spans="2:2" ht="14.25" customHeight="1" x14ac:dyDescent="0.2">
      <c r="B813" s="3"/>
    </row>
    <row r="814" spans="2:2" ht="14.25" customHeight="1" x14ac:dyDescent="0.2">
      <c r="B814" s="3"/>
    </row>
    <row r="815" spans="2:2" ht="14.25" customHeight="1" x14ac:dyDescent="0.2">
      <c r="B815" s="3"/>
    </row>
    <row r="816" spans="2:2" ht="14.25" customHeight="1" x14ac:dyDescent="0.2">
      <c r="B816" s="3"/>
    </row>
    <row r="817" spans="2:2" ht="14.25" customHeight="1" x14ac:dyDescent="0.2">
      <c r="B817" s="3"/>
    </row>
    <row r="818" spans="2:2" ht="14.25" customHeight="1" x14ac:dyDescent="0.2">
      <c r="B818" s="3"/>
    </row>
    <row r="819" spans="2:2" ht="14.25" customHeight="1" x14ac:dyDescent="0.2">
      <c r="B819" s="3"/>
    </row>
    <row r="820" spans="2:2" ht="14.25" customHeight="1" x14ac:dyDescent="0.2">
      <c r="B820" s="3"/>
    </row>
    <row r="821" spans="2:2" ht="14.25" customHeight="1" x14ac:dyDescent="0.2">
      <c r="B821" s="3"/>
    </row>
    <row r="822" spans="2:2" ht="14.25" customHeight="1" x14ac:dyDescent="0.2">
      <c r="B822" s="3"/>
    </row>
    <row r="823" spans="2:2" ht="14.25" customHeight="1" x14ac:dyDescent="0.2">
      <c r="B823" s="3"/>
    </row>
    <row r="824" spans="2:2" ht="14.25" customHeight="1" x14ac:dyDescent="0.2">
      <c r="B824" s="3"/>
    </row>
    <row r="825" spans="2:2" ht="14.25" customHeight="1" x14ac:dyDescent="0.2">
      <c r="B825" s="3"/>
    </row>
    <row r="826" spans="2:2" ht="14.25" customHeight="1" x14ac:dyDescent="0.2">
      <c r="B826" s="3"/>
    </row>
    <row r="827" spans="2:2" ht="14.25" customHeight="1" x14ac:dyDescent="0.2">
      <c r="B827" s="3"/>
    </row>
    <row r="828" spans="2:2" ht="14.25" customHeight="1" x14ac:dyDescent="0.2">
      <c r="B828" s="3"/>
    </row>
    <row r="829" spans="2:2" ht="14.25" customHeight="1" x14ac:dyDescent="0.2">
      <c r="B829" s="3"/>
    </row>
    <row r="830" spans="2:2" ht="14.25" customHeight="1" x14ac:dyDescent="0.2">
      <c r="B830" s="3"/>
    </row>
    <row r="831" spans="2:2" ht="14.25" customHeight="1" x14ac:dyDescent="0.2">
      <c r="B831" s="3"/>
    </row>
    <row r="832" spans="2:2" ht="14.25" customHeight="1" x14ac:dyDescent="0.2">
      <c r="B832" s="3"/>
    </row>
    <row r="833" spans="2:2" ht="14.25" customHeight="1" x14ac:dyDescent="0.2">
      <c r="B833" s="3"/>
    </row>
    <row r="834" spans="2:2" ht="14.25" customHeight="1" x14ac:dyDescent="0.2">
      <c r="B834" s="3"/>
    </row>
    <row r="835" spans="2:2" ht="14.25" customHeight="1" x14ac:dyDescent="0.2">
      <c r="B835" s="3"/>
    </row>
    <row r="836" spans="2:2" ht="14.25" customHeight="1" x14ac:dyDescent="0.2">
      <c r="B836" s="3"/>
    </row>
    <row r="837" spans="2:2" ht="14.25" customHeight="1" x14ac:dyDescent="0.2">
      <c r="B837" s="3"/>
    </row>
    <row r="838" spans="2:2" ht="14.25" customHeight="1" x14ac:dyDescent="0.2">
      <c r="B838" s="3"/>
    </row>
    <row r="839" spans="2:2" ht="14.25" customHeight="1" x14ac:dyDescent="0.2">
      <c r="B839" s="3"/>
    </row>
    <row r="840" spans="2:2" ht="14.25" customHeight="1" x14ac:dyDescent="0.2">
      <c r="B840" s="3"/>
    </row>
    <row r="841" spans="2:2" ht="14.25" customHeight="1" x14ac:dyDescent="0.2">
      <c r="B841" s="3"/>
    </row>
    <row r="842" spans="2:2" ht="14.25" customHeight="1" x14ac:dyDescent="0.2">
      <c r="B842" s="3"/>
    </row>
    <row r="843" spans="2:2" ht="14.25" customHeight="1" x14ac:dyDescent="0.2">
      <c r="B843" s="3"/>
    </row>
    <row r="844" spans="2:2" ht="14.25" customHeight="1" x14ac:dyDescent="0.2">
      <c r="B844" s="3"/>
    </row>
    <row r="845" spans="2:2" ht="14.25" customHeight="1" x14ac:dyDescent="0.2">
      <c r="B845" s="3"/>
    </row>
    <row r="846" spans="2:2" ht="14.25" customHeight="1" x14ac:dyDescent="0.2">
      <c r="B846" s="3"/>
    </row>
    <row r="847" spans="2:2" ht="14.25" customHeight="1" x14ac:dyDescent="0.2">
      <c r="B847" s="3"/>
    </row>
    <row r="848" spans="2:2" ht="14.25" customHeight="1" x14ac:dyDescent="0.2">
      <c r="B848" s="3"/>
    </row>
    <row r="849" spans="2:2" ht="14.25" customHeight="1" x14ac:dyDescent="0.2">
      <c r="B849" s="3"/>
    </row>
    <row r="850" spans="2:2" ht="14.25" customHeight="1" x14ac:dyDescent="0.2">
      <c r="B850" s="3"/>
    </row>
    <row r="851" spans="2:2" ht="14.25" customHeight="1" x14ac:dyDescent="0.2">
      <c r="B851" s="3"/>
    </row>
    <row r="852" spans="2:2" ht="14.25" customHeight="1" x14ac:dyDescent="0.2">
      <c r="B852" s="3"/>
    </row>
    <row r="853" spans="2:2" ht="14.25" customHeight="1" x14ac:dyDescent="0.2">
      <c r="B853" s="3"/>
    </row>
    <row r="854" spans="2:2" ht="14.25" customHeight="1" x14ac:dyDescent="0.2">
      <c r="B854" s="3"/>
    </row>
    <row r="855" spans="2:2" ht="14.25" customHeight="1" x14ac:dyDescent="0.2">
      <c r="B855" s="3"/>
    </row>
    <row r="856" spans="2:2" ht="14.25" customHeight="1" x14ac:dyDescent="0.2">
      <c r="B856" s="3"/>
    </row>
    <row r="857" spans="2:2" ht="14.25" customHeight="1" x14ac:dyDescent="0.2">
      <c r="B857" s="3"/>
    </row>
    <row r="858" spans="2:2" ht="14.25" customHeight="1" x14ac:dyDescent="0.2">
      <c r="B858" s="3"/>
    </row>
    <row r="859" spans="2:2" ht="14.25" customHeight="1" x14ac:dyDescent="0.2">
      <c r="B859" s="3"/>
    </row>
    <row r="860" spans="2:2" ht="14.25" customHeight="1" x14ac:dyDescent="0.2">
      <c r="B860" s="3"/>
    </row>
    <row r="861" spans="2:2" ht="14.25" customHeight="1" x14ac:dyDescent="0.2">
      <c r="B861" s="3"/>
    </row>
    <row r="862" spans="2:2" ht="14.25" customHeight="1" x14ac:dyDescent="0.2">
      <c r="B862" s="3"/>
    </row>
    <row r="863" spans="2:2" ht="14.25" customHeight="1" x14ac:dyDescent="0.2">
      <c r="B863" s="3"/>
    </row>
    <row r="864" spans="2:2" ht="14.25" customHeight="1" x14ac:dyDescent="0.2">
      <c r="B864" s="3"/>
    </row>
    <row r="865" spans="2:2" ht="14.25" customHeight="1" x14ac:dyDescent="0.2">
      <c r="B865" s="3"/>
    </row>
    <row r="866" spans="2:2" ht="14.25" customHeight="1" x14ac:dyDescent="0.2">
      <c r="B866" s="3"/>
    </row>
    <row r="867" spans="2:2" ht="14.25" customHeight="1" x14ac:dyDescent="0.2">
      <c r="B867" s="3"/>
    </row>
    <row r="868" spans="2:2" ht="14.25" customHeight="1" x14ac:dyDescent="0.2">
      <c r="B868" s="3"/>
    </row>
    <row r="869" spans="2:2" ht="14.25" customHeight="1" x14ac:dyDescent="0.2">
      <c r="B869" s="3"/>
    </row>
    <row r="870" spans="2:2" ht="14.25" customHeight="1" x14ac:dyDescent="0.2">
      <c r="B870" s="3"/>
    </row>
    <row r="871" spans="2:2" ht="14.25" customHeight="1" x14ac:dyDescent="0.2">
      <c r="B871" s="3"/>
    </row>
    <row r="872" spans="2:2" ht="14.25" customHeight="1" x14ac:dyDescent="0.2">
      <c r="B872" s="3"/>
    </row>
    <row r="873" spans="2:2" ht="14.25" customHeight="1" x14ac:dyDescent="0.2">
      <c r="B873" s="3"/>
    </row>
    <row r="874" spans="2:2" ht="14.25" customHeight="1" x14ac:dyDescent="0.2">
      <c r="B874" s="3"/>
    </row>
    <row r="875" spans="2:2" ht="14.25" customHeight="1" x14ac:dyDescent="0.2">
      <c r="B875" s="3"/>
    </row>
    <row r="876" spans="2:2" ht="14.25" customHeight="1" x14ac:dyDescent="0.2">
      <c r="B876" s="3"/>
    </row>
    <row r="877" spans="2:2" ht="14.25" customHeight="1" x14ac:dyDescent="0.2">
      <c r="B877" s="3"/>
    </row>
    <row r="878" spans="2:2" ht="14.25" customHeight="1" x14ac:dyDescent="0.2">
      <c r="B878" s="3"/>
    </row>
    <row r="879" spans="2:2" ht="14.25" customHeight="1" x14ac:dyDescent="0.2">
      <c r="B879" s="3"/>
    </row>
    <row r="880" spans="2:2" ht="14.25" customHeight="1" x14ac:dyDescent="0.2">
      <c r="B880" s="3"/>
    </row>
    <row r="881" spans="2:2" ht="14.25" customHeight="1" x14ac:dyDescent="0.2">
      <c r="B881" s="3"/>
    </row>
    <row r="882" spans="2:2" ht="14.25" customHeight="1" x14ac:dyDescent="0.2">
      <c r="B882" s="3"/>
    </row>
    <row r="883" spans="2:2" ht="14.25" customHeight="1" x14ac:dyDescent="0.2">
      <c r="B883" s="3"/>
    </row>
    <row r="884" spans="2:2" ht="14.25" customHeight="1" x14ac:dyDescent="0.2">
      <c r="B884" s="3"/>
    </row>
    <row r="885" spans="2:2" ht="14.25" customHeight="1" x14ac:dyDescent="0.2">
      <c r="B885" s="3"/>
    </row>
    <row r="886" spans="2:2" ht="14.25" customHeight="1" x14ac:dyDescent="0.2">
      <c r="B886" s="3"/>
    </row>
    <row r="887" spans="2:2" ht="14.25" customHeight="1" x14ac:dyDescent="0.2">
      <c r="B887" s="3"/>
    </row>
    <row r="888" spans="2:2" ht="14.25" customHeight="1" x14ac:dyDescent="0.2">
      <c r="B888" s="3"/>
    </row>
    <row r="889" spans="2:2" ht="14.25" customHeight="1" x14ac:dyDescent="0.2">
      <c r="B889" s="3"/>
    </row>
    <row r="890" spans="2:2" ht="14.25" customHeight="1" x14ac:dyDescent="0.2">
      <c r="B890" s="3"/>
    </row>
    <row r="891" spans="2:2" ht="14.25" customHeight="1" x14ac:dyDescent="0.2">
      <c r="B891" s="3"/>
    </row>
    <row r="892" spans="2:2" ht="14.25" customHeight="1" x14ac:dyDescent="0.2">
      <c r="B892" s="3"/>
    </row>
    <row r="893" spans="2:2" ht="14.25" customHeight="1" x14ac:dyDescent="0.2">
      <c r="B893" s="3"/>
    </row>
    <row r="894" spans="2:2" ht="14.25" customHeight="1" x14ac:dyDescent="0.2">
      <c r="B894" s="3"/>
    </row>
    <row r="895" spans="2:2" ht="14.25" customHeight="1" x14ac:dyDescent="0.2">
      <c r="B895" s="3"/>
    </row>
    <row r="896" spans="2:2" ht="14.25" customHeight="1" x14ac:dyDescent="0.2">
      <c r="B896" s="3"/>
    </row>
    <row r="897" spans="2:2" ht="14.25" customHeight="1" x14ac:dyDescent="0.2">
      <c r="B897" s="3"/>
    </row>
    <row r="898" spans="2:2" ht="14.25" customHeight="1" x14ac:dyDescent="0.2">
      <c r="B898" s="3"/>
    </row>
    <row r="899" spans="2:2" ht="14.25" customHeight="1" x14ac:dyDescent="0.2">
      <c r="B899" s="3"/>
    </row>
    <row r="900" spans="2:2" ht="14.25" customHeight="1" x14ac:dyDescent="0.2">
      <c r="B900" s="3"/>
    </row>
    <row r="901" spans="2:2" ht="14.25" customHeight="1" x14ac:dyDescent="0.2">
      <c r="B901" s="3"/>
    </row>
    <row r="902" spans="2:2" ht="14.25" customHeight="1" x14ac:dyDescent="0.2">
      <c r="B902" s="3"/>
    </row>
    <row r="903" spans="2:2" ht="14.25" customHeight="1" x14ac:dyDescent="0.2">
      <c r="B903" s="3"/>
    </row>
    <row r="904" spans="2:2" ht="14.25" customHeight="1" x14ac:dyDescent="0.2">
      <c r="B904" s="3"/>
    </row>
    <row r="905" spans="2:2" ht="14.25" customHeight="1" x14ac:dyDescent="0.2">
      <c r="B905" s="3"/>
    </row>
    <row r="906" spans="2:2" ht="14.25" customHeight="1" x14ac:dyDescent="0.2">
      <c r="B906" s="3"/>
    </row>
    <row r="907" spans="2:2" ht="14.25" customHeight="1" x14ac:dyDescent="0.2">
      <c r="B907" s="3"/>
    </row>
    <row r="908" spans="2:2" ht="14.25" customHeight="1" x14ac:dyDescent="0.2">
      <c r="B908" s="3"/>
    </row>
    <row r="909" spans="2:2" ht="14.25" customHeight="1" x14ac:dyDescent="0.2">
      <c r="B909" s="3"/>
    </row>
    <row r="910" spans="2:2" ht="14.25" customHeight="1" x14ac:dyDescent="0.2">
      <c r="B910" s="3"/>
    </row>
    <row r="911" spans="2:2" ht="14.25" customHeight="1" x14ac:dyDescent="0.2">
      <c r="B911" s="3"/>
    </row>
    <row r="912" spans="2:2" ht="14.25" customHeight="1" x14ac:dyDescent="0.2">
      <c r="B912" s="3"/>
    </row>
    <row r="913" spans="2:2" ht="14.25" customHeight="1" x14ac:dyDescent="0.2">
      <c r="B913" s="3"/>
    </row>
    <row r="914" spans="2:2" ht="14.25" customHeight="1" x14ac:dyDescent="0.2">
      <c r="B914" s="3"/>
    </row>
    <row r="915" spans="2:2" ht="14.25" customHeight="1" x14ac:dyDescent="0.2">
      <c r="B915" s="3"/>
    </row>
    <row r="916" spans="2:2" ht="14.25" customHeight="1" x14ac:dyDescent="0.2">
      <c r="B916" s="3"/>
    </row>
    <row r="917" spans="2:2" ht="14.25" customHeight="1" x14ac:dyDescent="0.2">
      <c r="B917" s="3"/>
    </row>
    <row r="918" spans="2:2" ht="14.25" customHeight="1" x14ac:dyDescent="0.2">
      <c r="B918" s="3"/>
    </row>
    <row r="919" spans="2:2" ht="14.25" customHeight="1" x14ac:dyDescent="0.2">
      <c r="B919" s="3"/>
    </row>
    <row r="920" spans="2:2" ht="14.25" customHeight="1" x14ac:dyDescent="0.2">
      <c r="B920" s="3"/>
    </row>
    <row r="921" spans="2:2" ht="14.25" customHeight="1" x14ac:dyDescent="0.2">
      <c r="B921" s="3"/>
    </row>
    <row r="922" spans="2:2" ht="14.25" customHeight="1" x14ac:dyDescent="0.2">
      <c r="B922" s="3"/>
    </row>
    <row r="923" spans="2:2" ht="14.25" customHeight="1" x14ac:dyDescent="0.2">
      <c r="B923" s="3"/>
    </row>
    <row r="924" spans="2:2" ht="14.25" customHeight="1" x14ac:dyDescent="0.2">
      <c r="B924" s="3"/>
    </row>
    <row r="925" spans="2:2" ht="14.25" customHeight="1" x14ac:dyDescent="0.2">
      <c r="B925" s="3"/>
    </row>
    <row r="926" spans="2:2" ht="14.25" customHeight="1" x14ac:dyDescent="0.2">
      <c r="B926" s="3"/>
    </row>
    <row r="927" spans="2:2" ht="14.25" customHeight="1" x14ac:dyDescent="0.2">
      <c r="B927" s="3"/>
    </row>
    <row r="928" spans="2:2" ht="14.25" customHeight="1" x14ac:dyDescent="0.2">
      <c r="B928" s="3"/>
    </row>
    <row r="929" spans="2:2" ht="14.25" customHeight="1" x14ac:dyDescent="0.2">
      <c r="B929" s="3"/>
    </row>
    <row r="930" spans="2:2" ht="14.25" customHeight="1" x14ac:dyDescent="0.2">
      <c r="B930" s="3"/>
    </row>
    <row r="931" spans="2:2" ht="14.25" customHeight="1" x14ac:dyDescent="0.2">
      <c r="B931" s="3"/>
    </row>
    <row r="932" spans="2:2" ht="14.25" customHeight="1" x14ac:dyDescent="0.2">
      <c r="B932" s="3"/>
    </row>
    <row r="933" spans="2:2" ht="14.25" customHeight="1" x14ac:dyDescent="0.2">
      <c r="B933" s="3"/>
    </row>
    <row r="934" spans="2:2" ht="14.25" customHeight="1" x14ac:dyDescent="0.2">
      <c r="B934" s="3"/>
    </row>
    <row r="935" spans="2:2" ht="14.25" customHeight="1" x14ac:dyDescent="0.2">
      <c r="B935" s="3"/>
    </row>
    <row r="936" spans="2:2" ht="14.25" customHeight="1" x14ac:dyDescent="0.2">
      <c r="B936" s="3"/>
    </row>
    <row r="937" spans="2:2" ht="14.25" customHeight="1" x14ac:dyDescent="0.2">
      <c r="B937" s="3"/>
    </row>
    <row r="938" spans="2:2" ht="14.25" customHeight="1" x14ac:dyDescent="0.2">
      <c r="B938" s="3"/>
    </row>
    <row r="939" spans="2:2" ht="14.25" customHeight="1" x14ac:dyDescent="0.2">
      <c r="B939" s="3"/>
    </row>
    <row r="940" spans="2:2" ht="14.25" customHeight="1" x14ac:dyDescent="0.2">
      <c r="B940" s="3"/>
    </row>
    <row r="941" spans="2:2" ht="14.25" customHeight="1" x14ac:dyDescent="0.2">
      <c r="B941" s="3"/>
    </row>
    <row r="942" spans="2:2" ht="14.25" customHeight="1" x14ac:dyDescent="0.2">
      <c r="B942" s="3"/>
    </row>
    <row r="943" spans="2:2" ht="14.25" customHeight="1" x14ac:dyDescent="0.2">
      <c r="B943" s="3"/>
    </row>
    <row r="944" spans="2:2" ht="14.25" customHeight="1" x14ac:dyDescent="0.2">
      <c r="B944" s="3"/>
    </row>
    <row r="945" spans="2:2" ht="14.25" customHeight="1" x14ac:dyDescent="0.2">
      <c r="B945" s="3"/>
    </row>
    <row r="946" spans="2:2" ht="14.25" customHeight="1" x14ac:dyDescent="0.2">
      <c r="B946" s="3"/>
    </row>
    <row r="947" spans="2:2" ht="14.25" customHeight="1" x14ac:dyDescent="0.2">
      <c r="B947" s="3"/>
    </row>
    <row r="948" spans="2:2" ht="14.25" customHeight="1" x14ac:dyDescent="0.2">
      <c r="B948" s="3"/>
    </row>
    <row r="949" spans="2:2" ht="14.25" customHeight="1" x14ac:dyDescent="0.2">
      <c r="B949" s="3"/>
    </row>
    <row r="950" spans="2:2" ht="14.25" customHeight="1" x14ac:dyDescent="0.2">
      <c r="B950" s="3"/>
    </row>
    <row r="951" spans="2:2" ht="14.25" customHeight="1" x14ac:dyDescent="0.2">
      <c r="B951" s="3"/>
    </row>
    <row r="952" spans="2:2" ht="14.25" customHeight="1" x14ac:dyDescent="0.2">
      <c r="B952" s="3"/>
    </row>
    <row r="953" spans="2:2" ht="14.25" customHeight="1" x14ac:dyDescent="0.2">
      <c r="B953" s="3"/>
    </row>
    <row r="954" spans="2:2" ht="14.25" customHeight="1" x14ac:dyDescent="0.2">
      <c r="B954" s="3"/>
    </row>
    <row r="955" spans="2:2" ht="14.25" customHeight="1" x14ac:dyDescent="0.2">
      <c r="B955" s="3"/>
    </row>
    <row r="956" spans="2:2" ht="14.25" customHeight="1" x14ac:dyDescent="0.2">
      <c r="B956" s="3"/>
    </row>
    <row r="957" spans="2:2" ht="14.25" customHeight="1" x14ac:dyDescent="0.2">
      <c r="B957" s="3"/>
    </row>
    <row r="958" spans="2:2" ht="14.25" customHeight="1" x14ac:dyDescent="0.2">
      <c r="B958" s="3"/>
    </row>
    <row r="959" spans="2:2" ht="14.25" customHeight="1" x14ac:dyDescent="0.2">
      <c r="B959" s="3"/>
    </row>
    <row r="960" spans="2:2" ht="14.25" customHeight="1" x14ac:dyDescent="0.2">
      <c r="B960" s="3"/>
    </row>
    <row r="961" spans="2:2" ht="14.25" customHeight="1" x14ac:dyDescent="0.2">
      <c r="B961" s="3"/>
    </row>
    <row r="962" spans="2:2" ht="14.25" customHeight="1" x14ac:dyDescent="0.2">
      <c r="B962" s="3"/>
    </row>
    <row r="963" spans="2:2" ht="14.25" customHeight="1" x14ac:dyDescent="0.2">
      <c r="B963" s="3"/>
    </row>
    <row r="964" spans="2:2" ht="14.25" customHeight="1" x14ac:dyDescent="0.2">
      <c r="B964" s="3"/>
    </row>
    <row r="965" spans="2:2" ht="14.25" customHeight="1" x14ac:dyDescent="0.2">
      <c r="B965" s="3"/>
    </row>
    <row r="966" spans="2:2" ht="14.25" customHeight="1" x14ac:dyDescent="0.2">
      <c r="B966" s="3"/>
    </row>
    <row r="967" spans="2:2" ht="14.25" customHeight="1" x14ac:dyDescent="0.2">
      <c r="B967" s="3"/>
    </row>
    <row r="968" spans="2:2" ht="14.25" customHeight="1" x14ac:dyDescent="0.2">
      <c r="B968" s="3"/>
    </row>
    <row r="969" spans="2:2" ht="14.25" customHeight="1" x14ac:dyDescent="0.2">
      <c r="B969" s="3"/>
    </row>
    <row r="970" spans="2:2" ht="14.25" customHeight="1" x14ac:dyDescent="0.2">
      <c r="B970" s="3"/>
    </row>
    <row r="971" spans="2:2" ht="14.25" customHeight="1" x14ac:dyDescent="0.2">
      <c r="B971" s="3"/>
    </row>
    <row r="972" spans="2:2" ht="14.25" customHeight="1" x14ac:dyDescent="0.2">
      <c r="B972" s="3"/>
    </row>
    <row r="973" spans="2:2" ht="14.25" customHeight="1" x14ac:dyDescent="0.2">
      <c r="B973" s="3"/>
    </row>
    <row r="974" spans="2:2" ht="14.25" customHeight="1" x14ac:dyDescent="0.2">
      <c r="B974" s="3"/>
    </row>
    <row r="975" spans="2:2" ht="14.25" customHeight="1" x14ac:dyDescent="0.2">
      <c r="B975" s="3"/>
    </row>
    <row r="976" spans="2:2" ht="14.25" customHeight="1" x14ac:dyDescent="0.2">
      <c r="B976" s="3"/>
    </row>
    <row r="977" spans="2:2" ht="14.25" customHeight="1" x14ac:dyDescent="0.2">
      <c r="B977" s="3"/>
    </row>
    <row r="978" spans="2:2" ht="14.25" customHeight="1" x14ac:dyDescent="0.2">
      <c r="B978" s="3"/>
    </row>
    <row r="979" spans="2:2" ht="14.25" customHeight="1" x14ac:dyDescent="0.2">
      <c r="B979" s="3"/>
    </row>
    <row r="980" spans="2:2" ht="14.25" customHeight="1" x14ac:dyDescent="0.2">
      <c r="B980" s="3"/>
    </row>
    <row r="981" spans="2:2" ht="14.25" customHeight="1" x14ac:dyDescent="0.2">
      <c r="B981" s="3"/>
    </row>
    <row r="982" spans="2:2" ht="14.25" customHeight="1" x14ac:dyDescent="0.2">
      <c r="B982" s="3"/>
    </row>
    <row r="983" spans="2:2" ht="14.25" customHeight="1" x14ac:dyDescent="0.2">
      <c r="B983" s="3"/>
    </row>
    <row r="984" spans="2:2" ht="14.25" customHeight="1" x14ac:dyDescent="0.2">
      <c r="B984" s="3"/>
    </row>
    <row r="985" spans="2:2" ht="14.25" customHeight="1" x14ac:dyDescent="0.2">
      <c r="B985" s="3"/>
    </row>
    <row r="986" spans="2:2" ht="14.25" customHeight="1" x14ac:dyDescent="0.2">
      <c r="B986" s="3"/>
    </row>
    <row r="987" spans="2:2" ht="14.25" customHeight="1" x14ac:dyDescent="0.2">
      <c r="B987" s="3"/>
    </row>
    <row r="988" spans="2:2" ht="14.25" customHeight="1" x14ac:dyDescent="0.2">
      <c r="B988" s="3"/>
    </row>
    <row r="989" spans="2:2" ht="14.25" customHeight="1" x14ac:dyDescent="0.2">
      <c r="B989" s="3"/>
    </row>
    <row r="990" spans="2:2" ht="14.25" customHeight="1" x14ac:dyDescent="0.2">
      <c r="B990" s="3"/>
    </row>
    <row r="991" spans="2:2" ht="14.25" customHeight="1" x14ac:dyDescent="0.2">
      <c r="B991" s="3"/>
    </row>
    <row r="992" spans="2:2" ht="14.25" customHeight="1" x14ac:dyDescent="0.2">
      <c r="B992" s="3"/>
    </row>
    <row r="993" spans="2:2" ht="14.25" customHeight="1" x14ac:dyDescent="0.2">
      <c r="B993" s="3"/>
    </row>
    <row r="994" spans="2:2" ht="14.25" customHeight="1" x14ac:dyDescent="0.2">
      <c r="B994" s="3"/>
    </row>
    <row r="995" spans="2:2" ht="14.25" customHeight="1" x14ac:dyDescent="0.2">
      <c r="B995" s="3"/>
    </row>
    <row r="996" spans="2:2" ht="14.25" customHeight="1" x14ac:dyDescent="0.2">
      <c r="B996" s="3"/>
    </row>
    <row r="997" spans="2:2" ht="14.25" customHeight="1" x14ac:dyDescent="0.2">
      <c r="B997" s="3"/>
    </row>
    <row r="998" spans="2:2" ht="14.25" customHeight="1" x14ac:dyDescent="0.2">
      <c r="B998" s="3"/>
    </row>
    <row r="999" spans="2:2" ht="14.25" customHeight="1" x14ac:dyDescent="0.2">
      <c r="B999" s="3"/>
    </row>
    <row r="1000" spans="2:2" ht="14.25" customHeight="1" x14ac:dyDescent="0.2">
      <c r="B1000" s="3"/>
    </row>
  </sheetData>
  <mergeCells count="1">
    <mergeCell ref="A2:O2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O1000"/>
  <sheetViews>
    <sheetView workbookViewId="0">
      <selection activeCell="I11" sqref="I11"/>
    </sheetView>
  </sheetViews>
  <sheetFormatPr defaultColWidth="12.625" defaultRowHeight="15" customHeight="1" x14ac:dyDescent="0.2"/>
  <cols>
    <col min="1" max="1" width="25.5" customWidth="1"/>
    <col min="2" max="3" width="11.75" customWidth="1"/>
    <col min="4" max="4" width="10.875" customWidth="1"/>
    <col min="5" max="5" width="12.375" customWidth="1"/>
    <col min="6" max="6" width="11.625" customWidth="1"/>
    <col min="7" max="7" width="11" customWidth="1"/>
    <col min="8" max="8" width="11.125" customWidth="1"/>
    <col min="9" max="9" width="26.125" customWidth="1"/>
    <col min="10" max="10" width="15" customWidth="1"/>
    <col min="11" max="15" width="5.75" customWidth="1"/>
    <col min="16" max="26" width="9.625" customWidth="1"/>
  </cols>
  <sheetData>
    <row r="1" spans="1:11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4.25" customHeight="1" x14ac:dyDescent="0.25">
      <c r="A2" s="401" t="s">
        <v>361</v>
      </c>
      <c r="B2" s="403"/>
      <c r="C2" s="403"/>
      <c r="D2" s="403"/>
      <c r="E2" s="403"/>
      <c r="F2" s="403"/>
      <c r="G2" s="402"/>
      <c r="H2" s="1"/>
      <c r="I2" s="401" t="s">
        <v>362</v>
      </c>
      <c r="J2" s="402"/>
      <c r="K2" s="1"/>
    </row>
    <row r="3" spans="1:11" ht="32.25" customHeight="1" x14ac:dyDescent="0.25">
      <c r="A3" s="358"/>
      <c r="B3" s="380">
        <v>2019</v>
      </c>
      <c r="C3" s="380">
        <v>2018</v>
      </c>
      <c r="D3" s="380">
        <v>2017</v>
      </c>
      <c r="E3" s="380">
        <v>2016</v>
      </c>
      <c r="F3" s="380">
        <v>2015</v>
      </c>
      <c r="G3" s="380">
        <v>2014</v>
      </c>
      <c r="H3" s="1"/>
      <c r="I3" s="404" t="s">
        <v>364</v>
      </c>
      <c r="J3" s="433">
        <v>0.13139999999999999</v>
      </c>
      <c r="K3" s="1"/>
    </row>
    <row r="4" spans="1:11" ht="14.25" customHeight="1" x14ac:dyDescent="0.25">
      <c r="A4" s="405" t="s">
        <v>365</v>
      </c>
      <c r="B4" s="360">
        <v>1880.5</v>
      </c>
      <c r="C4" s="360">
        <v>1985.5</v>
      </c>
      <c r="D4" s="360">
        <v>1787</v>
      </c>
      <c r="E4" s="360">
        <v>1441.6</v>
      </c>
      <c r="F4" s="360">
        <v>1227</v>
      </c>
      <c r="G4" s="360">
        <v>1292.4000000000001</v>
      </c>
      <c r="H4" s="2"/>
      <c r="I4" s="2"/>
      <c r="J4" s="1"/>
      <c r="K4" s="1"/>
    </row>
    <row r="5" spans="1:11" ht="14.25" customHeight="1" x14ac:dyDescent="0.25">
      <c r="A5" s="406" t="s">
        <v>76</v>
      </c>
      <c r="B5" s="362">
        <v>804.2</v>
      </c>
      <c r="C5" s="362">
        <v>929.9</v>
      </c>
      <c r="D5" s="362">
        <v>902.7</v>
      </c>
      <c r="E5" s="362">
        <v>1001.6</v>
      </c>
      <c r="F5" s="362">
        <v>893.4</v>
      </c>
      <c r="G5" s="362">
        <v>804</v>
      </c>
      <c r="H5" s="2"/>
      <c r="I5" s="2"/>
      <c r="J5" s="1"/>
      <c r="K5" s="1"/>
    </row>
    <row r="6" spans="1:11" ht="14.25" customHeight="1" x14ac:dyDescent="0.25">
      <c r="A6" s="405" t="s">
        <v>367</v>
      </c>
      <c r="B6" s="360">
        <v>530.79999999999995</v>
      </c>
      <c r="C6" s="360">
        <v>370.5</v>
      </c>
      <c r="D6" s="360">
        <v>395.5</v>
      </c>
      <c r="E6" s="360">
        <v>279.8</v>
      </c>
      <c r="F6" s="360">
        <v>267.39999999999998</v>
      </c>
      <c r="G6" s="360">
        <v>229.2</v>
      </c>
      <c r="H6" s="2"/>
      <c r="I6" s="2"/>
      <c r="J6" s="1"/>
      <c r="K6" s="1"/>
    </row>
    <row r="7" spans="1:11" ht="14.25" customHeight="1" x14ac:dyDescent="0.25">
      <c r="A7" s="406" t="s">
        <v>18</v>
      </c>
      <c r="B7" s="362">
        <v>14377.9</v>
      </c>
      <c r="C7" s="362">
        <v>13452.9</v>
      </c>
      <c r="D7" s="362">
        <v>12273.9</v>
      </c>
      <c r="E7" s="362">
        <v>11448.8</v>
      </c>
      <c r="F7" s="362">
        <v>10763.8</v>
      </c>
      <c r="G7" s="25"/>
      <c r="H7" s="2"/>
      <c r="I7" s="2"/>
      <c r="J7" s="1"/>
      <c r="K7" s="1"/>
    </row>
    <row r="8" spans="1:11" ht="14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6.5" customHeight="1" x14ac:dyDescent="0.3">
      <c r="A10" s="407"/>
      <c r="B10" s="422">
        <v>2019</v>
      </c>
      <c r="C10" s="422">
        <v>2018</v>
      </c>
      <c r="D10" s="422">
        <v>2017</v>
      </c>
      <c r="E10" s="422">
        <v>2016</v>
      </c>
      <c r="F10" s="422">
        <v>2015</v>
      </c>
      <c r="G10" s="422" t="s">
        <v>373</v>
      </c>
      <c r="H10" s="1"/>
      <c r="I10" s="1"/>
      <c r="J10" s="1"/>
      <c r="K10" s="1"/>
    </row>
    <row r="11" spans="1:11" ht="14.25" customHeight="1" x14ac:dyDescent="0.25">
      <c r="A11" s="379" t="s">
        <v>374</v>
      </c>
      <c r="B11" s="362">
        <f t="shared" ref="B11:F11" si="0">B4-C4</f>
        <v>-105</v>
      </c>
      <c r="C11" s="362">
        <f t="shared" si="0"/>
        <v>198.5</v>
      </c>
      <c r="D11" s="362">
        <f t="shared" si="0"/>
        <v>345.40000000000009</v>
      </c>
      <c r="E11" s="362">
        <f t="shared" si="0"/>
        <v>214.59999999999991</v>
      </c>
      <c r="F11" s="362">
        <f t="shared" si="0"/>
        <v>-65.400000000000091</v>
      </c>
      <c r="G11" s="384"/>
      <c r="H11" s="1"/>
      <c r="I11" s="1"/>
      <c r="J11" s="1"/>
      <c r="K11" s="1"/>
    </row>
    <row r="12" spans="1:11" ht="14.25" customHeight="1" x14ac:dyDescent="0.25">
      <c r="A12" s="379" t="s">
        <v>375</v>
      </c>
      <c r="B12" s="362">
        <f t="shared" ref="B12:F12" si="1">B5-C5</f>
        <v>-125.69999999999993</v>
      </c>
      <c r="C12" s="362">
        <f t="shared" si="1"/>
        <v>27.199999999999932</v>
      </c>
      <c r="D12" s="362">
        <f t="shared" si="1"/>
        <v>-98.899999999999977</v>
      </c>
      <c r="E12" s="362">
        <f t="shared" si="1"/>
        <v>108.20000000000005</v>
      </c>
      <c r="F12" s="362">
        <f t="shared" si="1"/>
        <v>89.399999999999977</v>
      </c>
      <c r="G12" s="362"/>
      <c r="H12" s="1"/>
      <c r="I12" s="1"/>
      <c r="J12" s="1"/>
      <c r="K12" s="1"/>
    </row>
    <row r="13" spans="1:11" ht="14.25" customHeight="1" x14ac:dyDescent="0.25">
      <c r="A13" s="379" t="s">
        <v>376</v>
      </c>
      <c r="B13" s="362">
        <f t="shared" ref="B13:F13" si="2">B6-C6</f>
        <v>160.29999999999995</v>
      </c>
      <c r="C13" s="362">
        <f t="shared" si="2"/>
        <v>-25</v>
      </c>
      <c r="D13" s="362">
        <f t="shared" si="2"/>
        <v>115.69999999999999</v>
      </c>
      <c r="E13" s="362">
        <f t="shared" si="2"/>
        <v>12.400000000000034</v>
      </c>
      <c r="F13" s="362">
        <f t="shared" si="2"/>
        <v>38.199999999999989</v>
      </c>
      <c r="G13" s="362"/>
      <c r="H13" s="1"/>
      <c r="I13" s="1"/>
      <c r="J13" s="1"/>
      <c r="K13" s="1"/>
    </row>
    <row r="14" spans="1:11" ht="14.25" customHeight="1" x14ac:dyDescent="0.25">
      <c r="A14" s="421" t="s">
        <v>377</v>
      </c>
      <c r="B14" s="408">
        <f t="shared" ref="B14:F14" si="3">B11+B12-B13</f>
        <v>-390.99999999999989</v>
      </c>
      <c r="C14" s="408">
        <f t="shared" si="3"/>
        <v>250.69999999999993</v>
      </c>
      <c r="D14" s="408">
        <f t="shared" si="3"/>
        <v>130.80000000000013</v>
      </c>
      <c r="E14" s="408">
        <f t="shared" si="3"/>
        <v>310.39999999999992</v>
      </c>
      <c r="F14" s="408">
        <f t="shared" si="3"/>
        <v>-14.200000000000102</v>
      </c>
      <c r="G14" s="429">
        <f>AVERAGE(B14:F14)</f>
        <v>57.339999999999996</v>
      </c>
      <c r="H14" s="1"/>
      <c r="I14" s="26"/>
      <c r="J14" s="1"/>
      <c r="K14" s="1"/>
    </row>
    <row r="15" spans="1:11" ht="14.25" customHeight="1" x14ac:dyDescent="0.25">
      <c r="A15" s="423" t="s">
        <v>378</v>
      </c>
      <c r="B15" s="409">
        <f t="shared" ref="B15:F15" si="4">B7</f>
        <v>14377.9</v>
      </c>
      <c r="C15" s="409">
        <f t="shared" si="4"/>
        <v>13452.9</v>
      </c>
      <c r="D15" s="409">
        <f t="shared" si="4"/>
        <v>12273.9</v>
      </c>
      <c r="E15" s="409">
        <f t="shared" si="4"/>
        <v>11448.8</v>
      </c>
      <c r="F15" s="409">
        <f t="shared" si="4"/>
        <v>10763.8</v>
      </c>
      <c r="G15" s="362"/>
      <c r="H15" s="1"/>
      <c r="I15" s="1"/>
      <c r="J15" s="1"/>
      <c r="K15" s="1"/>
    </row>
    <row r="16" spans="1:11" ht="14.25" customHeight="1" x14ac:dyDescent="0.25">
      <c r="A16" s="424" t="s">
        <v>379</v>
      </c>
      <c r="B16" s="410">
        <f t="shared" ref="B16:F16" si="5">B14/B15</f>
        <v>-2.7194513802432894E-2</v>
      </c>
      <c r="C16" s="410">
        <f t="shared" si="5"/>
        <v>1.8635387165592543E-2</v>
      </c>
      <c r="D16" s="410">
        <f t="shared" si="5"/>
        <v>1.0656759465206668E-2</v>
      </c>
      <c r="E16" s="410">
        <f t="shared" si="5"/>
        <v>2.7112011739221571E-2</v>
      </c>
      <c r="F16" s="410">
        <f t="shared" si="5"/>
        <v>-1.3192367007934097E-3</v>
      </c>
      <c r="G16" s="428">
        <f>AVERAGE(B16:F16)</f>
        <v>5.5780815733588954E-3</v>
      </c>
      <c r="H16" s="1"/>
      <c r="I16" s="1"/>
      <c r="J16" s="1"/>
      <c r="K16" s="1"/>
    </row>
    <row r="17" spans="1:15" ht="32.25" customHeight="1" x14ac:dyDescent="0.25">
      <c r="A17" s="425" t="s">
        <v>380</v>
      </c>
      <c r="B17" s="427">
        <f>B15*G16</f>
        <v>80.201099053596863</v>
      </c>
      <c r="C17" s="411"/>
      <c r="D17" s="412"/>
      <c r="E17" s="412"/>
      <c r="F17" s="412"/>
      <c r="G17" s="413"/>
      <c r="H17" s="1"/>
      <c r="I17" s="1"/>
      <c r="J17" s="1"/>
      <c r="K17" s="1"/>
    </row>
    <row r="18" spans="1:15" ht="18" customHeight="1" x14ac:dyDescent="0.3">
      <c r="A18" s="430" t="s">
        <v>382</v>
      </c>
      <c r="B18" s="414">
        <f>J3</f>
        <v>0.13139999999999999</v>
      </c>
      <c r="C18" s="414">
        <f>J3</f>
        <v>0.13139999999999999</v>
      </c>
      <c r="D18" s="415"/>
      <c r="E18" s="416"/>
      <c r="F18" s="416"/>
      <c r="G18" s="417"/>
      <c r="H18" s="1"/>
      <c r="I18" s="1"/>
      <c r="J18" s="1"/>
      <c r="K18" s="1"/>
      <c r="L18" s="3"/>
      <c r="M18" s="3"/>
      <c r="N18" s="3"/>
      <c r="O18" s="3"/>
    </row>
    <row r="19" spans="1:15" ht="14.25" customHeight="1" x14ac:dyDescent="0.3">
      <c r="A19" s="431"/>
      <c r="B19" s="418">
        <f t="shared" ref="B19:C19" si="6">B15*B18</f>
        <v>1889.2560599999997</v>
      </c>
      <c r="C19" s="418">
        <f t="shared" si="6"/>
        <v>1767.7110599999999</v>
      </c>
      <c r="D19" s="415"/>
      <c r="E19" s="416"/>
      <c r="F19" s="416"/>
      <c r="G19" s="417"/>
      <c r="H19" s="1"/>
      <c r="I19" s="1"/>
      <c r="J19" s="1"/>
      <c r="K19" s="1"/>
      <c r="L19" s="3"/>
      <c r="M19" s="3"/>
      <c r="N19" s="3"/>
      <c r="O19" s="3"/>
    </row>
    <row r="20" spans="1:15" ht="17.25" customHeight="1" x14ac:dyDescent="0.3">
      <c r="A20" s="432"/>
      <c r="B20" s="426">
        <f>B19-C19</f>
        <v>121.54499999999985</v>
      </c>
      <c r="C20" s="419"/>
      <c r="D20" s="357"/>
      <c r="E20" s="357"/>
      <c r="F20" s="357"/>
      <c r="G20" s="420"/>
      <c r="H20" s="1"/>
      <c r="I20" s="1"/>
      <c r="J20" s="1"/>
      <c r="K20" s="1"/>
      <c r="L20" s="3"/>
      <c r="M20" s="3"/>
      <c r="N20" s="3"/>
      <c r="O20" s="3"/>
    </row>
    <row r="21" spans="1:15" ht="14.25" customHeight="1" x14ac:dyDescent="0.2">
      <c r="I21" s="3"/>
      <c r="J21" s="3"/>
      <c r="K21" s="3"/>
      <c r="L21" s="3"/>
      <c r="M21" s="3"/>
      <c r="N21" s="3"/>
      <c r="O21" s="3"/>
    </row>
    <row r="22" spans="1:15" ht="14.25" customHeight="1" x14ac:dyDescent="0.2">
      <c r="I22" s="3"/>
      <c r="J22" s="3"/>
      <c r="K22" s="3"/>
      <c r="L22" s="3"/>
      <c r="M22" s="3"/>
      <c r="N22" s="3"/>
      <c r="O22" s="3"/>
    </row>
    <row r="23" spans="1:15" ht="14.25" customHeight="1" x14ac:dyDescent="0.2">
      <c r="I23" s="3"/>
      <c r="J23" s="3"/>
      <c r="K23" s="3"/>
      <c r="L23" s="3"/>
      <c r="M23" s="3"/>
      <c r="N23" s="3"/>
      <c r="O23" s="3"/>
    </row>
    <row r="24" spans="1:15" ht="14.25" customHeight="1" x14ac:dyDescent="0.2">
      <c r="I24" s="3"/>
      <c r="J24" s="3"/>
      <c r="K24" s="3"/>
      <c r="L24" s="3"/>
      <c r="M24" s="3"/>
      <c r="N24" s="3"/>
      <c r="O24" s="3"/>
    </row>
    <row r="25" spans="1:15" ht="14.25" customHeight="1" x14ac:dyDescent="0.2"/>
    <row r="26" spans="1:15" ht="14.25" customHeight="1" x14ac:dyDescent="0.2"/>
    <row r="27" spans="1:15" ht="14.25" customHeight="1" x14ac:dyDescent="0.2">
      <c r="A27" s="3"/>
      <c r="B27" s="3"/>
      <c r="C27" s="3"/>
      <c r="D27" s="3"/>
      <c r="E27" s="3"/>
      <c r="F27" s="3"/>
      <c r="G27" s="3"/>
    </row>
    <row r="28" spans="1:15" ht="14.25" customHeight="1" x14ac:dyDescent="0.2">
      <c r="A28" s="3"/>
      <c r="B28" s="3"/>
      <c r="C28" s="3"/>
      <c r="D28" s="3"/>
      <c r="E28" s="3"/>
      <c r="F28" s="3"/>
      <c r="G28" s="3"/>
    </row>
    <row r="29" spans="1:15" ht="14.25" customHeight="1" x14ac:dyDescent="0.2">
      <c r="A29" s="3"/>
      <c r="B29" s="3"/>
      <c r="C29" s="3"/>
      <c r="D29" s="3"/>
      <c r="E29" s="3"/>
      <c r="F29" s="3"/>
      <c r="G29" s="3"/>
    </row>
    <row r="30" spans="1:15" ht="14.25" customHeight="1" x14ac:dyDescent="0.2">
      <c r="A30" s="3"/>
      <c r="B30" s="3"/>
      <c r="C30" s="3"/>
      <c r="D30" s="3"/>
      <c r="E30" s="3"/>
      <c r="F30" s="3"/>
      <c r="G30" s="3"/>
    </row>
    <row r="31" spans="1:15" ht="14.25" customHeight="1" x14ac:dyDescent="0.2">
      <c r="A31" s="3"/>
      <c r="B31" s="3"/>
      <c r="C31" s="3"/>
      <c r="D31" s="3"/>
      <c r="E31" s="3"/>
      <c r="F31" s="3"/>
      <c r="G31" s="3"/>
    </row>
    <row r="32" spans="1:15" ht="14.25" customHeight="1" x14ac:dyDescent="0.2">
      <c r="A32" s="3"/>
      <c r="B32" s="3"/>
      <c r="C32" s="3"/>
      <c r="D32" s="3"/>
      <c r="E32" s="3"/>
      <c r="F32" s="3"/>
      <c r="G32" s="3"/>
    </row>
    <row r="33" spans="1:7" ht="14.25" customHeight="1" x14ac:dyDescent="0.2">
      <c r="A33" s="3"/>
      <c r="B33" s="3"/>
      <c r="C33" s="3"/>
      <c r="D33" s="3"/>
      <c r="E33" s="3"/>
      <c r="F33" s="3"/>
      <c r="G33" s="3"/>
    </row>
    <row r="34" spans="1:7" ht="14.25" customHeight="1" x14ac:dyDescent="0.2">
      <c r="A34" s="3"/>
      <c r="B34" s="3"/>
      <c r="C34" s="3"/>
      <c r="D34" s="3"/>
      <c r="E34" s="3"/>
      <c r="F34" s="3"/>
      <c r="G34" s="3"/>
    </row>
    <row r="35" spans="1:7" ht="14.25" customHeight="1" x14ac:dyDescent="0.2">
      <c r="A35" s="3"/>
      <c r="B35" s="3"/>
      <c r="C35" s="3"/>
      <c r="D35" s="3"/>
      <c r="E35" s="3"/>
      <c r="F35" s="3"/>
      <c r="G35" s="3"/>
    </row>
    <row r="36" spans="1:7" ht="14.25" customHeight="1" x14ac:dyDescent="0.2">
      <c r="A36" s="3"/>
      <c r="B36" s="3"/>
      <c r="C36" s="3"/>
      <c r="D36" s="3"/>
      <c r="E36" s="3"/>
      <c r="F36" s="3"/>
      <c r="G36" s="3"/>
    </row>
    <row r="37" spans="1:7" ht="14.25" customHeight="1" x14ac:dyDescent="0.2">
      <c r="A37" s="3"/>
      <c r="B37" s="3"/>
      <c r="C37" s="3"/>
      <c r="D37" s="3"/>
      <c r="E37" s="3"/>
      <c r="F37" s="3"/>
      <c r="G37" s="3"/>
    </row>
    <row r="38" spans="1:7" ht="14.25" customHeight="1" x14ac:dyDescent="0.2">
      <c r="A38" s="3"/>
      <c r="B38" s="3"/>
      <c r="C38" s="3"/>
      <c r="D38" s="3"/>
      <c r="E38" s="3"/>
      <c r="F38" s="3"/>
      <c r="G38" s="3"/>
    </row>
    <row r="39" spans="1:7" ht="14.25" customHeight="1" x14ac:dyDescent="0.2">
      <c r="A39" s="3"/>
      <c r="B39" s="3"/>
      <c r="C39" s="3"/>
      <c r="D39" s="3"/>
      <c r="E39" s="3"/>
      <c r="F39" s="3"/>
      <c r="G39" s="3"/>
    </row>
    <row r="40" spans="1:7" ht="14.25" customHeight="1" x14ac:dyDescent="0.2">
      <c r="A40" s="3"/>
      <c r="B40" s="3"/>
      <c r="C40" s="3"/>
      <c r="D40" s="3"/>
      <c r="E40" s="3"/>
      <c r="F40" s="3"/>
      <c r="G40" s="3"/>
    </row>
    <row r="41" spans="1:7" ht="14.25" customHeight="1" x14ac:dyDescent="0.2">
      <c r="A41" s="3"/>
      <c r="B41" s="3"/>
      <c r="C41" s="3"/>
      <c r="D41" s="3"/>
      <c r="E41" s="3"/>
      <c r="F41" s="3"/>
      <c r="G41" s="3"/>
    </row>
    <row r="42" spans="1:7" ht="14.25" customHeight="1" x14ac:dyDescent="0.2">
      <c r="A42" s="3"/>
      <c r="B42" s="3"/>
      <c r="C42" s="3"/>
      <c r="D42" s="3"/>
      <c r="E42" s="3"/>
      <c r="F42" s="3"/>
      <c r="G42" s="3"/>
    </row>
    <row r="43" spans="1:7" ht="14.25" customHeight="1" x14ac:dyDescent="0.2">
      <c r="A43" s="3"/>
      <c r="B43" s="3"/>
      <c r="C43" s="3"/>
      <c r="D43" s="3"/>
      <c r="E43" s="3"/>
      <c r="F43" s="3"/>
      <c r="G43" s="3"/>
    </row>
    <row r="44" spans="1:7" ht="14.25" customHeight="1" x14ac:dyDescent="0.2">
      <c r="A44" s="3"/>
      <c r="B44" s="3"/>
      <c r="C44" s="3"/>
      <c r="D44" s="3"/>
      <c r="E44" s="3"/>
      <c r="F44" s="3"/>
      <c r="G44" s="3"/>
    </row>
    <row r="45" spans="1:7" ht="14.25" customHeight="1" x14ac:dyDescent="0.2">
      <c r="A45" s="3"/>
      <c r="B45" s="3"/>
      <c r="C45" s="3"/>
      <c r="D45" s="3"/>
      <c r="E45" s="3"/>
      <c r="F45" s="3"/>
      <c r="G45" s="3"/>
    </row>
    <row r="46" spans="1:7" ht="14.25" customHeight="1" x14ac:dyDescent="0.2">
      <c r="A46" s="3"/>
      <c r="B46" s="3"/>
      <c r="C46" s="3"/>
      <c r="D46" s="3"/>
      <c r="E46" s="3"/>
      <c r="F46" s="3"/>
      <c r="G46" s="3"/>
    </row>
    <row r="47" spans="1:7" ht="14.25" customHeight="1" x14ac:dyDescent="0.2">
      <c r="A47" s="3"/>
      <c r="B47" s="3"/>
      <c r="C47" s="3"/>
      <c r="D47" s="3"/>
      <c r="E47" s="3"/>
      <c r="F47" s="3"/>
      <c r="G47" s="3"/>
    </row>
    <row r="48" spans="1:7" ht="14.25" customHeight="1" x14ac:dyDescent="0.2">
      <c r="A48" s="3"/>
      <c r="B48" s="3"/>
      <c r="C48" s="3"/>
      <c r="D48" s="3"/>
      <c r="E48" s="3"/>
      <c r="F48" s="3"/>
      <c r="G48" s="3"/>
    </row>
    <row r="49" spans="1:7" ht="14.25" customHeight="1" x14ac:dyDescent="0.2">
      <c r="A49" s="3"/>
      <c r="B49" s="3"/>
      <c r="C49" s="3"/>
      <c r="D49" s="3"/>
      <c r="E49" s="3"/>
      <c r="F49" s="3"/>
      <c r="G49" s="3"/>
    </row>
    <row r="50" spans="1:7" ht="14.25" customHeight="1" x14ac:dyDescent="0.2"/>
    <row r="51" spans="1:7" ht="14.25" customHeight="1" x14ac:dyDescent="0.2"/>
    <row r="52" spans="1:7" ht="14.25" customHeight="1" x14ac:dyDescent="0.2"/>
    <row r="53" spans="1:7" ht="14.25" customHeight="1" x14ac:dyDescent="0.2"/>
    <row r="54" spans="1:7" ht="14.25" customHeight="1" x14ac:dyDescent="0.2"/>
    <row r="55" spans="1:7" ht="14.25" customHeight="1" x14ac:dyDescent="0.2"/>
    <row r="56" spans="1:7" ht="14.25" customHeight="1" x14ac:dyDescent="0.2"/>
    <row r="57" spans="1:7" ht="14.25" customHeight="1" x14ac:dyDescent="0.2"/>
    <row r="58" spans="1:7" ht="14.25" customHeight="1" x14ac:dyDescent="0.2"/>
    <row r="59" spans="1:7" ht="14.25" customHeight="1" x14ac:dyDescent="0.2"/>
    <row r="60" spans="1:7" ht="14.25" customHeight="1" x14ac:dyDescent="0.2"/>
    <row r="61" spans="1:7" ht="14.25" customHeight="1" x14ac:dyDescent="0.2"/>
    <row r="62" spans="1:7" ht="14.25" customHeight="1" x14ac:dyDescent="0.2"/>
    <row r="63" spans="1:7" ht="14.25" customHeight="1" x14ac:dyDescent="0.2"/>
    <row r="64" spans="1:7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A2:G2"/>
    <mergeCell ref="I2:J2"/>
    <mergeCell ref="C17:G17"/>
    <mergeCell ref="A18:A20"/>
    <mergeCell ref="D18:G18"/>
    <mergeCell ref="D19:G19"/>
    <mergeCell ref="C20:G20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  <outlinePr summaryBelow="0" summaryRight="0"/>
  </sheetPr>
  <dimension ref="A1:F1000"/>
  <sheetViews>
    <sheetView workbookViewId="0">
      <selection activeCell="E6" sqref="E6"/>
    </sheetView>
  </sheetViews>
  <sheetFormatPr defaultColWidth="12.625" defaultRowHeight="15" customHeight="1" x14ac:dyDescent="0.2"/>
  <cols>
    <col min="1" max="1" width="16.875" customWidth="1"/>
    <col min="2" max="2" width="11.5" customWidth="1"/>
    <col min="3" max="3" width="9.625" customWidth="1"/>
    <col min="4" max="4" width="14.875" customWidth="1"/>
    <col min="5" max="5" width="11.625" customWidth="1"/>
    <col min="6" max="26" width="9.625" customWidth="1"/>
  </cols>
  <sheetData>
    <row r="1" spans="1:6" ht="15" customHeight="1" x14ac:dyDescent="0.25">
      <c r="A1" s="1"/>
      <c r="B1" s="1"/>
      <c r="C1" s="1"/>
    </row>
    <row r="2" spans="1:6" ht="15" customHeight="1" x14ac:dyDescent="0.25">
      <c r="A2" s="447" t="s">
        <v>377</v>
      </c>
      <c r="B2" s="434">
        <f>WC!B17</f>
        <v>80.201099053596863</v>
      </c>
      <c r="C2" s="1"/>
      <c r="F2" s="3"/>
    </row>
    <row r="3" spans="1:6" ht="15" customHeight="1" x14ac:dyDescent="0.25">
      <c r="A3" s="448" t="s">
        <v>381</v>
      </c>
      <c r="B3" s="434">
        <f>CAPEX!B29</f>
        <v>3174.1</v>
      </c>
      <c r="C3" s="1"/>
      <c r="F3" s="3"/>
    </row>
    <row r="4" spans="1:6" ht="15" customHeight="1" x14ac:dyDescent="0.25">
      <c r="A4" s="448" t="s">
        <v>371</v>
      </c>
      <c r="B4" s="435">
        <f>CAPEX!B30</f>
        <v>2453.2125000000005</v>
      </c>
      <c r="C4" s="1"/>
      <c r="F4" s="3"/>
    </row>
    <row r="5" spans="1:6" ht="15" customHeight="1" x14ac:dyDescent="0.25">
      <c r="A5" s="448" t="s">
        <v>358</v>
      </c>
      <c r="B5" s="373">
        <f>CAPEX!H20</f>
        <v>1251.4599999999998</v>
      </c>
      <c r="C5" s="1"/>
      <c r="F5" s="3"/>
    </row>
    <row r="6" spans="1:6" ht="15" customHeight="1" x14ac:dyDescent="0.25">
      <c r="A6" s="1"/>
      <c r="B6" s="1"/>
      <c r="C6" s="1"/>
      <c r="F6" s="3"/>
    </row>
    <row r="7" spans="1:6" ht="15" customHeight="1" x14ac:dyDescent="0.25">
      <c r="A7" s="441" t="s">
        <v>383</v>
      </c>
      <c r="B7" s="436">
        <f>B3</f>
        <v>3174.1</v>
      </c>
      <c r="C7" s="1"/>
      <c r="F7" s="3"/>
    </row>
    <row r="8" spans="1:6" ht="15" customHeight="1" x14ac:dyDescent="0.25">
      <c r="A8" s="442" t="s">
        <v>384</v>
      </c>
      <c r="B8" s="363">
        <f>B5</f>
        <v>1251.4599999999998</v>
      </c>
      <c r="C8" s="1"/>
      <c r="F8" s="3"/>
    </row>
    <row r="9" spans="1:6" ht="15" customHeight="1" x14ac:dyDescent="0.25">
      <c r="A9" s="441" t="s">
        <v>385</v>
      </c>
      <c r="B9" s="436">
        <f>B4</f>
        <v>2453.2125000000005</v>
      </c>
      <c r="C9" s="1"/>
      <c r="F9" s="3"/>
    </row>
    <row r="10" spans="1:6" ht="15" customHeight="1" x14ac:dyDescent="0.25">
      <c r="A10" s="441" t="s">
        <v>386</v>
      </c>
      <c r="B10" s="436">
        <f>B2</f>
        <v>80.201099053596863</v>
      </c>
      <c r="C10" s="1"/>
      <c r="F10" s="3"/>
    </row>
    <row r="11" spans="1:6" ht="15" customHeight="1" x14ac:dyDescent="0.25">
      <c r="A11" s="445" t="s">
        <v>387</v>
      </c>
      <c r="B11" s="437">
        <f>B7+B8-B9+B10</f>
        <v>2052.5485990535958</v>
      </c>
      <c r="C11" s="1"/>
      <c r="F11" s="3"/>
    </row>
    <row r="12" spans="1:6" ht="15" customHeight="1" x14ac:dyDescent="0.25">
      <c r="A12" s="1"/>
      <c r="B12" s="1"/>
      <c r="C12" s="1"/>
      <c r="F12" s="3"/>
    </row>
    <row r="13" spans="1:6" ht="15" customHeight="1" x14ac:dyDescent="0.25">
      <c r="A13" s="443" t="s">
        <v>387</v>
      </c>
      <c r="B13" s="436">
        <f>B11</f>
        <v>2052.5485990535958</v>
      </c>
      <c r="C13" s="1"/>
      <c r="F13" s="3"/>
    </row>
    <row r="14" spans="1:6" ht="15" customHeight="1" x14ac:dyDescent="0.25">
      <c r="A14" s="443" t="s">
        <v>388</v>
      </c>
      <c r="B14" s="436">
        <f>'R&amp;D'!C23</f>
        <v>7735.93</v>
      </c>
      <c r="C14" s="1"/>
      <c r="F14" s="3"/>
    </row>
    <row r="15" spans="1:6" ht="15" customHeight="1" x14ac:dyDescent="0.25">
      <c r="A15" s="443" t="s">
        <v>389</v>
      </c>
      <c r="B15" s="438">
        <f>Beta!D57</f>
        <v>0.27</v>
      </c>
      <c r="C15" s="1"/>
      <c r="F15" s="3"/>
    </row>
    <row r="16" spans="1:6" ht="15" customHeight="1" x14ac:dyDescent="0.25">
      <c r="A16" s="398" t="s">
        <v>390</v>
      </c>
      <c r="B16" s="439">
        <f>B13/(B14*(1-B15))</f>
        <v>0.36346120113062813</v>
      </c>
      <c r="C16" s="1"/>
      <c r="F16" s="3"/>
    </row>
    <row r="17" spans="1:6" ht="15" customHeight="1" x14ac:dyDescent="0.25">
      <c r="A17" s="1"/>
      <c r="B17" s="1"/>
      <c r="C17" s="1"/>
      <c r="F17" s="3"/>
    </row>
    <row r="18" spans="1:6" ht="15" customHeight="1" x14ac:dyDescent="0.25">
      <c r="A18" s="443" t="s">
        <v>391</v>
      </c>
      <c r="B18" s="436">
        <f>B14*(1-B15)</f>
        <v>5647.2289000000001</v>
      </c>
      <c r="C18" s="1"/>
      <c r="F18" s="3"/>
    </row>
    <row r="19" spans="1:6" ht="15" customHeight="1" x14ac:dyDescent="0.25">
      <c r="A19" s="442" t="s">
        <v>392</v>
      </c>
      <c r="B19" s="440">
        <f>1-B16</f>
        <v>0.63653879886937181</v>
      </c>
      <c r="C19" s="1"/>
      <c r="F19" s="3"/>
    </row>
    <row r="20" spans="1:6" ht="15" customHeight="1" x14ac:dyDescent="0.25">
      <c r="A20" s="446" t="s">
        <v>393</v>
      </c>
      <c r="B20" s="437">
        <f>B18*B19</f>
        <v>3594.6803009464038</v>
      </c>
      <c r="C20" s="1"/>
    </row>
    <row r="21" spans="1:6" ht="15" customHeight="1" x14ac:dyDescent="0.2">
      <c r="A21" s="3"/>
      <c r="B21" s="3"/>
      <c r="C21" s="3"/>
    </row>
    <row r="22" spans="1:6" ht="15" customHeight="1" x14ac:dyDescent="0.2">
      <c r="A22" s="3"/>
      <c r="B22" s="3"/>
      <c r="C22" s="3"/>
    </row>
    <row r="23" spans="1:6" ht="15" customHeight="1" x14ac:dyDescent="0.2">
      <c r="A23" s="3"/>
      <c r="B23" s="3"/>
      <c r="C23" s="3"/>
    </row>
    <row r="24" spans="1:6" ht="15" customHeight="1" x14ac:dyDescent="0.2">
      <c r="A24" s="3"/>
      <c r="B24" s="3"/>
      <c r="C24" s="3"/>
    </row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2060"/>
  </sheetPr>
  <dimension ref="A1:E1000"/>
  <sheetViews>
    <sheetView workbookViewId="0">
      <selection activeCell="E14" sqref="E14"/>
    </sheetView>
  </sheetViews>
  <sheetFormatPr defaultColWidth="12.625" defaultRowHeight="15" customHeight="1" x14ac:dyDescent="0.2"/>
  <cols>
    <col min="1" max="1" width="23.875" customWidth="1"/>
    <col min="2" max="2" width="14.375" customWidth="1"/>
    <col min="3" max="3" width="17.75" customWidth="1"/>
    <col min="4" max="4" width="9.5" customWidth="1"/>
    <col min="5" max="5" width="24.375" customWidth="1"/>
    <col min="6" max="26" width="6.625" customWidth="1"/>
  </cols>
  <sheetData>
    <row r="1" spans="1:5" ht="14.25" customHeight="1" x14ac:dyDescent="0.25">
      <c r="A1" s="1"/>
      <c r="B1" s="1"/>
      <c r="C1" s="1"/>
      <c r="D1" s="1"/>
      <c r="E1" s="1"/>
    </row>
    <row r="2" spans="1:5" ht="14.25" customHeight="1" x14ac:dyDescent="0.25">
      <c r="A2" s="454" t="s">
        <v>276</v>
      </c>
      <c r="B2" s="455" t="s">
        <v>394</v>
      </c>
      <c r="C2" s="455" t="s">
        <v>395</v>
      </c>
      <c r="D2" s="455" t="s">
        <v>396</v>
      </c>
      <c r="E2" s="1"/>
    </row>
    <row r="3" spans="1:5" ht="14.25" customHeight="1" x14ac:dyDescent="0.25">
      <c r="A3" s="387">
        <v>2015</v>
      </c>
      <c r="B3" s="449">
        <v>6521.5</v>
      </c>
      <c r="C3" s="449">
        <v>79000.13</v>
      </c>
      <c r="D3" s="450">
        <f t="shared" ref="D3:D7" si="0">B3/(B3+C3)</f>
        <v>7.6255562481678613E-2</v>
      </c>
      <c r="E3" s="1"/>
    </row>
    <row r="4" spans="1:5" ht="14.25" customHeight="1" x14ac:dyDescent="0.25">
      <c r="A4" s="388">
        <v>2016</v>
      </c>
      <c r="B4" s="371">
        <v>6512.7</v>
      </c>
      <c r="C4" s="371">
        <v>64000.95</v>
      </c>
      <c r="D4" s="440">
        <f t="shared" si="0"/>
        <v>9.2360840773382177E-2</v>
      </c>
      <c r="E4" s="1"/>
    </row>
    <row r="5" spans="1:5" ht="14.25" customHeight="1" x14ac:dyDescent="0.25">
      <c r="A5" s="387">
        <v>2017</v>
      </c>
      <c r="B5" s="449">
        <v>5935</v>
      </c>
      <c r="C5" s="449">
        <v>63000.13</v>
      </c>
      <c r="D5" s="450">
        <f t="shared" si="0"/>
        <v>8.6095434940066107E-2</v>
      </c>
      <c r="E5" s="1"/>
    </row>
    <row r="6" spans="1:5" ht="14.25" customHeight="1" x14ac:dyDescent="0.25">
      <c r="A6" s="388">
        <v>2018</v>
      </c>
      <c r="B6" s="451">
        <v>5936.5</v>
      </c>
      <c r="C6" s="371">
        <v>72000.399999999994</v>
      </c>
      <c r="D6" s="440">
        <f t="shared" si="0"/>
        <v>7.6170594416765366E-2</v>
      </c>
      <c r="E6" s="1"/>
    </row>
    <row r="7" spans="1:5" ht="14.25" customHeight="1" x14ac:dyDescent="0.25">
      <c r="A7" s="387" t="s">
        <v>360</v>
      </c>
      <c r="B7" s="449">
        <v>4459</v>
      </c>
      <c r="C7" s="449">
        <v>62000.58</v>
      </c>
      <c r="D7" s="450">
        <f t="shared" si="0"/>
        <v>6.7093412266523503E-2</v>
      </c>
      <c r="E7" s="1"/>
    </row>
    <row r="8" spans="1:5" ht="14.25" customHeight="1" x14ac:dyDescent="0.25">
      <c r="A8" s="1"/>
      <c r="B8" s="1"/>
      <c r="C8" s="1"/>
      <c r="D8" s="457">
        <f>_xlfn.STDEV.P(D3:D6)</f>
        <v>6.8742824406426845E-3</v>
      </c>
      <c r="E8" s="27"/>
    </row>
    <row r="9" spans="1:5" ht="14.25" customHeight="1" x14ac:dyDescent="0.25">
      <c r="A9" s="1"/>
      <c r="B9" s="1"/>
      <c r="C9" s="1"/>
      <c r="D9" s="1"/>
      <c r="E9" s="1"/>
    </row>
    <row r="10" spans="1:5" ht="14.25" customHeight="1" x14ac:dyDescent="0.25">
      <c r="A10" s="444" t="s">
        <v>412</v>
      </c>
      <c r="B10" s="452">
        <f>B11*(1-B12)</f>
        <v>1914.8361097002175</v>
      </c>
      <c r="C10" s="1"/>
      <c r="D10" s="1"/>
      <c r="E10" s="1"/>
    </row>
    <row r="11" spans="1:5" ht="14.25" customHeight="1" x14ac:dyDescent="0.25">
      <c r="A11" s="456" t="s">
        <v>387</v>
      </c>
      <c r="B11" s="434">
        <f>FCFF!B11</f>
        <v>2052.5485990535958</v>
      </c>
      <c r="C11" s="1"/>
      <c r="D11" s="1"/>
      <c r="E11" s="1"/>
    </row>
    <row r="12" spans="1:5" ht="15.75" customHeight="1" x14ac:dyDescent="0.25">
      <c r="A12" s="443" t="s">
        <v>416</v>
      </c>
      <c r="B12" s="438">
        <f>D7</f>
        <v>6.7093412266523503E-2</v>
      </c>
      <c r="C12" s="1"/>
      <c r="D12" s="1"/>
      <c r="E12" s="1"/>
    </row>
    <row r="13" spans="1:5" ht="14.25" customHeight="1" x14ac:dyDescent="0.25">
      <c r="A13" s="1"/>
      <c r="B13" s="1"/>
      <c r="C13" s="1"/>
      <c r="D13" s="1"/>
      <c r="E13" s="1"/>
    </row>
    <row r="14" spans="1:5" ht="14.25" customHeight="1" x14ac:dyDescent="0.25">
      <c r="A14" s="444" t="s">
        <v>417</v>
      </c>
      <c r="B14" s="452">
        <f>B15-B16</f>
        <v>4333.5938902997805</v>
      </c>
      <c r="C14" s="28"/>
      <c r="D14" s="1"/>
      <c r="E14" s="1"/>
    </row>
    <row r="15" spans="1:5" ht="14.25" customHeight="1" x14ac:dyDescent="0.25">
      <c r="A15" s="443" t="s">
        <v>342</v>
      </c>
      <c r="B15" s="436">
        <f>'R&amp;D'!C24</f>
        <v>6248.4299999999985</v>
      </c>
      <c r="C15" s="1"/>
      <c r="D15" s="1"/>
      <c r="E15" s="19"/>
    </row>
    <row r="16" spans="1:5" ht="14.25" customHeight="1" x14ac:dyDescent="0.25">
      <c r="A16" s="443" t="s">
        <v>412</v>
      </c>
      <c r="B16" s="436">
        <f>B10</f>
        <v>1914.8361097002175</v>
      </c>
      <c r="C16" s="1"/>
      <c r="D16" s="1"/>
      <c r="E16" s="1"/>
    </row>
    <row r="17" spans="3:3" ht="14.25" customHeight="1" x14ac:dyDescent="0.2">
      <c r="C17" s="3"/>
    </row>
    <row r="18" spans="3:3" ht="14.25" customHeight="1" x14ac:dyDescent="0.2">
      <c r="C18" s="3"/>
    </row>
    <row r="19" spans="3:3" ht="14.25" customHeight="1" x14ac:dyDescent="0.2">
      <c r="C19" s="3"/>
    </row>
    <row r="20" spans="3:3" ht="14.25" customHeight="1" x14ac:dyDescent="0.2">
      <c r="C20" s="3"/>
    </row>
    <row r="21" spans="3:3" ht="14.25" customHeight="1" x14ac:dyDescent="0.2">
      <c r="C21" s="3"/>
    </row>
    <row r="22" spans="3:3" ht="14.25" customHeight="1" x14ac:dyDescent="0.2">
      <c r="C22" s="3"/>
    </row>
    <row r="23" spans="3:3" ht="14.25" customHeight="1" x14ac:dyDescent="0.2">
      <c r="C23" s="3"/>
    </row>
    <row r="24" spans="3:3" ht="14.25" customHeight="1" x14ac:dyDescent="0.2">
      <c r="C24" s="3"/>
    </row>
    <row r="25" spans="3:3" ht="14.25" customHeight="1" x14ac:dyDescent="0.2">
      <c r="C25" s="3"/>
    </row>
    <row r="26" spans="3:3" ht="14.25" customHeight="1" x14ac:dyDescent="0.2"/>
    <row r="27" spans="3:3" ht="14.25" customHeight="1" x14ac:dyDescent="0.2"/>
    <row r="28" spans="3:3" ht="14.25" customHeight="1" x14ac:dyDescent="0.2"/>
    <row r="29" spans="3:3" ht="14.25" customHeight="1" x14ac:dyDescent="0.2"/>
    <row r="30" spans="3:3" ht="14.25" customHeight="1" x14ac:dyDescent="0.2"/>
    <row r="31" spans="3:3" ht="14.25" customHeight="1" x14ac:dyDescent="0.2"/>
    <row r="32" spans="3: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2060"/>
  </sheetPr>
  <dimension ref="A1:Z1000"/>
  <sheetViews>
    <sheetView topLeftCell="A48" workbookViewId="0">
      <selection activeCell="G67" sqref="G67"/>
    </sheetView>
  </sheetViews>
  <sheetFormatPr defaultColWidth="12.625" defaultRowHeight="15" customHeight="1" x14ac:dyDescent="0.2"/>
  <cols>
    <col min="1" max="1" width="19.875" customWidth="1"/>
    <col min="2" max="2" width="11.75" customWidth="1"/>
    <col min="3" max="3" width="10.75" customWidth="1"/>
    <col min="4" max="4" width="14.375" customWidth="1"/>
    <col min="5" max="5" width="10.125" customWidth="1"/>
    <col min="6" max="6" width="10.625" customWidth="1"/>
    <col min="7" max="7" width="32.125" customWidth="1"/>
    <col min="8" max="8" width="8" customWidth="1"/>
    <col min="9" max="9" width="6.625" customWidth="1"/>
    <col min="10" max="10" width="22.625" customWidth="1"/>
    <col min="11" max="11" width="9.875" customWidth="1"/>
    <col min="12" max="12" width="6.625" customWidth="1"/>
    <col min="13" max="13" width="10.875" customWidth="1"/>
    <col min="14" max="26" width="6.62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6" ht="14.25" customHeight="1" x14ac:dyDescent="0.25">
      <c r="A2" s="475" t="s">
        <v>388</v>
      </c>
      <c r="B2" s="458">
        <f>FCFF!B18</f>
        <v>5647.2289000000001</v>
      </c>
      <c r="C2" s="1"/>
      <c r="D2" s="475" t="s">
        <v>56</v>
      </c>
      <c r="E2" s="469">
        <f>'R&amp;D'!C24</f>
        <v>6248.4299999999985</v>
      </c>
      <c r="F2" s="1"/>
      <c r="G2" s="475" t="s">
        <v>390</v>
      </c>
      <c r="H2" s="471">
        <f>FCFF!B16</f>
        <v>0.36346120113062813</v>
      </c>
      <c r="I2" s="1"/>
      <c r="J2" s="475" t="s">
        <v>410</v>
      </c>
      <c r="K2" s="458">
        <f>FCFE!B10</f>
        <v>1914.8361097002175</v>
      </c>
      <c r="L2" s="1"/>
      <c r="M2" s="1"/>
      <c r="N2" s="1"/>
      <c r="O2" s="1"/>
      <c r="P2" s="1"/>
      <c r="Q2" s="1"/>
      <c r="R2" s="1"/>
      <c r="S2" s="1"/>
      <c r="T2" s="1"/>
    </row>
    <row r="3" spans="1:26" ht="14.25" customHeight="1" x14ac:dyDescent="0.25">
      <c r="A3" s="476" t="s">
        <v>411</v>
      </c>
      <c r="B3" s="459">
        <f>TTM!B78</f>
        <v>12536.9</v>
      </c>
      <c r="C3" s="1"/>
      <c r="D3" s="476" t="s">
        <v>411</v>
      </c>
      <c r="E3" s="459">
        <f>B3</f>
        <v>12536.9</v>
      </c>
      <c r="F3" s="1"/>
      <c r="G3" s="476" t="s">
        <v>413</v>
      </c>
      <c r="H3" s="472">
        <f>B8</f>
        <v>0.25059291977361892</v>
      </c>
      <c r="I3" s="1"/>
      <c r="J3" s="476" t="s">
        <v>56</v>
      </c>
      <c r="K3" s="474">
        <f>'R&amp;D'!C24</f>
        <v>6248.4299999999985</v>
      </c>
      <c r="L3" s="1"/>
      <c r="M3" s="1"/>
      <c r="N3" s="1"/>
      <c r="O3" s="1"/>
      <c r="P3" s="1"/>
      <c r="Q3" s="1"/>
      <c r="R3" s="1"/>
      <c r="S3" s="1"/>
      <c r="T3" s="1"/>
    </row>
    <row r="4" spans="1:26" ht="14.25" customHeight="1" x14ac:dyDescent="0.25">
      <c r="A4" s="477" t="s">
        <v>418</v>
      </c>
      <c r="B4" s="460">
        <f>TTM!B75</f>
        <v>4459.8999999999996</v>
      </c>
      <c r="C4" s="9"/>
      <c r="D4" s="478" t="s">
        <v>405</v>
      </c>
      <c r="E4" s="470">
        <f>E2/E3</f>
        <v>0.49840311400744991</v>
      </c>
      <c r="F4" s="1"/>
      <c r="G4" s="479" t="s">
        <v>420</v>
      </c>
      <c r="H4" s="473">
        <f>H2*H3</f>
        <v>9.1080803615750661E-2</v>
      </c>
      <c r="I4" s="1"/>
      <c r="J4" s="475" t="s">
        <v>422</v>
      </c>
      <c r="K4" s="471">
        <f>K2/K3</f>
        <v>0.30645075798244009</v>
      </c>
      <c r="L4" s="1"/>
      <c r="M4" s="1"/>
      <c r="N4" s="1"/>
      <c r="O4" s="1"/>
      <c r="P4" s="1"/>
      <c r="Q4" s="1"/>
      <c r="R4" s="1"/>
      <c r="S4" s="1"/>
      <c r="T4" s="1"/>
    </row>
    <row r="5" spans="1:26" ht="14.25" customHeight="1" x14ac:dyDescent="0.25">
      <c r="A5" s="476" t="s">
        <v>555</v>
      </c>
      <c r="B5" s="461">
        <f>TTM!B59</f>
        <v>3860.4</v>
      </c>
      <c r="C5" s="1"/>
      <c r="D5" s="232" t="s">
        <v>423</v>
      </c>
      <c r="E5" s="463">
        <f>'R&amp;D'!F15</f>
        <v>9399.068699999998</v>
      </c>
      <c r="F5" s="1"/>
      <c r="G5" s="1"/>
      <c r="H5" s="1"/>
      <c r="I5" s="1"/>
      <c r="J5" s="476" t="s">
        <v>425</v>
      </c>
      <c r="K5" s="472">
        <f>E6</f>
        <v>0.28484860119261562</v>
      </c>
      <c r="L5" s="1"/>
      <c r="M5" s="1"/>
      <c r="N5" s="1"/>
      <c r="O5" s="1"/>
      <c r="P5" s="1"/>
      <c r="Q5" s="1"/>
      <c r="R5" s="1"/>
      <c r="S5" s="1"/>
      <c r="T5" s="1"/>
    </row>
    <row r="6" spans="1:26" ht="14.25" customHeight="1" x14ac:dyDescent="0.25">
      <c r="A6" s="481" t="s">
        <v>426</v>
      </c>
      <c r="B6" s="462">
        <f>B2/(B3+B4-B5)</f>
        <v>0.42989166742791024</v>
      </c>
      <c r="C6" s="1"/>
      <c r="D6" s="480" t="s">
        <v>425</v>
      </c>
      <c r="E6" s="453">
        <f>E2/(E3+E5)</f>
        <v>0.28484860119261562</v>
      </c>
      <c r="F6" s="1"/>
      <c r="G6" s="1"/>
      <c r="H6" s="1"/>
      <c r="I6" s="1"/>
      <c r="J6" s="479" t="s">
        <v>427</v>
      </c>
      <c r="K6" s="473">
        <f>K4*K5</f>
        <v>8.7292069745714851E-2</v>
      </c>
      <c r="L6" s="1"/>
      <c r="M6" s="1"/>
      <c r="N6" s="1"/>
      <c r="O6" s="1"/>
      <c r="P6" s="1"/>
      <c r="Q6" s="1"/>
      <c r="R6" s="1"/>
      <c r="S6" s="1"/>
      <c r="T6" s="1"/>
    </row>
    <row r="7" spans="1:26" ht="14.25" customHeight="1" x14ac:dyDescent="0.25">
      <c r="A7" s="232" t="s">
        <v>423</v>
      </c>
      <c r="B7" s="463">
        <f>'R&amp;D'!F15</f>
        <v>9399.068699999998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6" ht="14.25" customHeight="1" x14ac:dyDescent="0.25">
      <c r="A8" s="480" t="s">
        <v>413</v>
      </c>
      <c r="B8" s="453">
        <f>B2/(B3+B4-B5+B7)</f>
        <v>0.25059291977361892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6" ht="14.2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6" ht="14.2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6" ht="14.25" customHeight="1" x14ac:dyDescent="0.25">
      <c r="A11" s="484" t="s">
        <v>429</v>
      </c>
      <c r="B11" s="485"/>
      <c r="C11" s="1"/>
      <c r="D11" s="484" t="s">
        <v>430</v>
      </c>
      <c r="E11" s="48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6" ht="14.25" customHeight="1" x14ac:dyDescent="0.25">
      <c r="A12" s="482" t="s">
        <v>431</v>
      </c>
      <c r="B12" s="465">
        <f>B13/B14</f>
        <v>0.39277146871239893</v>
      </c>
      <c r="C12" s="1"/>
      <c r="D12" s="482" t="s">
        <v>426</v>
      </c>
      <c r="E12" s="465">
        <f>B6</f>
        <v>0.42989166742791024</v>
      </c>
      <c r="F12" s="2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6" ht="14.25" customHeight="1" x14ac:dyDescent="0.25">
      <c r="A13" s="443" t="s">
        <v>432</v>
      </c>
      <c r="B13" s="436">
        <f>B2</f>
        <v>5647.2289000000001</v>
      </c>
      <c r="C13" s="1"/>
      <c r="D13" s="483" t="s">
        <v>433</v>
      </c>
      <c r="E13" s="467">
        <f>E14/E15</f>
        <v>1.0478188387878982</v>
      </c>
      <c r="F13" s="2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3"/>
      <c r="V13" s="3"/>
      <c r="W13" s="3"/>
      <c r="X13" s="3"/>
      <c r="Y13" s="3"/>
      <c r="Z13" s="3"/>
    </row>
    <row r="14" spans="1:26" ht="14.25" customHeight="1" x14ac:dyDescent="0.25">
      <c r="A14" s="443" t="s">
        <v>434</v>
      </c>
      <c r="B14" s="466">
        <f>'I.S.'!C9</f>
        <v>14377.9</v>
      </c>
      <c r="C14" s="1"/>
      <c r="D14" s="443" t="s">
        <v>435</v>
      </c>
      <c r="E14" s="466">
        <f>B3+B4-B5</f>
        <v>13136.4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6" ht="14.25" customHeight="1" x14ac:dyDescent="0.25">
      <c r="A15" s="482" t="s">
        <v>436</v>
      </c>
      <c r="B15" s="467">
        <f>B16/B17</f>
        <v>1.0945083889041138</v>
      </c>
      <c r="C15" s="1"/>
      <c r="D15" s="443" t="s">
        <v>154</v>
      </c>
      <c r="E15" s="468">
        <f>E3</f>
        <v>12536.9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6" ht="14.25" customHeight="1" x14ac:dyDescent="0.25">
      <c r="A16" s="443" t="s">
        <v>434</v>
      </c>
      <c r="B16" s="466">
        <f>'I.S.'!C9</f>
        <v>14377.9</v>
      </c>
      <c r="C16" s="1"/>
      <c r="D16" s="482" t="s">
        <v>437</v>
      </c>
      <c r="E16" s="467">
        <f>E17/E18</f>
        <v>1.1064594884758432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6" ht="14.25" customHeight="1" x14ac:dyDescent="0.25">
      <c r="A17" s="443" t="s">
        <v>435</v>
      </c>
      <c r="B17" s="466">
        <f>B3+B4-B5</f>
        <v>13136.4</v>
      </c>
      <c r="C17" s="1"/>
      <c r="D17" s="443" t="s">
        <v>56</v>
      </c>
      <c r="E17" s="466">
        <f>E2</f>
        <v>6248.4299999999985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6" ht="14.25" customHeight="1" x14ac:dyDescent="0.25">
      <c r="A18" s="1"/>
      <c r="B18" s="1"/>
      <c r="C18" s="1"/>
      <c r="D18" s="443" t="s">
        <v>438</v>
      </c>
      <c r="E18" s="436">
        <f>B2</f>
        <v>5647.2289000000001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3"/>
      <c r="V19" s="3"/>
      <c r="W19" s="3"/>
      <c r="X19" s="3"/>
      <c r="Y19" s="3"/>
      <c r="Z19" s="3"/>
    </row>
    <row r="20" spans="1:26" ht="14.25" customHeight="1" x14ac:dyDescent="0.25">
      <c r="A20" s="508" t="s">
        <v>558</v>
      </c>
      <c r="B20" s="509"/>
      <c r="C20" s="509"/>
      <c r="D20" s="509"/>
      <c r="E20" s="509"/>
      <c r="F20" s="510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6" ht="14.25" customHeight="1" x14ac:dyDescent="0.25">
      <c r="A21" s="484" t="s">
        <v>439</v>
      </c>
      <c r="B21" s="501"/>
      <c r="C21" s="501"/>
      <c r="D21" s="501"/>
      <c r="E21" s="501"/>
      <c r="F21" s="485"/>
      <c r="G21" s="1"/>
      <c r="H21" s="1"/>
      <c r="I21" s="1"/>
      <c r="J21" s="502" t="s">
        <v>440</v>
      </c>
      <c r="K21" s="503"/>
      <c r="L21" s="1"/>
      <c r="M21" s="1"/>
      <c r="N21" s="1"/>
      <c r="O21" s="1"/>
      <c r="P21" s="1"/>
      <c r="Q21" s="1"/>
      <c r="R21" s="1"/>
      <c r="S21" s="1"/>
      <c r="T21" s="1"/>
    </row>
    <row r="22" spans="1:26" ht="14.25" customHeight="1" x14ac:dyDescent="0.25">
      <c r="A22" s="388" t="s">
        <v>441</v>
      </c>
      <c r="B22" s="495">
        <f>H4</f>
        <v>9.1080803615750661E-2</v>
      </c>
      <c r="C22" s="495">
        <f>H4</f>
        <v>9.1080803615750661E-2</v>
      </c>
      <c r="D22" s="495">
        <f>H4</f>
        <v>9.1080803615750661E-2</v>
      </c>
      <c r="E22" s="495">
        <f>H4</f>
        <v>9.1080803615750661E-2</v>
      </c>
      <c r="F22" s="495">
        <f>H4</f>
        <v>9.1080803615750661E-2</v>
      </c>
      <c r="G22" s="1"/>
      <c r="H22" s="1"/>
      <c r="I22" s="1"/>
      <c r="J22" s="504" t="s">
        <v>442</v>
      </c>
      <c r="K22" s="487">
        <f>'ERP-CRP'!B4</f>
        <v>7.0000000000000001E-3</v>
      </c>
      <c r="L22" s="1"/>
      <c r="M22" s="1"/>
      <c r="N22" s="1"/>
      <c r="O22" s="1"/>
      <c r="P22" s="1"/>
      <c r="Q22" s="1"/>
      <c r="R22" s="1"/>
      <c r="S22" s="1"/>
      <c r="T22" s="1"/>
    </row>
    <row r="23" spans="1:26" ht="14.25" customHeight="1" x14ac:dyDescent="0.25">
      <c r="A23" s="506" t="s">
        <v>276</v>
      </c>
      <c r="B23" s="395">
        <v>1</v>
      </c>
      <c r="C23" s="395">
        <v>2</v>
      </c>
      <c r="D23" s="395">
        <v>3</v>
      </c>
      <c r="E23" s="395">
        <v>4</v>
      </c>
      <c r="F23" s="395">
        <v>5</v>
      </c>
      <c r="G23" s="1"/>
      <c r="H23" s="1"/>
      <c r="I23" s="1"/>
      <c r="J23" s="504" t="s">
        <v>309</v>
      </c>
      <c r="K23" s="488">
        <v>1.2</v>
      </c>
      <c r="L23" s="1"/>
      <c r="M23" s="1"/>
      <c r="N23" s="1"/>
      <c r="O23" s="1"/>
      <c r="P23" s="1"/>
      <c r="Q23" s="1"/>
      <c r="R23" s="1"/>
      <c r="S23" s="1"/>
      <c r="T23" s="1"/>
    </row>
    <row r="24" spans="1:26" ht="14.25" customHeight="1" x14ac:dyDescent="0.25">
      <c r="A24" s="443" t="s">
        <v>443</v>
      </c>
      <c r="B24" s="363">
        <f>B2*(1+H4)</f>
        <v>6161.5830464140918</v>
      </c>
      <c r="C24" s="363">
        <f>B24*(1+H4)</f>
        <v>6722.7849818266723</v>
      </c>
      <c r="D24" s="363">
        <f>C24*(1+H4)</f>
        <v>7335.1016405073451</v>
      </c>
      <c r="E24" s="363">
        <f>D24*(1+H4)</f>
        <v>8003.1885925279648</v>
      </c>
      <c r="F24" s="363">
        <f>E24*(1+H4)</f>
        <v>8732.1254410238198</v>
      </c>
      <c r="G24" s="1"/>
      <c r="H24" s="1"/>
      <c r="I24" s="1"/>
      <c r="J24" s="504" t="s">
        <v>3</v>
      </c>
      <c r="K24" s="489">
        <f>'ERP-CRP'!B3</f>
        <v>0</v>
      </c>
      <c r="L24" s="1"/>
      <c r="M24" s="1"/>
      <c r="N24" s="1"/>
      <c r="O24" s="1"/>
      <c r="P24" s="1"/>
      <c r="Q24" s="1"/>
      <c r="R24" s="1"/>
      <c r="S24" s="1"/>
      <c r="T24" s="1"/>
    </row>
    <row r="25" spans="1:26" ht="14.25" customHeight="1" x14ac:dyDescent="0.25">
      <c r="A25" s="456" t="s">
        <v>387</v>
      </c>
      <c r="B25" s="373">
        <f>B24*H2</f>
        <v>2239.4963749157805</v>
      </c>
      <c r="C25" s="373">
        <f>C24*H2</f>
        <v>2443.4715044376703</v>
      </c>
      <c r="D25" s="373">
        <f>D24*H2</f>
        <v>2666.0248526740406</v>
      </c>
      <c r="E25" s="373">
        <f>E24*H2</f>
        <v>2908.8485387151554</v>
      </c>
      <c r="F25" s="373">
        <f>F24*H2</f>
        <v>3173.7888012178332</v>
      </c>
      <c r="G25" s="1"/>
      <c r="H25" s="1"/>
      <c r="I25" s="1"/>
      <c r="J25" s="504" t="s">
        <v>445</v>
      </c>
      <c r="K25" s="490">
        <f>K22+K23*('ERP-CRP'!B9+'ERP-CRP'!E20)</f>
        <v>7.3874430482082296E-2</v>
      </c>
      <c r="L25" s="1"/>
      <c r="M25" s="1"/>
      <c r="N25" s="1"/>
      <c r="O25" s="1"/>
      <c r="P25" s="1"/>
      <c r="Q25" s="1"/>
      <c r="R25" s="1"/>
      <c r="S25" s="1"/>
      <c r="T25" s="1"/>
    </row>
    <row r="26" spans="1:26" ht="14.25" customHeight="1" x14ac:dyDescent="0.25">
      <c r="A26" s="443" t="s">
        <v>393</v>
      </c>
      <c r="B26" s="363">
        <f t="shared" ref="B26:F26" si="0">B24-B25</f>
        <v>3922.0866714983113</v>
      </c>
      <c r="C26" s="363">
        <f t="shared" si="0"/>
        <v>4279.3134773890015</v>
      </c>
      <c r="D26" s="363">
        <f t="shared" si="0"/>
        <v>4669.0767878333045</v>
      </c>
      <c r="E26" s="363">
        <f t="shared" si="0"/>
        <v>5094.3400538128099</v>
      </c>
      <c r="F26" s="363">
        <f t="shared" si="0"/>
        <v>5558.3366398059861</v>
      </c>
      <c r="G26" s="1"/>
      <c r="H26" s="1"/>
      <c r="I26" s="1"/>
      <c r="J26" s="505" t="s">
        <v>446</v>
      </c>
      <c r="K26" s="490">
        <f>K25*(WACC!B9/(WACC!B9+WACC!B11))+WACC!B10*(WACC!B11/(WACC!B11+WACC!B9))</f>
        <v>6.7061872080599091E-2</v>
      </c>
      <c r="L26" s="1"/>
      <c r="M26" s="1"/>
      <c r="N26" s="1"/>
      <c r="O26" s="1"/>
      <c r="P26" s="1"/>
      <c r="Q26" s="1"/>
      <c r="R26" s="1"/>
      <c r="S26" s="1"/>
      <c r="T26" s="1"/>
    </row>
    <row r="27" spans="1:26" ht="14.25" customHeight="1" x14ac:dyDescent="0.25">
      <c r="A27" s="456" t="s">
        <v>20</v>
      </c>
      <c r="B27" s="496">
        <f>WACC!B12</f>
        <v>8.5378412630170666E-2</v>
      </c>
      <c r="C27" s="496">
        <f>B27</f>
        <v>8.5378412630170666E-2</v>
      </c>
      <c r="D27" s="496">
        <f>B27</f>
        <v>8.5378412630170666E-2</v>
      </c>
      <c r="E27" s="496">
        <f>B27</f>
        <v>8.5378412630170666E-2</v>
      </c>
      <c r="F27" s="496">
        <f>B27</f>
        <v>8.5378412630170666E-2</v>
      </c>
      <c r="G27" s="1"/>
      <c r="H27" s="1"/>
      <c r="I27" s="1"/>
      <c r="J27" s="504" t="s">
        <v>450</v>
      </c>
      <c r="K27" s="491">
        <f>K26</f>
        <v>6.7061872080599091E-2</v>
      </c>
      <c r="L27" s="1"/>
      <c r="M27" s="1"/>
      <c r="N27" s="1"/>
      <c r="O27" s="1"/>
      <c r="P27" s="1"/>
      <c r="Q27" s="1"/>
      <c r="R27" s="1"/>
      <c r="S27" s="1"/>
      <c r="T27" s="1"/>
    </row>
    <row r="28" spans="1:26" ht="14.25" customHeight="1" x14ac:dyDescent="0.25">
      <c r="A28" s="507" t="s">
        <v>451</v>
      </c>
      <c r="B28" s="363">
        <f>B26/(1+B27)</f>
        <v>3613.5661312758339</v>
      </c>
      <c r="C28" s="363">
        <f t="shared" ref="C28:F28" si="1">B28/(1+C27)</f>
        <v>3329.3145406487019</v>
      </c>
      <c r="D28" s="363">
        <f t="shared" si="1"/>
        <v>3067.4228470979597</v>
      </c>
      <c r="E28" s="363">
        <f t="shared" si="1"/>
        <v>2826.1321686551237</v>
      </c>
      <c r="F28" s="363">
        <f t="shared" si="1"/>
        <v>2603.8219811343283</v>
      </c>
      <c r="G28" s="1"/>
      <c r="H28" s="1"/>
      <c r="I28" s="1"/>
      <c r="J28" s="504" t="s">
        <v>452</v>
      </c>
      <c r="K28" s="491">
        <f>K25</f>
        <v>7.3874430482082296E-2</v>
      </c>
      <c r="L28" s="1"/>
      <c r="M28" s="1"/>
      <c r="N28" s="1"/>
      <c r="O28" s="1"/>
      <c r="P28" s="1"/>
      <c r="Q28" s="1"/>
      <c r="R28" s="1"/>
      <c r="S28" s="1"/>
      <c r="T28" s="1"/>
    </row>
    <row r="29" spans="1:26" ht="14.25" customHeight="1" x14ac:dyDescent="0.25">
      <c r="A29" s="398" t="s">
        <v>453</v>
      </c>
      <c r="B29" s="497">
        <f>SUM(B28:F28)</f>
        <v>15440.257668811946</v>
      </c>
      <c r="C29" s="494"/>
      <c r="D29" s="494"/>
      <c r="E29" s="494"/>
      <c r="F29" s="464"/>
      <c r="G29" s="523"/>
      <c r="H29" s="1"/>
      <c r="I29" s="1"/>
      <c r="J29" s="504" t="s">
        <v>454</v>
      </c>
      <c r="K29" s="491">
        <f>K22/K27</f>
        <v>0.10438121965320277</v>
      </c>
      <c r="L29" s="1"/>
      <c r="M29" s="1"/>
      <c r="N29" s="1"/>
      <c r="O29" s="1"/>
      <c r="P29" s="1"/>
      <c r="Q29" s="1"/>
      <c r="R29" s="1"/>
      <c r="S29" s="1"/>
      <c r="T29" s="1"/>
    </row>
    <row r="30" spans="1:26" ht="14.25" customHeight="1" x14ac:dyDescent="0.25">
      <c r="A30" s="456" t="s">
        <v>455</v>
      </c>
      <c r="B30" s="498">
        <f>K35</f>
        <v>131121.45614638846</v>
      </c>
      <c r="C30" s="494"/>
      <c r="D30" s="494"/>
      <c r="E30" s="494"/>
      <c r="F30" s="464"/>
      <c r="G30" s="1"/>
      <c r="H30" s="1"/>
      <c r="I30" s="1"/>
      <c r="J30" s="504" t="s">
        <v>457</v>
      </c>
      <c r="K30" s="491">
        <f>K22/K28</f>
        <v>9.4755383619475747E-2</v>
      </c>
      <c r="L30" s="1"/>
      <c r="M30" s="1"/>
      <c r="N30" s="1"/>
      <c r="O30" s="1"/>
      <c r="P30" s="1"/>
      <c r="Q30" s="1"/>
      <c r="R30" s="1"/>
      <c r="S30" s="1"/>
      <c r="T30" s="1"/>
    </row>
    <row r="31" spans="1:26" ht="14.25" customHeight="1" x14ac:dyDescent="0.25">
      <c r="A31" s="443" t="s">
        <v>458</v>
      </c>
      <c r="B31" s="499">
        <f>B30/((1+F27)^F23)</f>
        <v>87049.81768847027</v>
      </c>
      <c r="C31" s="494"/>
      <c r="D31" s="494"/>
      <c r="E31" s="494"/>
      <c r="F31" s="464"/>
      <c r="G31" s="1"/>
      <c r="H31" s="1"/>
      <c r="I31" s="1"/>
      <c r="J31" s="504" t="s">
        <v>459</v>
      </c>
      <c r="K31" s="467">
        <f>F24*(1+K22)</f>
        <v>8793.2503191109863</v>
      </c>
      <c r="L31" s="1"/>
      <c r="M31" s="1"/>
      <c r="N31" s="1"/>
      <c r="O31" s="1"/>
      <c r="P31" s="1"/>
      <c r="Q31" s="1"/>
      <c r="R31" s="1"/>
      <c r="S31" s="1"/>
      <c r="T31" s="1"/>
    </row>
    <row r="32" spans="1:26" ht="14.25" customHeight="1" x14ac:dyDescent="0.25">
      <c r="A32" s="398" t="s">
        <v>463</v>
      </c>
      <c r="B32" s="500">
        <f>B29+B31</f>
        <v>102490.07535728221</v>
      </c>
      <c r="C32" s="494"/>
      <c r="D32" s="494"/>
      <c r="E32" s="494"/>
      <c r="F32" s="464"/>
      <c r="G32" s="1"/>
      <c r="H32" s="1"/>
      <c r="I32" s="1"/>
      <c r="J32" s="504" t="s">
        <v>465</v>
      </c>
      <c r="K32" s="467">
        <f>K31*(1-K29)</f>
        <v>7875.4001260862669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505" t="s">
        <v>467</v>
      </c>
      <c r="K33" s="492">
        <f>F38*(1+K22)</f>
        <v>9561.620042868959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504" t="s">
        <v>469</v>
      </c>
      <c r="K34" s="467">
        <f>K33*(1-K30)</f>
        <v>8655.6050676832419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14.25" customHeight="1" x14ac:dyDescent="0.25">
      <c r="A35" s="484" t="s">
        <v>439</v>
      </c>
      <c r="B35" s="501"/>
      <c r="C35" s="501"/>
      <c r="D35" s="501"/>
      <c r="E35" s="501"/>
      <c r="F35" s="485"/>
      <c r="G35" s="1"/>
      <c r="H35" s="1"/>
      <c r="I35" s="1"/>
      <c r="J35" s="398" t="s">
        <v>557</v>
      </c>
      <c r="K35" s="493">
        <f>K32/(K26-K22)</f>
        <v>131121.45614638846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14.25" customHeight="1" x14ac:dyDescent="0.25">
      <c r="A36" s="443" t="s">
        <v>472</v>
      </c>
      <c r="B36" s="511">
        <f>K6</f>
        <v>8.7292069745714851E-2</v>
      </c>
      <c r="C36" s="511">
        <f>K6</f>
        <v>8.7292069745714851E-2</v>
      </c>
      <c r="D36" s="511">
        <f>K6</f>
        <v>8.7292069745714851E-2</v>
      </c>
      <c r="E36" s="511">
        <f>K6</f>
        <v>8.7292069745714851E-2</v>
      </c>
      <c r="F36" s="511">
        <f>K6</f>
        <v>8.7292069745714851E-2</v>
      </c>
      <c r="G36" s="1"/>
      <c r="H36" s="1"/>
      <c r="I36" s="1"/>
      <c r="J36" s="398" t="s">
        <v>556</v>
      </c>
      <c r="K36" s="493">
        <f>K34/(K25-K22)</f>
        <v>129430.7107408166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14.25" customHeight="1" x14ac:dyDescent="0.25">
      <c r="A37" s="506" t="s">
        <v>276</v>
      </c>
      <c r="B37" s="395">
        <v>1</v>
      </c>
      <c r="C37" s="395">
        <v>2</v>
      </c>
      <c r="D37" s="395">
        <v>3</v>
      </c>
      <c r="E37" s="395">
        <v>4</v>
      </c>
      <c r="F37" s="395">
        <v>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4.25" customHeight="1" x14ac:dyDescent="0.25">
      <c r="A38" s="443" t="s">
        <v>56</v>
      </c>
      <c r="B38" s="363">
        <f>K3*(1+(B36))</f>
        <v>6793.8683873612154</v>
      </c>
      <c r="C38" s="363">
        <f t="shared" ref="C38:F38" si="2">B38*(1+C36)</f>
        <v>7386.9192204739584</v>
      </c>
      <c r="D38" s="363">
        <f t="shared" si="2"/>
        <v>8031.7386882735327</v>
      </c>
      <c r="E38" s="363">
        <f t="shared" si="2"/>
        <v>8732.8457820296626</v>
      </c>
      <c r="F38" s="363">
        <f t="shared" si="2"/>
        <v>9495.1539651131679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4.25" customHeight="1" x14ac:dyDescent="0.25">
      <c r="A39" s="456" t="s">
        <v>477</v>
      </c>
      <c r="B39" s="450">
        <f>K4</f>
        <v>0.30645075798244009</v>
      </c>
      <c r="C39" s="450">
        <f>K4</f>
        <v>0.30645075798244009</v>
      </c>
      <c r="D39" s="450">
        <f>K4</f>
        <v>0.30645075798244009</v>
      </c>
      <c r="E39" s="450">
        <f>K4</f>
        <v>0.30645075798244009</v>
      </c>
      <c r="F39" s="450">
        <f>K4</f>
        <v>0.30645075798244009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4.25" customHeight="1" x14ac:dyDescent="0.25">
      <c r="A40" s="443" t="s">
        <v>417</v>
      </c>
      <c r="B40" s="440">
        <f t="shared" ref="B40:F40" si="3">B38-B39</f>
        <v>6793.5619366032333</v>
      </c>
      <c r="C40" s="440">
        <f t="shared" si="3"/>
        <v>7386.6127697159764</v>
      </c>
      <c r="D40" s="440">
        <f t="shared" si="3"/>
        <v>8031.4322375155507</v>
      </c>
      <c r="E40" s="440">
        <f t="shared" si="3"/>
        <v>8732.5393312716806</v>
      </c>
      <c r="F40" s="440">
        <f t="shared" si="3"/>
        <v>9494.8475143551859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4.25" customHeight="1" x14ac:dyDescent="0.25">
      <c r="A41" s="456" t="s">
        <v>445</v>
      </c>
      <c r="B41" s="450">
        <f>WACC!B8</f>
        <v>9.4366668563099762E-2</v>
      </c>
      <c r="C41" s="496">
        <f>WACC!B8</f>
        <v>9.4366668563099762E-2</v>
      </c>
      <c r="D41" s="496">
        <f>WACC!B8</f>
        <v>9.4366668563099762E-2</v>
      </c>
      <c r="E41" s="496">
        <f>WACC!B8</f>
        <v>9.4366668563099762E-2</v>
      </c>
      <c r="F41" s="496">
        <f>WACC!B8</f>
        <v>9.4366668563099762E-2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4.25" customHeight="1" x14ac:dyDescent="0.25">
      <c r="A42" s="507" t="s">
        <v>481</v>
      </c>
      <c r="B42" s="440">
        <f>B40/(1+B41)</f>
        <v>6207.756624681525</v>
      </c>
      <c r="C42" s="440">
        <f t="shared" ref="C42:F42" si="4">B42/(1+C41)</f>
        <v>5672.465000082917</v>
      </c>
      <c r="D42" s="440">
        <f t="shared" si="4"/>
        <v>5183.3312938257222</v>
      </c>
      <c r="E42" s="440">
        <f t="shared" si="4"/>
        <v>4736.3753326217629</v>
      </c>
      <c r="F42" s="440">
        <f t="shared" si="4"/>
        <v>4327.9601514550968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4.25" customHeight="1" x14ac:dyDescent="0.25">
      <c r="A43" s="398" t="s">
        <v>483</v>
      </c>
      <c r="B43" s="512">
        <f>SUM(B42:F42)</f>
        <v>26127.888402667024</v>
      </c>
      <c r="C43" s="494"/>
      <c r="D43" s="494"/>
      <c r="E43" s="494"/>
      <c r="F43" s="464"/>
      <c r="G43" s="52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4.25" customHeight="1" x14ac:dyDescent="0.25">
      <c r="A44" s="456" t="s">
        <v>455</v>
      </c>
      <c r="B44" s="498">
        <f>K36</f>
        <v>129430.7107408166</v>
      </c>
      <c r="C44" s="494"/>
      <c r="D44" s="494"/>
      <c r="E44" s="494"/>
      <c r="F44" s="46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4.25" customHeight="1" x14ac:dyDescent="0.25">
      <c r="A45" s="443" t="s">
        <v>458</v>
      </c>
      <c r="B45" s="499">
        <f>B44/((1+F41)^F37)</f>
        <v>82456.149467424999</v>
      </c>
      <c r="C45" s="494"/>
      <c r="D45" s="494"/>
      <c r="E45" s="494"/>
      <c r="F45" s="46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4.25" customHeight="1" x14ac:dyDescent="0.25">
      <c r="A46" s="398" t="s">
        <v>31</v>
      </c>
      <c r="B46" s="500">
        <f>B43+B45</f>
        <v>108584.03787009203</v>
      </c>
      <c r="C46" s="494"/>
      <c r="D46" s="494"/>
      <c r="E46" s="494"/>
      <c r="F46" s="46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4.25" customHeight="1" x14ac:dyDescent="0.25">
      <c r="A49" s="484" t="s">
        <v>487</v>
      </c>
      <c r="B49" s="48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28.5" customHeight="1" x14ac:dyDescent="0.25">
      <c r="A50" s="518" t="s">
        <v>488</v>
      </c>
      <c r="B50" s="513">
        <f>B46</f>
        <v>108584.03787009203</v>
      </c>
      <c r="C50" s="1"/>
      <c r="F50" s="1"/>
      <c r="G50" s="520" t="s">
        <v>491</v>
      </c>
      <c r="H50" s="363">
        <v>-4.0999999999999996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4.25" customHeight="1" x14ac:dyDescent="0.25">
      <c r="A51" s="519" t="s">
        <v>493</v>
      </c>
      <c r="B51" s="373">
        <v>2913.7</v>
      </c>
      <c r="C51" s="1"/>
      <c r="F51" s="1"/>
      <c r="G51" s="443" t="s">
        <v>495</v>
      </c>
      <c r="H51" s="363">
        <v>6.2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4.25" customHeight="1" x14ac:dyDescent="0.25">
      <c r="A52" s="442" t="s">
        <v>497</v>
      </c>
      <c r="B52" s="363">
        <v>1562.2</v>
      </c>
      <c r="C52" s="1"/>
      <c r="F52" s="1"/>
      <c r="G52" s="522" t="s">
        <v>559</v>
      </c>
      <c r="H52" s="486">
        <f>H50*H51</f>
        <v>-25.419999999999998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4.25" customHeight="1" x14ac:dyDescent="0.25">
      <c r="A53" s="519" t="s">
        <v>500</v>
      </c>
      <c r="B53" s="363">
        <f>H52</f>
        <v>-25.419999999999998</v>
      </c>
      <c r="C53" s="3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4.25" customHeight="1" x14ac:dyDescent="0.25">
      <c r="A54" s="442" t="s">
        <v>503</v>
      </c>
      <c r="B54" s="363">
        <f>E58</f>
        <v>7767.36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4.25" customHeight="1" x14ac:dyDescent="0.25">
      <c r="A55" s="506" t="s">
        <v>505</v>
      </c>
      <c r="B55" s="514">
        <f>B50+B51+B52+B53+B54</f>
        <v>120801.87787009202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31.5" customHeight="1" x14ac:dyDescent="0.25">
      <c r="A56" s="442" t="s">
        <v>508</v>
      </c>
      <c r="B56" s="466">
        <f>Debt!G82</f>
        <v>6599.9484325541916</v>
      </c>
      <c r="C56" s="1"/>
      <c r="D56" s="518" t="s">
        <v>510</v>
      </c>
      <c r="E56" s="363">
        <v>1252.8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4.25" customHeight="1" x14ac:dyDescent="0.25">
      <c r="A57" s="506" t="s">
        <v>512</v>
      </c>
      <c r="B57" s="514">
        <f>B55-B56</f>
        <v>114201.92943753784</v>
      </c>
      <c r="C57" s="1"/>
      <c r="D57" s="518" t="s">
        <v>514</v>
      </c>
      <c r="E57" s="363">
        <v>6.2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4.25" customHeight="1" x14ac:dyDescent="0.25">
      <c r="A58" s="442" t="s">
        <v>516</v>
      </c>
      <c r="B58" s="466">
        <f>Debt!G75</f>
        <v>174.06401099999999</v>
      </c>
      <c r="C58" s="1"/>
      <c r="D58" s="522" t="s">
        <v>517</v>
      </c>
      <c r="E58" s="486">
        <f>E56*E57</f>
        <v>7767.36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4.25" customHeight="1" x14ac:dyDescent="0.25">
      <c r="A59" s="398" t="s">
        <v>32</v>
      </c>
      <c r="B59" s="493">
        <f>B57/B58</f>
        <v>656.0915652893799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4.25" customHeight="1" x14ac:dyDescent="0.25">
      <c r="A62" s="521" t="s">
        <v>32</v>
      </c>
      <c r="B62" s="515">
        <f>B59</f>
        <v>656.0915652893799</v>
      </c>
      <c r="C62" s="3"/>
      <c r="D62" s="3"/>
      <c r="E62" s="3"/>
      <c r="F62" s="3"/>
      <c r="G62" s="524" t="s">
        <v>560</v>
      </c>
      <c r="H62" s="525"/>
      <c r="I62" s="3"/>
      <c r="J62" s="3"/>
      <c r="K62" s="3"/>
    </row>
    <row r="63" spans="1:20" ht="14.25" customHeight="1" x14ac:dyDescent="0.25">
      <c r="A63" s="521" t="s">
        <v>525</v>
      </c>
      <c r="B63" s="516">
        <f>Debt!G76</f>
        <v>319.20999999999998</v>
      </c>
      <c r="C63" s="3"/>
      <c r="F63" s="3"/>
      <c r="G63" s="517" t="s">
        <v>561</v>
      </c>
      <c r="H63" s="464"/>
      <c r="I63" s="3"/>
      <c r="J63" s="3"/>
      <c r="K63" s="3"/>
    </row>
    <row r="64" spans="1:20" ht="14.25" customHeight="1" x14ac:dyDescent="0.2">
      <c r="C64" s="3"/>
      <c r="D64" s="3"/>
      <c r="E64" s="3"/>
      <c r="F64" s="3"/>
      <c r="G64" s="3"/>
      <c r="H64" s="3"/>
      <c r="I64" s="3"/>
      <c r="J64" s="3"/>
      <c r="K64" s="3"/>
    </row>
    <row r="65" spans="1:11" ht="14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4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4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4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4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4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4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4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4.25" customHeight="1" x14ac:dyDescent="0.2">
      <c r="A73" s="3"/>
      <c r="B73" s="3"/>
      <c r="C73" s="3"/>
      <c r="D73" s="3"/>
      <c r="E73" s="3"/>
      <c r="F73" s="3"/>
      <c r="G73" s="3"/>
    </row>
    <row r="74" spans="1:11" ht="14.25" customHeight="1" x14ac:dyDescent="0.2">
      <c r="A74" s="3"/>
      <c r="B74" s="3"/>
    </row>
    <row r="75" spans="1:11" ht="14.25" customHeight="1" x14ac:dyDescent="0.2">
      <c r="A75" s="3"/>
      <c r="B75" s="3"/>
    </row>
    <row r="76" spans="1:11" ht="14.25" customHeight="1" x14ac:dyDescent="0.2">
      <c r="A76" s="3"/>
      <c r="B76" s="3"/>
    </row>
    <row r="77" spans="1:11" ht="14.25" customHeight="1" x14ac:dyDescent="0.2"/>
    <row r="78" spans="1:11" ht="14.25" customHeight="1" x14ac:dyDescent="0.2"/>
    <row r="79" spans="1:11" ht="14.25" customHeight="1" x14ac:dyDescent="0.2"/>
    <row r="80" spans="1:11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7">
    <mergeCell ref="J21:K21"/>
    <mergeCell ref="B29:F29"/>
    <mergeCell ref="B30:F30"/>
    <mergeCell ref="B31:F31"/>
    <mergeCell ref="B46:F46"/>
    <mergeCell ref="A49:B49"/>
    <mergeCell ref="G63:H63"/>
    <mergeCell ref="A11:B11"/>
    <mergeCell ref="D11:E11"/>
    <mergeCell ref="A21:F21"/>
    <mergeCell ref="B32:F32"/>
    <mergeCell ref="A35:F35"/>
    <mergeCell ref="B43:F43"/>
    <mergeCell ref="B44:F44"/>
    <mergeCell ref="B45:F45"/>
    <mergeCell ref="A20:F20"/>
    <mergeCell ref="G62:H62"/>
  </mergeCells>
  <pageMargins left="0.7" right="0.7" top="0.75" bottom="0.75" header="0" footer="0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  <outlinePr summaryBelow="0" summaryRight="0"/>
  </sheetPr>
  <dimension ref="A3:N180"/>
  <sheetViews>
    <sheetView tabSelected="1" workbookViewId="0">
      <selection activeCell="E74" sqref="E74"/>
    </sheetView>
  </sheetViews>
  <sheetFormatPr defaultColWidth="12.625" defaultRowHeight="15" customHeight="1" x14ac:dyDescent="0.2"/>
  <cols>
    <col min="1" max="1" width="19.875" customWidth="1"/>
    <col min="2" max="2" width="33.125" customWidth="1"/>
    <col min="3" max="3" width="17.375" customWidth="1"/>
    <col min="4" max="5" width="11" customWidth="1"/>
    <col min="6" max="6" width="16.625" customWidth="1"/>
    <col min="7" max="7" width="14.625" customWidth="1"/>
    <col min="8" max="8" width="22.625" customWidth="1"/>
    <col min="9" max="9" width="14.5" customWidth="1"/>
    <col min="10" max="10" width="14.375" customWidth="1"/>
    <col min="11" max="11" width="13.25" customWidth="1"/>
    <col min="12" max="12" width="13" customWidth="1"/>
    <col min="13" max="25" width="11" customWidth="1"/>
  </cols>
  <sheetData>
    <row r="3" spans="1:14" ht="15" customHeight="1" x14ac:dyDescent="0.3">
      <c r="A3" s="526"/>
      <c r="B3" s="526"/>
      <c r="C3" s="526"/>
      <c r="D3" s="539" t="s">
        <v>397</v>
      </c>
      <c r="E3" s="540"/>
      <c r="F3" s="540"/>
      <c r="G3" s="526"/>
      <c r="H3" s="526"/>
      <c r="I3" s="526"/>
      <c r="J3" s="526"/>
      <c r="K3" s="526"/>
      <c r="L3" s="526"/>
    </row>
    <row r="4" spans="1:14" x14ac:dyDescent="0.25">
      <c r="A4" s="541" t="s">
        <v>398</v>
      </c>
      <c r="B4" s="541" t="s">
        <v>399</v>
      </c>
      <c r="C4" s="541" t="s">
        <v>400</v>
      </c>
      <c r="D4" s="541" t="s">
        <v>401</v>
      </c>
      <c r="E4" s="541" t="s">
        <v>402</v>
      </c>
      <c r="F4" s="541" t="s">
        <v>403</v>
      </c>
      <c r="G4" s="541" t="s">
        <v>404</v>
      </c>
      <c r="H4" s="541" t="s">
        <v>405</v>
      </c>
      <c r="I4" s="541" t="s">
        <v>406</v>
      </c>
      <c r="J4" s="541" t="s">
        <v>407</v>
      </c>
      <c r="K4" s="541" t="s">
        <v>408</v>
      </c>
      <c r="L4" s="541" t="s">
        <v>409</v>
      </c>
      <c r="M4" s="24"/>
      <c r="N4" s="24"/>
    </row>
    <row r="5" spans="1:14" x14ac:dyDescent="0.25">
      <c r="A5" s="527"/>
      <c r="B5" s="528"/>
      <c r="C5" s="529"/>
      <c r="D5" s="529"/>
      <c r="E5" s="530"/>
      <c r="F5" s="529"/>
      <c r="G5" s="531"/>
      <c r="H5" s="529"/>
      <c r="I5" s="529"/>
      <c r="J5" s="529"/>
      <c r="K5" s="531"/>
      <c r="L5" s="532"/>
      <c r="M5" s="24"/>
      <c r="N5" s="24"/>
    </row>
    <row r="6" spans="1:14" x14ac:dyDescent="0.25">
      <c r="A6" s="542" t="s">
        <v>414</v>
      </c>
      <c r="B6" s="549" t="s">
        <v>320</v>
      </c>
      <c r="C6" s="529">
        <v>3.5416666666666666E-2</v>
      </c>
      <c r="D6" s="529">
        <v>0.42152777777777778</v>
      </c>
      <c r="E6" s="530">
        <v>0</v>
      </c>
      <c r="F6" s="529">
        <v>1.2500000000000001E-2</v>
      </c>
      <c r="G6" s="531">
        <v>2.6208333333333331</v>
      </c>
      <c r="H6" s="529">
        <v>0.30972222222222223</v>
      </c>
      <c r="I6" s="529">
        <v>0.18541666666666667</v>
      </c>
      <c r="J6" s="529">
        <v>0.16805555555555557</v>
      </c>
      <c r="K6" s="531">
        <v>265.41666666666669</v>
      </c>
      <c r="L6" s="532">
        <v>2.1368055555555556</v>
      </c>
      <c r="M6" s="24"/>
      <c r="N6" s="24"/>
    </row>
    <row r="7" spans="1:14" x14ac:dyDescent="0.25">
      <c r="A7" s="542" t="s">
        <v>414</v>
      </c>
      <c r="B7" s="549" t="s">
        <v>204</v>
      </c>
      <c r="C7" s="529">
        <v>6.805555555555555E-2</v>
      </c>
      <c r="D7" s="530" t="s">
        <v>415</v>
      </c>
      <c r="E7" s="531">
        <v>3.2354166666666666</v>
      </c>
      <c r="F7" s="529">
        <v>0.41249999999999998</v>
      </c>
      <c r="G7" s="531">
        <v>2.9618055555555554</v>
      </c>
      <c r="H7" s="529">
        <v>0.52500000000000002</v>
      </c>
      <c r="I7" s="529">
        <v>1.0833333333333333</v>
      </c>
      <c r="J7" s="529">
        <v>0.26597222222222222</v>
      </c>
      <c r="K7" s="531">
        <v>1.3506944444444444</v>
      </c>
      <c r="L7" s="532">
        <v>14.011805555555556</v>
      </c>
      <c r="M7" s="24"/>
      <c r="N7" s="24"/>
    </row>
    <row r="8" spans="1:14" x14ac:dyDescent="0.25">
      <c r="A8" s="542" t="s">
        <v>414</v>
      </c>
      <c r="B8" s="549" t="s">
        <v>419</v>
      </c>
      <c r="C8" s="529">
        <v>5.0694444444444445E-2</v>
      </c>
      <c r="D8" s="529">
        <v>0.8354166666666667</v>
      </c>
      <c r="E8" s="531">
        <v>0.45763888888888887</v>
      </c>
      <c r="F8" s="529">
        <v>0.12777777777777777</v>
      </c>
      <c r="G8" s="531">
        <v>1.0965277777777778</v>
      </c>
      <c r="H8" s="529">
        <v>0.15486111111111112</v>
      </c>
      <c r="I8" s="531">
        <v>0.35416666666666669</v>
      </c>
      <c r="J8" s="529">
        <v>0.17708333333333334</v>
      </c>
      <c r="K8" s="531">
        <v>1004.1666666666666</v>
      </c>
      <c r="L8" s="532">
        <v>4.5451388888888893</v>
      </c>
      <c r="M8" s="24"/>
      <c r="N8" s="24"/>
    </row>
    <row r="9" spans="1:14" x14ac:dyDescent="0.25">
      <c r="A9" s="542" t="s">
        <v>414</v>
      </c>
      <c r="B9" s="549" t="s">
        <v>209</v>
      </c>
      <c r="C9" s="529">
        <v>3.6805555555555557E-2</v>
      </c>
      <c r="D9" s="529">
        <v>1.2069444444444444</v>
      </c>
      <c r="E9" s="530">
        <v>0</v>
      </c>
      <c r="F9" s="529">
        <v>0.46736111111111112</v>
      </c>
      <c r="G9" s="531">
        <v>6.2923611111111111</v>
      </c>
      <c r="H9" s="529">
        <v>0.14652777777777778</v>
      </c>
      <c r="I9" s="529">
        <v>0.34722222222222221</v>
      </c>
      <c r="J9" s="529">
        <v>0.76388888888888884</v>
      </c>
      <c r="K9" s="531">
        <v>29.8</v>
      </c>
      <c r="L9" s="532">
        <v>0.27013888888888887</v>
      </c>
      <c r="M9" s="24"/>
      <c r="N9" s="24"/>
    </row>
    <row r="10" spans="1:14" x14ac:dyDescent="0.25">
      <c r="A10" s="542" t="s">
        <v>414</v>
      </c>
      <c r="B10" s="549" t="s">
        <v>210</v>
      </c>
      <c r="C10" s="530" t="s">
        <v>421</v>
      </c>
      <c r="D10" s="533"/>
      <c r="E10" s="530">
        <v>0</v>
      </c>
      <c r="F10" s="529">
        <v>0.33750000000000002</v>
      </c>
      <c r="G10" s="531">
        <v>3.4472222222222224</v>
      </c>
      <c r="H10" s="534">
        <v>-0.14166666666666666</v>
      </c>
      <c r="I10" s="529">
        <v>1.0763888888888888</v>
      </c>
      <c r="J10" s="529">
        <v>1.8402777777777777</v>
      </c>
      <c r="K10" s="531">
        <v>3.1430555555555557</v>
      </c>
      <c r="L10" s="535">
        <v>0.18333333333333332</v>
      </c>
      <c r="M10" s="24"/>
      <c r="N10" s="24"/>
    </row>
    <row r="11" spans="1:14" x14ac:dyDescent="0.25">
      <c r="A11" s="542" t="s">
        <v>414</v>
      </c>
      <c r="B11" s="549" t="s">
        <v>211</v>
      </c>
      <c r="C11" s="529">
        <v>4.5138888888888888E-2</v>
      </c>
      <c r="D11" s="531">
        <v>12.415277777777778</v>
      </c>
      <c r="E11" s="530">
        <v>0</v>
      </c>
      <c r="F11" s="529">
        <v>1.5277777777777777E-2</v>
      </c>
      <c r="G11" s="531">
        <v>0.65694444444444444</v>
      </c>
      <c r="H11" s="531">
        <v>1.8749999999999999E-2</v>
      </c>
      <c r="I11" s="531">
        <v>0.78472222222222221</v>
      </c>
      <c r="J11" s="531">
        <v>1.2986111111111112</v>
      </c>
      <c r="K11" s="531">
        <v>11.1</v>
      </c>
      <c r="L11" s="535">
        <v>1.0618055555555554</v>
      </c>
      <c r="M11" s="24"/>
      <c r="N11" s="24"/>
    </row>
    <row r="12" spans="1:14" x14ac:dyDescent="0.25">
      <c r="A12" s="542" t="s">
        <v>414</v>
      </c>
      <c r="B12" s="549" t="s">
        <v>212</v>
      </c>
      <c r="C12" s="529">
        <v>6.3194444444444442E-2</v>
      </c>
      <c r="D12" s="530" t="s">
        <v>424</v>
      </c>
      <c r="E12" s="530">
        <v>0</v>
      </c>
      <c r="F12" s="529">
        <v>1.6576388888888889</v>
      </c>
      <c r="G12" s="529">
        <v>5.1520833333333336</v>
      </c>
      <c r="H12" s="529">
        <v>0.1875</v>
      </c>
      <c r="I12" s="529">
        <v>0.83333333333333337</v>
      </c>
      <c r="J12" s="531">
        <v>0.96527777777777779</v>
      </c>
      <c r="K12" s="531">
        <v>22.232638888888889</v>
      </c>
      <c r="L12" s="532">
        <v>0.35069444444444442</v>
      </c>
      <c r="M12" s="24"/>
      <c r="N12" s="24"/>
    </row>
    <row r="13" spans="1:14" x14ac:dyDescent="0.25">
      <c r="A13" s="542" t="s">
        <v>414</v>
      </c>
      <c r="B13" s="549" t="s">
        <v>214</v>
      </c>
      <c r="C13" s="529">
        <v>0.10347222222222222</v>
      </c>
      <c r="D13" s="527"/>
      <c r="E13" s="530">
        <v>0</v>
      </c>
      <c r="F13" s="531">
        <v>3.2006944444444443</v>
      </c>
      <c r="G13" s="533"/>
      <c r="H13" s="534">
        <v>-0.42499999999999999</v>
      </c>
      <c r="I13" s="529">
        <v>1.0833333333333333</v>
      </c>
      <c r="J13" s="529">
        <v>3.0138888888888888</v>
      </c>
      <c r="K13" s="531">
        <v>12.723611111111111</v>
      </c>
      <c r="L13" s="535">
        <v>0.95694444444444449</v>
      </c>
      <c r="M13" s="24"/>
      <c r="N13" s="24"/>
    </row>
    <row r="14" spans="1:14" x14ac:dyDescent="0.25">
      <c r="A14" s="542" t="s">
        <v>414</v>
      </c>
      <c r="B14" s="549" t="s">
        <v>217</v>
      </c>
      <c r="C14" s="529">
        <v>7.013888888888889E-2</v>
      </c>
      <c r="D14" s="529">
        <v>0.41041666666666665</v>
      </c>
      <c r="E14" s="530">
        <v>0</v>
      </c>
      <c r="F14" s="531">
        <v>9.0972222222222218E-2</v>
      </c>
      <c r="G14" s="534">
        <v>-1.3805555555555555</v>
      </c>
      <c r="H14" s="531">
        <v>0.15347222222222223</v>
      </c>
      <c r="I14" s="531">
        <v>0.70138888888888884</v>
      </c>
      <c r="J14" s="531">
        <v>0.3888888888888889</v>
      </c>
      <c r="K14" s="531">
        <v>118.75</v>
      </c>
      <c r="L14" s="535">
        <v>1.0166666666666666</v>
      </c>
      <c r="M14" s="24"/>
      <c r="N14" s="24"/>
    </row>
    <row r="15" spans="1:14" x14ac:dyDescent="0.25">
      <c r="A15" s="542" t="s">
        <v>414</v>
      </c>
      <c r="B15" s="549" t="s">
        <v>219</v>
      </c>
      <c r="C15" s="529">
        <v>0.10833333333333334</v>
      </c>
      <c r="D15" s="536"/>
      <c r="E15" s="530">
        <v>0</v>
      </c>
      <c r="F15" s="529">
        <v>2.5694444444444443E-2</v>
      </c>
      <c r="G15" s="531">
        <v>1.9506944444444445</v>
      </c>
      <c r="H15" s="534">
        <v>-0.37430555555555556</v>
      </c>
      <c r="I15" s="529">
        <v>0.85416666666666663</v>
      </c>
      <c r="J15" s="529">
        <v>12.256944444444445</v>
      </c>
      <c r="K15" s="531">
        <v>6.5847222222222221</v>
      </c>
      <c r="L15" s="532">
        <v>1.2625</v>
      </c>
      <c r="M15" s="24"/>
      <c r="N15" s="24"/>
    </row>
    <row r="16" spans="1:14" x14ac:dyDescent="0.25">
      <c r="A16" s="542" t="s">
        <v>414</v>
      </c>
      <c r="B16" s="549" t="s">
        <v>220</v>
      </c>
      <c r="C16" s="529">
        <v>9.0972222222222218E-2</v>
      </c>
      <c r="D16" s="527"/>
      <c r="E16" s="530">
        <v>0</v>
      </c>
      <c r="F16" s="536"/>
      <c r="G16" s="534">
        <v>-2.3479166666666669</v>
      </c>
      <c r="H16" s="534">
        <v>-0.43263888888888891</v>
      </c>
      <c r="I16" s="529">
        <v>0.4861111111111111</v>
      </c>
      <c r="J16" s="530" t="s">
        <v>428</v>
      </c>
      <c r="K16" s="531">
        <v>0.1875</v>
      </c>
      <c r="L16" s="532">
        <v>0.12430555555555556</v>
      </c>
      <c r="M16" s="24"/>
      <c r="N16" s="24"/>
    </row>
    <row r="17" spans="1:14" x14ac:dyDescent="0.25">
      <c r="A17" s="542" t="s">
        <v>414</v>
      </c>
      <c r="B17" s="549" t="s">
        <v>222</v>
      </c>
      <c r="C17" s="529">
        <v>5.4166666666666669E-2</v>
      </c>
      <c r="D17" s="529">
        <v>0.68680555555555556</v>
      </c>
      <c r="E17" s="529">
        <v>0.5395833333333333</v>
      </c>
      <c r="F17" s="529">
        <v>0.33819444444444446</v>
      </c>
      <c r="G17" s="531">
        <v>0.94722222222222219</v>
      </c>
      <c r="H17" s="537"/>
      <c r="I17" s="536"/>
      <c r="J17" s="529">
        <v>0.71527777777777779</v>
      </c>
      <c r="K17" s="529">
        <v>2795.4166666666665</v>
      </c>
      <c r="L17" s="536"/>
      <c r="M17" s="24"/>
      <c r="N17" s="24"/>
    </row>
    <row r="18" spans="1:14" x14ac:dyDescent="0.25">
      <c r="A18" s="542" t="s">
        <v>414</v>
      </c>
      <c r="B18" s="549" t="s">
        <v>225</v>
      </c>
      <c r="C18" s="529">
        <v>8.1944444444444445E-2</v>
      </c>
      <c r="D18" s="536"/>
      <c r="E18" s="530">
        <v>0</v>
      </c>
      <c r="F18" s="536"/>
      <c r="G18" s="534">
        <v>-4.0590277777777777</v>
      </c>
      <c r="H18" s="534">
        <v>-0.58819444444444446</v>
      </c>
      <c r="I18" s="529">
        <v>0.6875</v>
      </c>
      <c r="J18" s="536"/>
      <c r="K18" s="531">
        <v>0.34097222222222223</v>
      </c>
      <c r="L18" s="535">
        <v>0.26597222222222222</v>
      </c>
      <c r="M18" s="24"/>
      <c r="N18" s="24"/>
    </row>
    <row r="19" spans="1:14" x14ac:dyDescent="0.25">
      <c r="A19" s="542" t="s">
        <v>414</v>
      </c>
      <c r="B19" s="549" t="s">
        <v>227</v>
      </c>
      <c r="C19" s="529">
        <v>9.8611111111111108E-2</v>
      </c>
      <c r="D19" s="527"/>
      <c r="E19" s="530">
        <v>0</v>
      </c>
      <c r="F19" s="529">
        <v>1.7361111111111112E-2</v>
      </c>
      <c r="G19" s="531">
        <v>0.72083333333333333</v>
      </c>
      <c r="H19" s="534">
        <v>-0.3125</v>
      </c>
      <c r="I19" s="529">
        <v>0.85416666666666663</v>
      </c>
      <c r="J19" s="531">
        <v>1.4861111111111112</v>
      </c>
      <c r="K19" s="529">
        <v>0.25624999999999998</v>
      </c>
      <c r="L19" s="535">
        <v>6.5972222222222224E-2</v>
      </c>
      <c r="M19" s="24"/>
      <c r="N19" s="24"/>
    </row>
    <row r="20" spans="1:14" x14ac:dyDescent="0.25">
      <c r="A20" s="542" t="s">
        <v>414</v>
      </c>
      <c r="B20" s="549" t="s">
        <v>229</v>
      </c>
      <c r="C20" s="529">
        <v>4.2361111111111113E-2</v>
      </c>
      <c r="D20" s="527"/>
      <c r="E20" s="530">
        <v>0</v>
      </c>
      <c r="F20" s="536"/>
      <c r="G20" s="534">
        <v>-0.28819444444444442</v>
      </c>
      <c r="H20" s="534">
        <v>-7.0833333333333331E-2</v>
      </c>
      <c r="I20" s="529">
        <v>0.25</v>
      </c>
      <c r="J20" s="531">
        <v>1.3333333333333333</v>
      </c>
      <c r="K20" s="529">
        <v>0.42916666666666664</v>
      </c>
      <c r="L20" s="535">
        <v>9.166666666666666E-2</v>
      </c>
      <c r="M20" s="24"/>
      <c r="N20" s="24"/>
    </row>
    <row r="21" spans="1:14" x14ac:dyDescent="0.25">
      <c r="A21" s="542" t="s">
        <v>414</v>
      </c>
      <c r="B21" s="549" t="s">
        <v>231</v>
      </c>
      <c r="C21" s="536"/>
      <c r="D21" s="527"/>
      <c r="E21" s="530">
        <v>0</v>
      </c>
      <c r="F21" s="527"/>
      <c r="G21" s="534">
        <v>-5.3784722222222223</v>
      </c>
      <c r="H21" s="534">
        <v>-0.19791666666666666</v>
      </c>
      <c r="I21" s="536"/>
      <c r="J21" s="533"/>
      <c r="K21" s="529">
        <v>1.5097222222222222</v>
      </c>
      <c r="L21" s="535">
        <v>10.670138888888889</v>
      </c>
      <c r="M21" s="24"/>
      <c r="N21" s="24"/>
    </row>
    <row r="22" spans="1:14" x14ac:dyDescent="0.25">
      <c r="A22" s="542" t="s">
        <v>414</v>
      </c>
      <c r="B22" s="549" t="s">
        <v>232</v>
      </c>
      <c r="C22" s="529">
        <v>8.7499999999999994E-2</v>
      </c>
      <c r="D22" s="527"/>
      <c r="E22" s="530">
        <v>0</v>
      </c>
      <c r="F22" s="530" t="s">
        <v>301</v>
      </c>
      <c r="G22" s="531">
        <v>5.1388888888888887E-2</v>
      </c>
      <c r="H22" s="534">
        <v>-0.7993055555555556</v>
      </c>
      <c r="I22" s="527"/>
      <c r="J22" s="529">
        <v>0.40972222222222221</v>
      </c>
      <c r="K22" s="531">
        <v>9.3680555555555554</v>
      </c>
      <c r="L22" s="533"/>
      <c r="M22" s="24"/>
      <c r="N22" s="24"/>
    </row>
    <row r="23" spans="1:14" x14ac:dyDescent="0.25">
      <c r="A23" s="542" t="s">
        <v>414</v>
      </c>
      <c r="B23" s="549" t="s">
        <v>234</v>
      </c>
      <c r="C23" s="529">
        <v>0.10902777777777778</v>
      </c>
      <c r="D23" s="529">
        <v>0.1701388888888889</v>
      </c>
      <c r="E23" s="530">
        <v>0</v>
      </c>
      <c r="F23" s="527"/>
      <c r="G23" s="534">
        <v>-0.17708333333333334</v>
      </c>
      <c r="H23" s="531">
        <v>0.24027777777777778</v>
      </c>
      <c r="I23" s="529">
        <v>9.7222222222222224E-2</v>
      </c>
      <c r="J23" s="529">
        <v>0.18055555555555555</v>
      </c>
      <c r="K23" s="531">
        <v>0.79861111111111116</v>
      </c>
      <c r="L23" s="535">
        <v>0.53611111111111109</v>
      </c>
      <c r="M23" s="24"/>
      <c r="N23" s="24"/>
    </row>
    <row r="24" spans="1:14" x14ac:dyDescent="0.25">
      <c r="A24" s="542" t="s">
        <v>414</v>
      </c>
      <c r="B24" s="549" t="s">
        <v>235</v>
      </c>
      <c r="C24" s="529">
        <v>5.6250000000000001E-2</v>
      </c>
      <c r="D24" s="536"/>
      <c r="E24" s="530">
        <v>0</v>
      </c>
      <c r="F24" s="529">
        <v>1.3194444444444444E-2</v>
      </c>
      <c r="G24" s="531">
        <v>1.2180555555555554</v>
      </c>
      <c r="H24" s="534">
        <v>-0.21249999999999999</v>
      </c>
      <c r="I24" s="529">
        <v>0.65277777777777779</v>
      </c>
      <c r="J24" s="529">
        <v>1.3125</v>
      </c>
      <c r="K24" s="529">
        <v>1.3374999999999999</v>
      </c>
      <c r="L24" s="535">
        <v>3.276388888888889</v>
      </c>
      <c r="M24" s="24"/>
      <c r="N24" s="24"/>
    </row>
    <row r="25" spans="1:14" x14ac:dyDescent="0.25">
      <c r="A25" s="542" t="s">
        <v>414</v>
      </c>
      <c r="B25" s="549" t="s">
        <v>238</v>
      </c>
      <c r="C25" s="529">
        <v>6.0416666666666667E-2</v>
      </c>
      <c r="D25" s="527"/>
      <c r="E25" s="530">
        <v>0</v>
      </c>
      <c r="F25" s="536"/>
      <c r="G25" s="531">
        <v>0.62569444444444444</v>
      </c>
      <c r="H25" s="534">
        <v>-0.30138888888888887</v>
      </c>
      <c r="I25" s="529">
        <v>0.15972222222222221</v>
      </c>
      <c r="J25" s="531">
        <v>32.743055555555557</v>
      </c>
      <c r="K25" s="531">
        <v>0.20694444444444443</v>
      </c>
      <c r="L25" s="532">
        <v>0.54861111111111116</v>
      </c>
      <c r="M25" s="24"/>
      <c r="N25" s="24"/>
    </row>
    <row r="26" spans="1:14" x14ac:dyDescent="0.25">
      <c r="A26" s="542" t="s">
        <v>414</v>
      </c>
      <c r="B26" s="549" t="s">
        <v>239</v>
      </c>
      <c r="C26" s="529">
        <v>0.1076388888888889</v>
      </c>
      <c r="D26" s="527"/>
      <c r="E26" s="530">
        <v>0</v>
      </c>
      <c r="F26" s="529">
        <v>5.2083333333333336E-2</v>
      </c>
      <c r="G26" s="529">
        <v>1.08125</v>
      </c>
      <c r="H26" s="534">
        <v>-0.53888888888888886</v>
      </c>
      <c r="I26" s="529">
        <v>0.34027777777777779</v>
      </c>
      <c r="J26" s="533"/>
      <c r="K26" s="529">
        <v>0.34652777777777777</v>
      </c>
      <c r="L26" s="535">
        <v>0.25694444444444442</v>
      </c>
      <c r="M26" s="24"/>
      <c r="N26" s="24"/>
    </row>
    <row r="27" spans="1:14" x14ac:dyDescent="0.25">
      <c r="A27" s="542" t="s">
        <v>414</v>
      </c>
      <c r="B27" s="549" t="s">
        <v>240</v>
      </c>
      <c r="C27" s="529">
        <v>0.11041666666666666</v>
      </c>
      <c r="D27" s="527"/>
      <c r="E27" s="530">
        <v>0</v>
      </c>
      <c r="F27" s="536"/>
      <c r="G27" s="531">
        <v>1.5638888888888889</v>
      </c>
      <c r="H27" s="533"/>
      <c r="I27" s="529">
        <v>0.58333333333333337</v>
      </c>
      <c r="J27" s="531">
        <v>2.6944444444444446</v>
      </c>
      <c r="K27" s="529">
        <v>1.2138888888888888</v>
      </c>
      <c r="L27" s="535">
        <v>0.46388888888888891</v>
      </c>
      <c r="M27" s="24"/>
      <c r="N27" s="24"/>
    </row>
    <row r="28" spans="1:14" x14ac:dyDescent="0.25">
      <c r="A28" s="542" t="s">
        <v>414</v>
      </c>
      <c r="B28" s="549" t="s">
        <v>242</v>
      </c>
      <c r="C28" s="529">
        <v>7.9166666666666663E-2</v>
      </c>
      <c r="D28" s="529">
        <v>0.14722222222222223</v>
      </c>
      <c r="E28" s="530">
        <v>0</v>
      </c>
      <c r="F28" s="527"/>
      <c r="G28" s="534">
        <v>-4.9284722222222221</v>
      </c>
      <c r="H28" s="529">
        <v>0.45347222222222222</v>
      </c>
      <c r="I28" s="529">
        <v>0.13194444444444445</v>
      </c>
      <c r="J28" s="531">
        <v>0.54166666666666663</v>
      </c>
      <c r="K28" s="531">
        <v>1.1805555555555555E-2</v>
      </c>
      <c r="L28" s="535">
        <v>1.3194444444444444E-2</v>
      </c>
      <c r="M28" s="24"/>
      <c r="N28" s="24"/>
    </row>
    <row r="29" spans="1:14" x14ac:dyDescent="0.25">
      <c r="A29" s="542" t="s">
        <v>414</v>
      </c>
      <c r="B29" s="549" t="s">
        <v>243</v>
      </c>
      <c r="C29" s="529">
        <v>0.12569444444444444</v>
      </c>
      <c r="D29" s="536"/>
      <c r="E29" s="530">
        <v>0</v>
      </c>
      <c r="F29" s="527"/>
      <c r="G29" s="534">
        <v>-4.7486111111111109</v>
      </c>
      <c r="H29" s="534">
        <v>-0.53541666666666665</v>
      </c>
      <c r="I29" s="529">
        <v>0.59027777777777779</v>
      </c>
      <c r="J29" s="536"/>
      <c r="K29" s="529">
        <v>2.9166666666666667E-2</v>
      </c>
      <c r="L29" s="535">
        <v>0.10902777777777778</v>
      </c>
      <c r="M29" s="24"/>
      <c r="N29" s="24"/>
    </row>
    <row r="30" spans="1:14" x14ac:dyDescent="0.25">
      <c r="A30" s="542" t="s">
        <v>414</v>
      </c>
      <c r="B30" s="549" t="s">
        <v>245</v>
      </c>
      <c r="C30" s="529">
        <v>9.3055555555555558E-2</v>
      </c>
      <c r="D30" s="527"/>
      <c r="E30" s="530">
        <v>0</v>
      </c>
      <c r="F30" s="527"/>
      <c r="G30" s="531">
        <v>3.90625</v>
      </c>
      <c r="H30" s="534">
        <v>-0.6</v>
      </c>
      <c r="I30" s="529">
        <v>0.84722222222222221</v>
      </c>
      <c r="J30" s="527"/>
      <c r="K30" s="529">
        <v>1.2500000000000001E-2</v>
      </c>
      <c r="L30" s="535">
        <v>0.10694444444444444</v>
      </c>
      <c r="M30" s="24"/>
      <c r="N30" s="24"/>
    </row>
    <row r="31" spans="1:14" x14ac:dyDescent="0.25">
      <c r="A31" s="542" t="s">
        <v>414</v>
      </c>
      <c r="B31" s="549" t="s">
        <v>246</v>
      </c>
      <c r="C31" s="536"/>
      <c r="D31" s="529">
        <v>8.4027777777777785E-2</v>
      </c>
      <c r="E31" s="530">
        <v>0</v>
      </c>
      <c r="F31" s="527"/>
      <c r="G31" s="531">
        <v>4.2902777777777779</v>
      </c>
      <c r="H31" s="537"/>
      <c r="I31" s="529">
        <v>0.34027777777777779</v>
      </c>
      <c r="J31" s="529">
        <v>0.4513888888888889</v>
      </c>
      <c r="K31" s="529">
        <v>0.52430555555555558</v>
      </c>
      <c r="L31" s="535">
        <v>0.19166666666666668</v>
      </c>
      <c r="M31" s="24"/>
      <c r="N31" s="24"/>
    </row>
    <row r="32" spans="1:14" x14ac:dyDescent="0.25">
      <c r="A32" s="542" t="s">
        <v>414</v>
      </c>
      <c r="B32" s="549" t="s">
        <v>248</v>
      </c>
      <c r="C32" s="529">
        <v>4.2361111111111113E-2</v>
      </c>
      <c r="D32" s="536"/>
      <c r="E32" s="530">
        <v>0</v>
      </c>
      <c r="F32" s="527"/>
      <c r="G32" s="534">
        <v>-2.8638888888888889</v>
      </c>
      <c r="H32" s="534">
        <v>-0.49375000000000002</v>
      </c>
      <c r="I32" s="529">
        <v>0.3125</v>
      </c>
      <c r="J32" s="529">
        <v>1.2777777777777777</v>
      </c>
      <c r="K32" s="536"/>
      <c r="L32" s="536"/>
      <c r="M32" s="24"/>
      <c r="N32" s="24"/>
    </row>
    <row r="33" spans="1:14" x14ac:dyDescent="0.25">
      <c r="A33" s="542" t="s">
        <v>414</v>
      </c>
      <c r="B33" s="549" t="s">
        <v>253</v>
      </c>
      <c r="C33" s="529">
        <v>8.7499999999999994E-2</v>
      </c>
      <c r="D33" s="527"/>
      <c r="E33" s="530">
        <v>0</v>
      </c>
      <c r="F33" s="527"/>
      <c r="G33" s="531">
        <v>0.66249999999999998</v>
      </c>
      <c r="H33" s="534">
        <v>-4.3749999999999997E-2</v>
      </c>
      <c r="I33" s="529">
        <v>0.375</v>
      </c>
      <c r="J33" s="533"/>
      <c r="K33" s="529">
        <v>0.22013888888888888</v>
      </c>
      <c r="L33" s="535">
        <v>0.50486111111111109</v>
      </c>
      <c r="M33" s="24"/>
      <c r="N33" s="24"/>
    </row>
    <row r="34" spans="1:14" x14ac:dyDescent="0.25">
      <c r="A34" s="542" t="s">
        <v>414</v>
      </c>
      <c r="B34" s="549" t="s">
        <v>254</v>
      </c>
      <c r="C34" s="536"/>
      <c r="D34" s="527"/>
      <c r="E34" s="530">
        <v>0</v>
      </c>
      <c r="F34" s="527"/>
      <c r="G34" s="529">
        <v>0.58402777777777781</v>
      </c>
      <c r="H34" s="534">
        <v>-0.35625000000000001</v>
      </c>
      <c r="I34" s="529">
        <v>0.50694444444444442</v>
      </c>
      <c r="J34" s="527"/>
      <c r="K34" s="529">
        <v>1.3555555555555556</v>
      </c>
      <c r="L34" s="535">
        <v>3.1375000000000002</v>
      </c>
      <c r="M34" s="24"/>
      <c r="N34" s="24"/>
    </row>
    <row r="35" spans="1:14" x14ac:dyDescent="0.25">
      <c r="A35" s="542" t="s">
        <v>414</v>
      </c>
      <c r="B35" s="549" t="s">
        <v>255</v>
      </c>
      <c r="C35" s="529">
        <v>5.6944444444444443E-2</v>
      </c>
      <c r="D35" s="527"/>
      <c r="E35" s="530">
        <v>0</v>
      </c>
      <c r="F35" s="527"/>
      <c r="G35" s="529">
        <v>1.8020833333333333</v>
      </c>
      <c r="H35" s="537"/>
      <c r="I35" s="536"/>
      <c r="J35" s="531">
        <v>8</v>
      </c>
      <c r="K35" s="531">
        <v>13.852777777777778</v>
      </c>
      <c r="L35" s="533"/>
      <c r="M35" s="24"/>
      <c r="N35" s="24"/>
    </row>
    <row r="36" spans="1:14" x14ac:dyDescent="0.25">
      <c r="A36" s="542" t="s">
        <v>414</v>
      </c>
      <c r="B36" s="549" t="s">
        <v>256</v>
      </c>
      <c r="C36" s="529">
        <v>0.11666666666666667</v>
      </c>
      <c r="D36" s="527"/>
      <c r="E36" s="530">
        <v>0</v>
      </c>
      <c r="F36" s="527"/>
      <c r="G36" s="534">
        <v>-2.5736111111111111</v>
      </c>
      <c r="H36" s="534">
        <v>-0.6694444444444444</v>
      </c>
      <c r="I36" s="529">
        <v>0.47916666666666669</v>
      </c>
      <c r="J36" s="533"/>
      <c r="K36" s="531">
        <v>9.6527777777777782E-2</v>
      </c>
      <c r="L36" s="529">
        <v>5.6944444444444443E-2</v>
      </c>
      <c r="M36" s="24"/>
      <c r="N36" s="24"/>
    </row>
    <row r="37" spans="1:14" x14ac:dyDescent="0.25">
      <c r="A37" s="542" t="s">
        <v>414</v>
      </c>
      <c r="B37" s="549" t="s">
        <v>258</v>
      </c>
      <c r="C37" s="529">
        <v>9.375E-2</v>
      </c>
      <c r="D37" s="527"/>
      <c r="E37" s="530">
        <v>0</v>
      </c>
      <c r="F37" s="527"/>
      <c r="G37" s="531">
        <v>3.7694444444444444</v>
      </c>
      <c r="H37" s="534">
        <v>-0.30833333333333335</v>
      </c>
      <c r="I37" s="529">
        <v>0.53472222222222221</v>
      </c>
      <c r="J37" s="531">
        <v>9.0416666666666661</v>
      </c>
      <c r="K37" s="529">
        <v>1.1479166666666667</v>
      </c>
      <c r="L37" s="530">
        <v>11</v>
      </c>
      <c r="M37" s="24"/>
      <c r="N37" s="24"/>
    </row>
    <row r="38" spans="1:14" x14ac:dyDescent="0.25">
      <c r="A38" s="542" t="s">
        <v>414</v>
      </c>
      <c r="B38" s="549" t="s">
        <v>260</v>
      </c>
      <c r="C38" s="536"/>
      <c r="D38" s="527"/>
      <c r="E38" s="530">
        <v>0</v>
      </c>
      <c r="F38" s="527"/>
      <c r="G38" s="534">
        <v>-4.6631944444444446</v>
      </c>
      <c r="H38" s="534">
        <v>-0.37430555555555556</v>
      </c>
      <c r="I38" s="529">
        <v>0.4236111111111111</v>
      </c>
      <c r="J38" s="533"/>
      <c r="K38" s="531">
        <v>0.88749999999999996</v>
      </c>
      <c r="L38" s="531">
        <v>1.7319444444444445</v>
      </c>
      <c r="M38" s="24"/>
      <c r="N38" s="24"/>
    </row>
    <row r="39" spans="1:14" x14ac:dyDescent="0.25">
      <c r="A39" s="542" t="s">
        <v>414</v>
      </c>
      <c r="B39" s="549" t="s">
        <v>262</v>
      </c>
      <c r="C39" s="529">
        <v>0.11458333333333333</v>
      </c>
      <c r="D39" s="527"/>
      <c r="E39" s="530">
        <v>0</v>
      </c>
      <c r="F39" s="527"/>
      <c r="G39" s="534">
        <v>-4.9249999999999998</v>
      </c>
      <c r="H39" s="534">
        <v>-0.42916666666666664</v>
      </c>
      <c r="I39" s="529">
        <v>0.61111111111111116</v>
      </c>
      <c r="J39" s="529">
        <v>0.81944444444444442</v>
      </c>
      <c r="K39" s="529">
        <v>0.78819444444444442</v>
      </c>
      <c r="L39" s="531">
        <v>1.4805555555555556</v>
      </c>
      <c r="M39" s="24"/>
      <c r="N39" s="24"/>
    </row>
    <row r="40" spans="1:14" x14ac:dyDescent="0.25">
      <c r="A40" s="542" t="s">
        <v>414</v>
      </c>
      <c r="B40" s="549" t="s">
        <v>265</v>
      </c>
      <c r="C40" s="529">
        <v>0.11458333333333333</v>
      </c>
      <c r="D40" s="527"/>
      <c r="E40" s="530">
        <v>0</v>
      </c>
      <c r="F40" s="527"/>
      <c r="G40" s="534">
        <v>-2.7215277777777778</v>
      </c>
      <c r="H40" s="534">
        <v>-0.35208333333333336</v>
      </c>
      <c r="I40" s="529">
        <v>0.59027777777777779</v>
      </c>
      <c r="J40" s="536"/>
      <c r="K40" s="529">
        <v>6.3194444444444442E-2</v>
      </c>
      <c r="L40" s="530" t="s">
        <v>301</v>
      </c>
      <c r="M40" s="24"/>
      <c r="N40" s="24"/>
    </row>
    <row r="41" spans="1:14" x14ac:dyDescent="0.25">
      <c r="A41" s="542" t="s">
        <v>414</v>
      </c>
      <c r="B41" s="549" t="s">
        <v>267</v>
      </c>
      <c r="C41" s="530" t="s">
        <v>444</v>
      </c>
      <c r="D41" s="527"/>
      <c r="E41" s="530">
        <v>0</v>
      </c>
      <c r="F41" s="527"/>
      <c r="G41" s="534">
        <v>-5.8986111111111112</v>
      </c>
      <c r="H41" s="534">
        <v>-0.71180555555555558</v>
      </c>
      <c r="I41" s="536"/>
      <c r="J41" s="529">
        <v>0.61805555555555558</v>
      </c>
      <c r="K41" s="529">
        <v>0.18194444444444444</v>
      </c>
      <c r="L41" s="527"/>
      <c r="M41" s="24"/>
      <c r="N41" s="24"/>
    </row>
    <row r="42" spans="1:14" x14ac:dyDescent="0.25">
      <c r="A42" s="542" t="s">
        <v>414</v>
      </c>
      <c r="B42" s="549" t="s">
        <v>271</v>
      </c>
      <c r="C42" s="529">
        <v>7.7083333333333337E-2</v>
      </c>
      <c r="D42" s="529">
        <v>6.8750000000000006E-2</v>
      </c>
      <c r="E42" s="530">
        <v>0</v>
      </c>
      <c r="F42" s="527"/>
      <c r="G42" s="531">
        <v>4.1513888888888886</v>
      </c>
      <c r="H42" s="531">
        <v>0.51249999999999996</v>
      </c>
      <c r="I42" s="529">
        <v>0.55555555555555558</v>
      </c>
      <c r="J42" s="536"/>
      <c r="K42" s="536"/>
      <c r="L42" s="527"/>
      <c r="M42" s="24"/>
      <c r="N42" s="24"/>
    </row>
    <row r="43" spans="1:14" x14ac:dyDescent="0.25">
      <c r="A43" s="542" t="s">
        <v>414</v>
      </c>
      <c r="B43" s="549" t="s">
        <v>272</v>
      </c>
      <c r="C43" s="529">
        <v>0.10486111111111111</v>
      </c>
      <c r="D43" s="536"/>
      <c r="E43" s="530">
        <v>0</v>
      </c>
      <c r="F43" s="527"/>
      <c r="G43" s="534">
        <v>-3.1701388888888888</v>
      </c>
      <c r="H43" s="534">
        <v>-0.31319444444444444</v>
      </c>
      <c r="I43" s="529">
        <v>0.76388888888888884</v>
      </c>
      <c r="J43" s="529">
        <v>0.79861111111111116</v>
      </c>
      <c r="K43" s="531">
        <v>1.4020833333333333</v>
      </c>
      <c r="L43" s="531">
        <v>1.76875</v>
      </c>
      <c r="M43" s="24"/>
      <c r="N43" s="24"/>
    </row>
    <row r="44" spans="1:14" x14ac:dyDescent="0.25">
      <c r="A44" s="542" t="s">
        <v>414</v>
      </c>
      <c r="B44" s="549" t="s">
        <v>275</v>
      </c>
      <c r="C44" s="534">
        <v>-2.7777777777777779E-3</v>
      </c>
      <c r="D44" s="527"/>
      <c r="E44" s="530">
        <v>0</v>
      </c>
      <c r="F44" s="527"/>
      <c r="G44" s="534">
        <v>-3.1909722222222223</v>
      </c>
      <c r="H44" s="534">
        <v>-0.79166666666666663</v>
      </c>
      <c r="I44" s="536"/>
      <c r="J44" s="536"/>
      <c r="K44" s="531">
        <v>0.17916666666666667</v>
      </c>
      <c r="L44" s="533"/>
      <c r="M44" s="24"/>
      <c r="N44" s="24"/>
    </row>
    <row r="45" spans="1:14" x14ac:dyDescent="0.25">
      <c r="A45" s="542" t="s">
        <v>414</v>
      </c>
      <c r="B45" s="549" t="s">
        <v>279</v>
      </c>
      <c r="C45" s="531">
        <v>7.1527777777777773E-2</v>
      </c>
      <c r="D45" s="527"/>
      <c r="E45" s="530">
        <v>0</v>
      </c>
      <c r="F45" s="527"/>
      <c r="G45" s="534">
        <v>-0.45624999999999999</v>
      </c>
      <c r="H45" s="534">
        <v>-0.62569444444444444</v>
      </c>
      <c r="I45" s="531">
        <v>1.0972222222222223</v>
      </c>
      <c r="J45" s="527"/>
      <c r="K45" s="536"/>
      <c r="L45" s="527"/>
      <c r="M45" s="24"/>
      <c r="N45" s="24"/>
    </row>
    <row r="46" spans="1:14" x14ac:dyDescent="0.25">
      <c r="A46" s="542" t="s">
        <v>414</v>
      </c>
      <c r="B46" s="549" t="s">
        <v>282</v>
      </c>
      <c r="C46" s="529">
        <v>8.611111111111111E-2</v>
      </c>
      <c r="D46" s="527"/>
      <c r="E46" s="530">
        <v>0</v>
      </c>
      <c r="F46" s="530" t="s">
        <v>447</v>
      </c>
      <c r="G46" s="534">
        <v>-0.95347222222222228</v>
      </c>
      <c r="H46" s="534">
        <v>-7.5694444444444439E-2</v>
      </c>
      <c r="I46" s="531">
        <v>0.70138888888888884</v>
      </c>
      <c r="J46" s="527"/>
      <c r="K46" s="529">
        <v>0.40833333333333333</v>
      </c>
      <c r="L46" s="529">
        <v>1.5277777777777777E-2</v>
      </c>
      <c r="M46" s="24"/>
      <c r="N46" s="24"/>
    </row>
    <row r="47" spans="1:14" x14ac:dyDescent="0.25">
      <c r="A47" s="542" t="s">
        <v>414</v>
      </c>
      <c r="B47" s="549" t="s">
        <v>286</v>
      </c>
      <c r="C47" s="529">
        <v>9.375E-2</v>
      </c>
      <c r="D47" s="527"/>
      <c r="E47" s="530">
        <v>0</v>
      </c>
      <c r="F47" s="534">
        <v>-0.66388888888888886</v>
      </c>
      <c r="G47" s="531">
        <v>2.8784722222222223</v>
      </c>
      <c r="H47" s="534">
        <v>-0.41180555555555554</v>
      </c>
      <c r="I47" s="529">
        <v>0.78472222222222221</v>
      </c>
      <c r="J47" s="531">
        <v>1.3819444444444444</v>
      </c>
      <c r="K47" s="530" t="s">
        <v>448</v>
      </c>
      <c r="L47" s="529">
        <v>0.66597222222222219</v>
      </c>
      <c r="M47" s="24"/>
      <c r="N47" s="24"/>
    </row>
    <row r="48" spans="1:14" x14ac:dyDescent="0.25">
      <c r="A48" s="542" t="s">
        <v>414</v>
      </c>
      <c r="B48" s="549" t="s">
        <v>289</v>
      </c>
      <c r="C48" s="529">
        <v>8.4722222222222227E-2</v>
      </c>
      <c r="D48" s="527"/>
      <c r="E48" s="530">
        <v>0</v>
      </c>
      <c r="F48" s="531">
        <v>2.013888888888889E-2</v>
      </c>
      <c r="G48" s="534">
        <v>-6.4409722222222223</v>
      </c>
      <c r="H48" s="534">
        <v>-0.36875000000000002</v>
      </c>
      <c r="I48" s="529">
        <v>9.0277777777777776E-2</v>
      </c>
      <c r="J48" s="531">
        <v>0.15277777777777779</v>
      </c>
      <c r="K48" s="531">
        <v>10.434722222222222</v>
      </c>
      <c r="L48" s="530" t="s">
        <v>449</v>
      </c>
      <c r="M48" s="24"/>
      <c r="N48" s="24"/>
    </row>
    <row r="49" spans="1:14" x14ac:dyDescent="0.25">
      <c r="A49" s="542" t="s">
        <v>414</v>
      </c>
      <c r="B49" s="549" t="s">
        <v>291</v>
      </c>
      <c r="C49" s="529">
        <v>0.15208333333333332</v>
      </c>
      <c r="D49" s="527"/>
      <c r="E49" s="530">
        <v>0</v>
      </c>
      <c r="F49" s="536"/>
      <c r="G49" s="534">
        <v>-3.9583333333333331E-2</v>
      </c>
      <c r="H49" s="534">
        <v>-7.4999999999999997E-2</v>
      </c>
      <c r="I49" s="529">
        <v>0.46527777777777779</v>
      </c>
      <c r="J49" s="529">
        <v>0.69444444444444442</v>
      </c>
      <c r="K49" s="531">
        <v>1.1430555555555555</v>
      </c>
      <c r="L49" s="531">
        <v>1.0472222222222223</v>
      </c>
      <c r="M49" s="24"/>
      <c r="N49" s="24"/>
    </row>
    <row r="50" spans="1:14" x14ac:dyDescent="0.25">
      <c r="A50" s="542" t="s">
        <v>414</v>
      </c>
      <c r="B50" s="549" t="s">
        <v>295</v>
      </c>
      <c r="C50" s="536"/>
      <c r="D50" s="527"/>
      <c r="E50" s="530">
        <v>0</v>
      </c>
      <c r="F50" s="529">
        <v>0.12083333333333333</v>
      </c>
      <c r="G50" s="531">
        <v>0.8569444444444444</v>
      </c>
      <c r="H50" s="534">
        <v>-0.3263888888888889</v>
      </c>
      <c r="I50" s="529">
        <v>0.40972222222222221</v>
      </c>
      <c r="J50" s="529">
        <v>0.90972222222222221</v>
      </c>
      <c r="K50" s="531">
        <v>2.4624999999999999</v>
      </c>
      <c r="L50" s="531">
        <v>2.0013888888888891</v>
      </c>
      <c r="M50" s="24"/>
      <c r="N50" s="24"/>
    </row>
    <row r="51" spans="1:14" x14ac:dyDescent="0.25">
      <c r="A51" s="542" t="s">
        <v>414</v>
      </c>
      <c r="B51" s="549" t="s">
        <v>298</v>
      </c>
      <c r="C51" s="529">
        <v>8.7499999999999994E-2</v>
      </c>
      <c r="D51" s="527"/>
      <c r="E51" s="530">
        <v>0</v>
      </c>
      <c r="F51" s="536"/>
      <c r="G51" s="529">
        <v>3.9555555555555557</v>
      </c>
      <c r="H51" s="534">
        <v>-0.30208333333333331</v>
      </c>
      <c r="I51" s="529">
        <v>2.6597222222222223</v>
      </c>
      <c r="J51" s="529">
        <v>4.7152777777777777</v>
      </c>
      <c r="K51" s="531">
        <v>0.93472222222222223</v>
      </c>
      <c r="L51" s="531">
        <v>1.382638888888889</v>
      </c>
      <c r="M51" s="24"/>
      <c r="N51" s="24"/>
    </row>
    <row r="52" spans="1:14" x14ac:dyDescent="0.25">
      <c r="A52" s="542" t="s">
        <v>414</v>
      </c>
      <c r="B52" s="549" t="s">
        <v>300</v>
      </c>
      <c r="C52" s="536"/>
      <c r="D52" s="527"/>
      <c r="E52" s="530">
        <v>0</v>
      </c>
      <c r="F52" s="529">
        <v>3.888888888888889E-2</v>
      </c>
      <c r="G52" s="534">
        <v>-1.6305555555555555</v>
      </c>
      <c r="H52" s="534">
        <v>-0.21875</v>
      </c>
      <c r="I52" s="533"/>
      <c r="J52" s="533"/>
      <c r="K52" s="536"/>
      <c r="L52" s="533"/>
      <c r="M52" s="24"/>
      <c r="N52" s="24"/>
    </row>
    <row r="53" spans="1:14" x14ac:dyDescent="0.25">
      <c r="A53" s="542" t="s">
        <v>414</v>
      </c>
      <c r="B53" s="549" t="s">
        <v>304</v>
      </c>
      <c r="C53" s="529">
        <v>6.3888888888888884E-2</v>
      </c>
      <c r="D53" s="527"/>
      <c r="E53" s="530">
        <v>0</v>
      </c>
      <c r="F53" s="536"/>
      <c r="G53" s="534">
        <v>-1.4402777777777778</v>
      </c>
      <c r="H53" s="534">
        <v>-0.35069444444444442</v>
      </c>
      <c r="I53" s="529">
        <v>0.52777777777777779</v>
      </c>
      <c r="J53" s="531">
        <v>138.26180555555555</v>
      </c>
      <c r="K53" s="529">
        <v>0.7055555555555556</v>
      </c>
      <c r="L53" s="529">
        <v>0.46666666666666667</v>
      </c>
      <c r="M53" s="24"/>
      <c r="N53" s="24"/>
    </row>
    <row r="54" spans="1:14" x14ac:dyDescent="0.25">
      <c r="A54" s="542" t="s">
        <v>414</v>
      </c>
      <c r="B54" s="549" t="s">
        <v>307</v>
      </c>
      <c r="C54" s="529">
        <v>5.9027777777777776E-2</v>
      </c>
      <c r="D54" s="531">
        <v>2.6916666666666669</v>
      </c>
      <c r="E54" s="530">
        <v>0</v>
      </c>
      <c r="F54" s="529">
        <v>6.3888888888888884E-2</v>
      </c>
      <c r="G54" s="531">
        <v>6.4229166666666666</v>
      </c>
      <c r="H54" s="531">
        <v>4.583333333333333E-2</v>
      </c>
      <c r="I54" s="529">
        <v>0.3888888888888889</v>
      </c>
      <c r="J54" s="531">
        <v>0.30555555555555558</v>
      </c>
      <c r="K54" s="530" t="s">
        <v>456</v>
      </c>
      <c r="L54" s="529">
        <v>3.2340277777777779</v>
      </c>
      <c r="M54" s="24"/>
      <c r="N54" s="24"/>
    </row>
    <row r="55" spans="1:14" x14ac:dyDescent="0.25">
      <c r="A55" s="542" t="s">
        <v>414</v>
      </c>
      <c r="B55" s="549" t="s">
        <v>308</v>
      </c>
      <c r="C55" s="534">
        <v>-6.2500000000000003E-3</v>
      </c>
      <c r="D55" s="533"/>
      <c r="E55" s="530">
        <v>0</v>
      </c>
      <c r="F55" s="536"/>
      <c r="G55" s="534">
        <v>-1.7361111111111112E-2</v>
      </c>
      <c r="H55" s="534">
        <v>-0.65208333333333335</v>
      </c>
      <c r="I55" s="529">
        <v>0.40277777777777779</v>
      </c>
      <c r="J55" s="529">
        <v>1.0833333333333333</v>
      </c>
      <c r="K55" s="529">
        <v>0.10625</v>
      </c>
      <c r="L55" s="531">
        <v>0.62847222222222221</v>
      </c>
      <c r="M55" s="24"/>
      <c r="N55" s="24"/>
    </row>
    <row r="56" spans="1:14" x14ac:dyDescent="0.25">
      <c r="A56" s="542" t="s">
        <v>414</v>
      </c>
      <c r="B56" s="549" t="s">
        <v>310</v>
      </c>
      <c r="C56" s="531">
        <v>6.1111111111111109E-2</v>
      </c>
      <c r="D56" s="527"/>
      <c r="E56" s="530">
        <v>0</v>
      </c>
      <c r="F56" s="527"/>
      <c r="G56" s="531">
        <v>0.48541666666666666</v>
      </c>
      <c r="H56" s="534">
        <v>-9.930555555555555E-2</v>
      </c>
      <c r="I56" s="529">
        <v>0.73611111111111116</v>
      </c>
      <c r="J56" s="531">
        <v>1.0347222222222223</v>
      </c>
      <c r="K56" s="529">
        <v>0.56458333333333333</v>
      </c>
      <c r="L56" s="529">
        <v>0.26250000000000001</v>
      </c>
      <c r="M56" s="24"/>
      <c r="N56" s="24"/>
    </row>
    <row r="57" spans="1:14" x14ac:dyDescent="0.25">
      <c r="A57" s="542" t="s">
        <v>460</v>
      </c>
      <c r="B57" s="549" t="s">
        <v>461</v>
      </c>
      <c r="C57" s="534">
        <v>-2.8472222222222222E-2</v>
      </c>
      <c r="D57" s="527"/>
      <c r="E57" s="530">
        <v>0</v>
      </c>
      <c r="F57" s="527"/>
      <c r="G57" s="530" t="s">
        <v>462</v>
      </c>
      <c r="H57" s="537"/>
      <c r="I57" s="536"/>
      <c r="J57" s="531">
        <v>5.9722222222222225E-2</v>
      </c>
      <c r="K57" s="529">
        <v>1.0256944444444445</v>
      </c>
      <c r="L57" s="536"/>
      <c r="M57" s="24"/>
      <c r="N57" s="24"/>
    </row>
    <row r="58" spans="1:14" x14ac:dyDescent="0.25">
      <c r="A58" s="542" t="s">
        <v>460</v>
      </c>
      <c r="B58" s="549" t="s">
        <v>464</v>
      </c>
      <c r="C58" s="531">
        <v>0.12777777777777777</v>
      </c>
      <c r="D58" s="527"/>
      <c r="E58" s="530">
        <v>0</v>
      </c>
      <c r="F58" s="527"/>
      <c r="G58" s="529">
        <v>5.5555555555555558E-3</v>
      </c>
      <c r="H58" s="537"/>
      <c r="I58" s="527"/>
      <c r="J58" s="536"/>
      <c r="K58" s="531">
        <v>0.63124999999999998</v>
      </c>
      <c r="L58" s="527"/>
      <c r="M58" s="24"/>
      <c r="N58" s="24"/>
    </row>
    <row r="59" spans="1:14" x14ac:dyDescent="0.25">
      <c r="A59" s="543" t="s">
        <v>460</v>
      </c>
      <c r="B59" s="547" t="s">
        <v>466</v>
      </c>
      <c r="C59" s="534">
        <v>-6.5277777777777782E-2</v>
      </c>
      <c r="D59" s="527"/>
      <c r="E59" s="530">
        <v>0</v>
      </c>
      <c r="F59" s="527"/>
      <c r="G59" s="534">
        <v>-6.8284722222222225</v>
      </c>
      <c r="H59" s="537"/>
      <c r="I59" s="527"/>
      <c r="J59" s="531">
        <v>50.983333333333334</v>
      </c>
      <c r="K59" s="529">
        <v>0.13541666666666666</v>
      </c>
      <c r="L59" s="527"/>
      <c r="M59" s="24"/>
      <c r="N59" s="24"/>
    </row>
    <row r="60" spans="1:14" x14ac:dyDescent="0.25">
      <c r="A60" s="543" t="s">
        <v>460</v>
      </c>
      <c r="B60" s="547" t="s">
        <v>468</v>
      </c>
      <c r="C60" s="531">
        <v>8.5416666666666669E-2</v>
      </c>
      <c r="D60" s="527"/>
      <c r="E60" s="530">
        <v>0</v>
      </c>
      <c r="F60" s="527"/>
      <c r="G60" s="534">
        <v>-6.2652777777777775</v>
      </c>
      <c r="H60" s="534">
        <v>-0.45555555555555555</v>
      </c>
      <c r="I60" s="529">
        <v>0.11319444444444444</v>
      </c>
      <c r="J60" s="531">
        <v>1.4097222222222223</v>
      </c>
      <c r="K60" s="536"/>
      <c r="L60" s="527"/>
      <c r="M60" s="24"/>
      <c r="N60" s="24"/>
    </row>
    <row r="61" spans="1:14" x14ac:dyDescent="0.25">
      <c r="A61" s="543" t="s">
        <v>460</v>
      </c>
      <c r="B61" s="547" t="s">
        <v>470</v>
      </c>
      <c r="C61" s="534">
        <v>-5.2777777777777778E-2</v>
      </c>
      <c r="D61" s="527"/>
      <c r="E61" s="530">
        <v>0</v>
      </c>
      <c r="F61" s="527"/>
      <c r="G61" s="534">
        <v>-0.60763888888888884</v>
      </c>
      <c r="H61" s="537"/>
      <c r="I61" s="536"/>
      <c r="J61" s="533"/>
      <c r="K61" s="531">
        <v>3.5020833333333332</v>
      </c>
      <c r="L61" s="527"/>
      <c r="M61" s="24"/>
      <c r="N61" s="24"/>
    </row>
    <row r="62" spans="1:14" x14ac:dyDescent="0.25">
      <c r="A62" s="543" t="s">
        <v>460</v>
      </c>
      <c r="B62" s="547" t="s">
        <v>471</v>
      </c>
      <c r="C62" s="531">
        <v>0.11666666666666667</v>
      </c>
      <c r="D62" s="527"/>
      <c r="E62" s="530">
        <v>0</v>
      </c>
      <c r="F62" s="527"/>
      <c r="G62" s="530">
        <v>1</v>
      </c>
      <c r="H62" s="537"/>
      <c r="I62" s="527"/>
      <c r="J62" s="527"/>
      <c r="K62" s="531">
        <v>55.670138888888886</v>
      </c>
      <c r="L62" s="527"/>
      <c r="M62" s="24"/>
      <c r="N62" s="24"/>
    </row>
    <row r="63" spans="1:14" x14ac:dyDescent="0.25">
      <c r="A63" s="543" t="s">
        <v>460</v>
      </c>
      <c r="B63" s="545" t="s">
        <v>473</v>
      </c>
      <c r="C63" s="546"/>
      <c r="D63" s="527"/>
      <c r="E63" s="530">
        <v>0</v>
      </c>
      <c r="F63" s="529">
        <v>0.39166666666666666</v>
      </c>
      <c r="G63" s="534">
        <v>-5.9881944444444448</v>
      </c>
      <c r="H63" s="534">
        <v>-0.31111111111111112</v>
      </c>
      <c r="I63" s="529">
        <v>0.3888888888888889</v>
      </c>
      <c r="J63" s="529">
        <v>0.70138888888888884</v>
      </c>
      <c r="K63" s="531">
        <v>0.13125000000000001</v>
      </c>
      <c r="L63" s="529">
        <v>0.42916666666666664</v>
      </c>
      <c r="M63" s="24"/>
      <c r="N63" s="24"/>
    </row>
    <row r="64" spans="1:14" x14ac:dyDescent="0.25">
      <c r="A64" s="543" t="s">
        <v>460</v>
      </c>
      <c r="B64" s="547" t="s">
        <v>474</v>
      </c>
      <c r="C64" s="530" t="s">
        <v>475</v>
      </c>
      <c r="D64" s="527"/>
      <c r="E64" s="530">
        <v>0</v>
      </c>
      <c r="F64" s="536"/>
      <c r="G64" s="534">
        <v>-5.5236111111111112</v>
      </c>
      <c r="H64" s="534">
        <v>-0.49236111111111114</v>
      </c>
      <c r="I64" s="529">
        <v>0.28472222222222221</v>
      </c>
      <c r="J64" s="536"/>
      <c r="K64" s="529">
        <v>68.19027777777778</v>
      </c>
      <c r="L64" s="529">
        <v>0.25347222222222221</v>
      </c>
      <c r="M64" s="24"/>
      <c r="N64" s="24"/>
    </row>
    <row r="65" spans="1:14" x14ac:dyDescent="0.25">
      <c r="A65" s="543" t="s">
        <v>460</v>
      </c>
      <c r="B65" s="547" t="s">
        <v>476</v>
      </c>
      <c r="C65" s="527"/>
      <c r="D65" s="527"/>
      <c r="E65" s="530">
        <v>0</v>
      </c>
      <c r="F65" s="527"/>
      <c r="G65" s="534">
        <v>-0.7729166666666667</v>
      </c>
      <c r="H65" s="537"/>
      <c r="I65" s="529">
        <v>1.3194444444444444</v>
      </c>
      <c r="J65" s="527"/>
      <c r="K65" s="533"/>
      <c r="L65" s="536"/>
      <c r="M65" s="24"/>
      <c r="N65" s="24"/>
    </row>
    <row r="66" spans="1:14" x14ac:dyDescent="0.25">
      <c r="A66" s="543" t="s">
        <v>460</v>
      </c>
      <c r="B66" s="547" t="s">
        <v>478</v>
      </c>
      <c r="C66" s="530">
        <v>2</v>
      </c>
      <c r="D66" s="527"/>
      <c r="E66" s="530">
        <v>0</v>
      </c>
      <c r="F66" s="527"/>
      <c r="G66" s="534">
        <v>-2.0423611111111111</v>
      </c>
      <c r="H66" s="534">
        <v>-0.64166666666666672</v>
      </c>
      <c r="I66" s="531">
        <v>0.22916666666666666</v>
      </c>
      <c r="J66" s="529">
        <v>0.59722222222222221</v>
      </c>
      <c r="K66" s="527"/>
      <c r="L66" s="527"/>
      <c r="M66" s="24"/>
      <c r="N66" s="24"/>
    </row>
    <row r="67" spans="1:14" x14ac:dyDescent="0.25">
      <c r="A67" s="543" t="s">
        <v>460</v>
      </c>
      <c r="B67" s="547" t="s">
        <v>479</v>
      </c>
      <c r="C67" s="529">
        <v>5.9722222222222225E-2</v>
      </c>
      <c r="D67" s="527"/>
      <c r="E67" s="530">
        <v>0</v>
      </c>
      <c r="F67" s="527"/>
      <c r="G67" s="534">
        <v>-5.5944444444444441</v>
      </c>
      <c r="H67" s="534">
        <v>-0.80763888888888891</v>
      </c>
      <c r="I67" s="529">
        <v>0.85416666666666663</v>
      </c>
      <c r="J67" s="529">
        <v>0.84027777777777779</v>
      </c>
      <c r="K67" s="529">
        <v>0.19722222222222222</v>
      </c>
      <c r="L67" s="531">
        <v>12.938194444444445</v>
      </c>
      <c r="M67" s="24"/>
      <c r="N67" s="24"/>
    </row>
    <row r="68" spans="1:14" x14ac:dyDescent="0.25">
      <c r="A68" s="543" t="s">
        <v>460</v>
      </c>
      <c r="B68" s="547" t="s">
        <v>480</v>
      </c>
      <c r="C68" s="536"/>
      <c r="D68" s="527"/>
      <c r="E68" s="530">
        <v>0</v>
      </c>
      <c r="F68" s="527"/>
      <c r="G68" s="533"/>
      <c r="H68" s="533"/>
      <c r="I68" s="536"/>
      <c r="J68" s="536"/>
      <c r="K68" s="536"/>
      <c r="L68" s="533"/>
      <c r="M68" s="24"/>
      <c r="N68" s="24"/>
    </row>
    <row r="69" spans="1:14" x14ac:dyDescent="0.25">
      <c r="A69" s="543" t="s">
        <v>460</v>
      </c>
      <c r="B69" s="545" t="s">
        <v>482</v>
      </c>
      <c r="C69" s="546"/>
      <c r="D69" s="527"/>
      <c r="E69" s="530">
        <v>0</v>
      </c>
      <c r="F69" s="527"/>
      <c r="G69" s="527"/>
      <c r="H69" s="527"/>
      <c r="I69" s="527"/>
      <c r="J69" s="527"/>
      <c r="K69" s="527"/>
      <c r="L69" s="527"/>
      <c r="M69" s="24"/>
      <c r="N69" s="24"/>
    </row>
    <row r="70" spans="1:14" x14ac:dyDescent="0.25">
      <c r="A70" s="543" t="s">
        <v>460</v>
      </c>
      <c r="B70" s="547" t="s">
        <v>484</v>
      </c>
      <c r="C70" s="527"/>
      <c r="D70" s="527"/>
      <c r="E70" s="530">
        <v>0</v>
      </c>
      <c r="F70" s="527"/>
      <c r="G70" s="527"/>
      <c r="H70" s="527"/>
      <c r="I70" s="527"/>
      <c r="J70" s="527"/>
      <c r="K70" s="527"/>
      <c r="L70" s="527"/>
      <c r="M70" s="24"/>
      <c r="N70" s="24"/>
    </row>
    <row r="71" spans="1:14" x14ac:dyDescent="0.25">
      <c r="A71" s="527"/>
      <c r="B71" s="527"/>
      <c r="C71" s="527"/>
      <c r="D71" s="527"/>
      <c r="E71" s="527"/>
      <c r="F71" s="527"/>
      <c r="G71" s="527"/>
      <c r="H71" s="527"/>
      <c r="I71" s="527"/>
      <c r="J71" s="527"/>
      <c r="K71" s="527"/>
      <c r="L71" s="527"/>
      <c r="M71" s="24"/>
      <c r="N71" s="24"/>
    </row>
    <row r="72" spans="1:14" x14ac:dyDescent="0.25">
      <c r="A72" s="544" t="s">
        <v>485</v>
      </c>
      <c r="B72" s="538"/>
      <c r="C72" s="538"/>
      <c r="D72" s="527"/>
      <c r="E72" s="527"/>
      <c r="F72" s="527"/>
      <c r="G72" s="527"/>
      <c r="H72" s="527"/>
      <c r="I72" s="527"/>
      <c r="J72" s="527"/>
      <c r="K72" s="527"/>
      <c r="L72" s="527"/>
      <c r="M72" s="24"/>
      <c r="N72" s="24"/>
    </row>
    <row r="73" spans="1:14" x14ac:dyDescent="0.25">
      <c r="A73" s="527"/>
      <c r="B73" s="527"/>
      <c r="C73" s="527"/>
      <c r="D73" s="527"/>
      <c r="E73" s="527"/>
      <c r="F73" s="527"/>
      <c r="G73" s="527"/>
      <c r="H73" s="527"/>
      <c r="I73" s="527"/>
      <c r="J73" s="527"/>
      <c r="K73" s="527"/>
      <c r="L73" s="527"/>
      <c r="M73" s="24"/>
      <c r="N73" s="24"/>
    </row>
    <row r="74" spans="1:14" x14ac:dyDescent="0.25">
      <c r="A74" s="542" t="s">
        <v>414</v>
      </c>
      <c r="B74" s="545" t="s">
        <v>486</v>
      </c>
      <c r="C74" s="546"/>
      <c r="D74" s="547"/>
      <c r="E74" s="527"/>
      <c r="F74" s="527"/>
      <c r="G74" s="527"/>
      <c r="H74" s="527"/>
      <c r="I74" s="527"/>
      <c r="J74" s="527"/>
      <c r="K74" s="527"/>
      <c r="L74" s="527"/>
      <c r="M74" s="24"/>
      <c r="N74" s="24"/>
    </row>
    <row r="75" spans="1:14" x14ac:dyDescent="0.25">
      <c r="A75" s="542" t="s">
        <v>414</v>
      </c>
      <c r="B75" s="547" t="s">
        <v>489</v>
      </c>
      <c r="C75" s="547"/>
      <c r="D75" s="547"/>
      <c r="E75" s="527"/>
      <c r="F75" s="527"/>
      <c r="G75" s="527"/>
      <c r="H75" s="527"/>
      <c r="I75" s="527"/>
      <c r="J75" s="527"/>
      <c r="K75" s="527"/>
      <c r="L75" s="527"/>
      <c r="M75" s="24"/>
      <c r="N75" s="24"/>
    </row>
    <row r="76" spans="1:14" x14ac:dyDescent="0.25">
      <c r="A76" s="542" t="s">
        <v>414</v>
      </c>
      <c r="B76" s="547" t="s">
        <v>490</v>
      </c>
      <c r="C76" s="547"/>
      <c r="D76" s="547"/>
      <c r="E76" s="527"/>
      <c r="F76" s="527"/>
      <c r="G76" s="527"/>
      <c r="H76" s="527"/>
      <c r="I76" s="527"/>
      <c r="J76" s="527"/>
      <c r="K76" s="527"/>
      <c r="L76" s="527"/>
      <c r="M76" s="24"/>
      <c r="N76" s="24"/>
    </row>
    <row r="77" spans="1:14" x14ac:dyDescent="0.25">
      <c r="A77" s="542" t="s">
        <v>414</v>
      </c>
      <c r="B77" s="547" t="s">
        <v>492</v>
      </c>
      <c r="C77" s="547"/>
      <c r="D77" s="547"/>
      <c r="E77" s="527"/>
      <c r="F77" s="527"/>
      <c r="G77" s="527"/>
      <c r="H77" s="527"/>
      <c r="I77" s="527"/>
      <c r="J77" s="527"/>
      <c r="K77" s="527"/>
      <c r="L77" s="527"/>
      <c r="M77" s="24"/>
      <c r="N77" s="24"/>
    </row>
    <row r="78" spans="1:14" x14ac:dyDescent="0.25">
      <c r="A78" s="542" t="s">
        <v>414</v>
      </c>
      <c r="B78" s="547" t="s">
        <v>494</v>
      </c>
      <c r="C78" s="547"/>
      <c r="D78" s="547"/>
      <c r="E78" s="527"/>
      <c r="F78" s="527"/>
      <c r="G78" s="527"/>
      <c r="H78" s="527"/>
      <c r="I78" s="527"/>
      <c r="J78" s="527"/>
      <c r="K78" s="527"/>
      <c r="L78" s="527"/>
      <c r="M78" s="24"/>
      <c r="N78" s="24"/>
    </row>
    <row r="79" spans="1:14" x14ac:dyDescent="0.25">
      <c r="A79" s="542" t="s">
        <v>414</v>
      </c>
      <c r="B79" s="545" t="s">
        <v>496</v>
      </c>
      <c r="C79" s="546"/>
      <c r="D79" s="547"/>
      <c r="E79" s="527"/>
      <c r="F79" s="527"/>
      <c r="G79" s="527"/>
      <c r="H79" s="527"/>
      <c r="I79" s="527"/>
      <c r="J79" s="527"/>
      <c r="K79" s="527"/>
      <c r="L79" s="527"/>
      <c r="M79" s="24"/>
      <c r="N79" s="24"/>
    </row>
    <row r="80" spans="1:14" x14ac:dyDescent="0.25">
      <c r="A80" s="542" t="s">
        <v>414</v>
      </c>
      <c r="B80" s="545" t="s">
        <v>498</v>
      </c>
      <c r="C80" s="548"/>
      <c r="D80" s="546"/>
      <c r="E80" s="527"/>
      <c r="F80" s="527"/>
      <c r="G80" s="527"/>
      <c r="H80" s="527"/>
      <c r="I80" s="527"/>
      <c r="J80" s="527"/>
      <c r="K80" s="527"/>
      <c r="L80" s="527"/>
      <c r="M80" s="24"/>
      <c r="N80" s="24"/>
    </row>
    <row r="81" spans="1:14" x14ac:dyDescent="0.25">
      <c r="A81" s="542" t="s">
        <v>414</v>
      </c>
      <c r="B81" s="547" t="s">
        <v>499</v>
      </c>
      <c r="C81" s="547"/>
      <c r="D81" s="547"/>
      <c r="E81" s="527"/>
      <c r="F81" s="527"/>
      <c r="G81" s="527"/>
      <c r="H81" s="527"/>
      <c r="I81" s="527"/>
      <c r="J81" s="527"/>
      <c r="K81" s="527"/>
      <c r="L81" s="527"/>
      <c r="M81" s="24"/>
      <c r="N81" s="24"/>
    </row>
    <row r="82" spans="1:14" x14ac:dyDescent="0.25">
      <c r="A82" s="542" t="s">
        <v>414</v>
      </c>
      <c r="B82" s="547" t="s">
        <v>501</v>
      </c>
      <c r="C82" s="547"/>
      <c r="D82" s="547"/>
      <c r="E82" s="527"/>
      <c r="F82" s="527"/>
      <c r="G82" s="527"/>
      <c r="H82" s="527"/>
      <c r="I82" s="527"/>
      <c r="J82" s="527"/>
      <c r="K82" s="527"/>
      <c r="L82" s="527"/>
      <c r="M82" s="24"/>
      <c r="N82" s="24"/>
    </row>
    <row r="83" spans="1:14" x14ac:dyDescent="0.25">
      <c r="A83" s="542" t="s">
        <v>414</v>
      </c>
      <c r="B83" s="547" t="s">
        <v>502</v>
      </c>
      <c r="C83" s="547"/>
      <c r="D83" s="547"/>
      <c r="E83" s="527"/>
      <c r="F83" s="527"/>
      <c r="G83" s="527"/>
      <c r="H83" s="527"/>
      <c r="I83" s="527"/>
      <c r="J83" s="527"/>
      <c r="K83" s="527"/>
      <c r="L83" s="527"/>
      <c r="M83" s="24"/>
      <c r="N83" s="24"/>
    </row>
    <row r="84" spans="1:14" x14ac:dyDescent="0.25">
      <c r="A84" s="542" t="s">
        <v>414</v>
      </c>
      <c r="B84" s="547" t="s">
        <v>504</v>
      </c>
      <c r="C84" s="547"/>
      <c r="D84" s="547"/>
      <c r="E84" s="527"/>
      <c r="F84" s="527"/>
      <c r="G84" s="527"/>
      <c r="H84" s="527"/>
      <c r="I84" s="527"/>
      <c r="J84" s="527"/>
      <c r="K84" s="527"/>
      <c r="L84" s="527"/>
      <c r="M84" s="24"/>
      <c r="N84" s="24"/>
    </row>
    <row r="85" spans="1:14" x14ac:dyDescent="0.25">
      <c r="A85" s="542" t="s">
        <v>414</v>
      </c>
      <c r="B85" s="545" t="s">
        <v>506</v>
      </c>
      <c r="C85" s="546"/>
      <c r="D85" s="547"/>
      <c r="E85" s="527"/>
      <c r="F85" s="527"/>
      <c r="G85" s="527"/>
      <c r="H85" s="527"/>
      <c r="I85" s="527"/>
      <c r="J85" s="527"/>
      <c r="K85" s="527"/>
      <c r="L85" s="527"/>
      <c r="M85" s="24"/>
      <c r="N85" s="24"/>
    </row>
    <row r="86" spans="1:14" x14ac:dyDescent="0.25">
      <c r="A86" s="542" t="s">
        <v>414</v>
      </c>
      <c r="B86" s="547" t="s">
        <v>507</v>
      </c>
      <c r="C86" s="547"/>
      <c r="D86" s="547"/>
      <c r="E86" s="527"/>
      <c r="F86" s="527"/>
      <c r="G86" s="527"/>
      <c r="H86" s="527"/>
      <c r="I86" s="527"/>
      <c r="J86" s="527"/>
      <c r="K86" s="527"/>
      <c r="L86" s="527"/>
      <c r="M86" s="24"/>
      <c r="N86" s="24"/>
    </row>
    <row r="87" spans="1:14" x14ac:dyDescent="0.25">
      <c r="A87" s="542" t="s">
        <v>414</v>
      </c>
      <c r="B87" s="545" t="s">
        <v>509</v>
      </c>
      <c r="C87" s="546"/>
      <c r="D87" s="547"/>
      <c r="E87" s="527"/>
      <c r="F87" s="527"/>
      <c r="G87" s="527"/>
      <c r="H87" s="527"/>
      <c r="I87" s="527"/>
      <c r="J87" s="527"/>
      <c r="K87" s="527"/>
      <c r="L87" s="527"/>
      <c r="M87" s="24"/>
      <c r="N87" s="24"/>
    </row>
    <row r="88" spans="1:14" x14ac:dyDescent="0.25">
      <c r="A88" s="542" t="s">
        <v>414</v>
      </c>
      <c r="B88" s="545" t="s">
        <v>511</v>
      </c>
      <c r="C88" s="546"/>
      <c r="D88" s="547"/>
      <c r="E88" s="527"/>
      <c r="F88" s="527"/>
      <c r="G88" s="527"/>
      <c r="H88" s="527"/>
      <c r="I88" s="527"/>
      <c r="J88" s="527"/>
      <c r="K88" s="527"/>
      <c r="L88" s="527"/>
      <c r="M88" s="24"/>
      <c r="N88" s="24"/>
    </row>
    <row r="89" spans="1:14" x14ac:dyDescent="0.25">
      <c r="A89" s="542" t="s">
        <v>414</v>
      </c>
      <c r="B89" s="547" t="s">
        <v>513</v>
      </c>
      <c r="C89" s="547"/>
      <c r="D89" s="547"/>
      <c r="E89" s="527"/>
      <c r="F89" s="527"/>
      <c r="G89" s="527"/>
      <c r="H89" s="527"/>
      <c r="I89" s="527"/>
      <c r="J89" s="527"/>
      <c r="K89" s="527"/>
      <c r="L89" s="527"/>
      <c r="M89" s="24"/>
      <c r="N89" s="24"/>
    </row>
    <row r="90" spans="1:14" x14ac:dyDescent="0.25">
      <c r="A90" s="542" t="s">
        <v>414</v>
      </c>
      <c r="B90" s="547" t="s">
        <v>515</v>
      </c>
      <c r="C90" s="547"/>
      <c r="D90" s="547"/>
      <c r="E90" s="527"/>
      <c r="F90" s="527"/>
      <c r="G90" s="527"/>
      <c r="H90" s="527"/>
      <c r="I90" s="527"/>
      <c r="J90" s="527"/>
      <c r="K90" s="527"/>
      <c r="L90" s="527"/>
      <c r="M90" s="24"/>
      <c r="N90" s="24"/>
    </row>
    <row r="91" spans="1:14" x14ac:dyDescent="0.25">
      <c r="A91" s="542" t="s">
        <v>414</v>
      </c>
      <c r="B91" s="547" t="s">
        <v>518</v>
      </c>
      <c r="C91" s="547"/>
      <c r="D91" s="547"/>
      <c r="E91" s="527"/>
      <c r="F91" s="527"/>
      <c r="G91" s="527"/>
      <c r="H91" s="527"/>
      <c r="I91" s="527"/>
      <c r="J91" s="527"/>
      <c r="K91" s="527"/>
      <c r="L91" s="527"/>
      <c r="M91" s="24"/>
      <c r="N91" s="24"/>
    </row>
    <row r="92" spans="1:14" x14ac:dyDescent="0.25">
      <c r="A92" s="542" t="s">
        <v>414</v>
      </c>
      <c r="B92" s="545" t="s">
        <v>519</v>
      </c>
      <c r="C92" s="546"/>
      <c r="D92" s="547"/>
      <c r="E92" s="527"/>
      <c r="F92" s="527"/>
      <c r="G92" s="527"/>
      <c r="H92" s="527"/>
      <c r="I92" s="527"/>
      <c r="J92" s="527"/>
      <c r="K92" s="527"/>
      <c r="L92" s="527"/>
      <c r="M92" s="24"/>
      <c r="N92" s="24"/>
    </row>
    <row r="93" spans="1:14" x14ac:dyDescent="0.25">
      <c r="A93" s="542" t="s">
        <v>414</v>
      </c>
      <c r="B93" s="545" t="s">
        <v>520</v>
      </c>
      <c r="C93" s="546"/>
      <c r="D93" s="547"/>
      <c r="E93" s="527"/>
      <c r="F93" s="527"/>
      <c r="G93" s="527"/>
      <c r="H93" s="527"/>
      <c r="I93" s="527"/>
      <c r="J93" s="527"/>
      <c r="K93" s="527"/>
      <c r="L93" s="527"/>
      <c r="M93" s="24"/>
      <c r="N93" s="24"/>
    </row>
    <row r="94" spans="1:14" x14ac:dyDescent="0.25">
      <c r="A94" s="542" t="s">
        <v>414</v>
      </c>
      <c r="B94" s="547" t="s">
        <v>521</v>
      </c>
      <c r="C94" s="547"/>
      <c r="D94" s="547"/>
      <c r="E94" s="527"/>
      <c r="F94" s="527"/>
      <c r="G94" s="527"/>
      <c r="H94" s="527"/>
      <c r="I94" s="527"/>
      <c r="J94" s="527"/>
      <c r="K94" s="527"/>
      <c r="L94" s="527"/>
      <c r="M94" s="24"/>
      <c r="N94" s="24"/>
    </row>
    <row r="95" spans="1:14" x14ac:dyDescent="0.25">
      <c r="A95" s="542" t="s">
        <v>414</v>
      </c>
      <c r="B95" s="545" t="s">
        <v>522</v>
      </c>
      <c r="C95" s="546"/>
      <c r="D95" s="547"/>
      <c r="E95" s="527"/>
      <c r="F95" s="527"/>
      <c r="G95" s="527"/>
      <c r="H95" s="527"/>
      <c r="I95" s="527"/>
      <c r="J95" s="527"/>
      <c r="K95" s="527"/>
      <c r="L95" s="527"/>
      <c r="M95" s="24"/>
      <c r="N95" s="24"/>
    </row>
    <row r="96" spans="1:14" x14ac:dyDescent="0.25">
      <c r="A96" s="542" t="s">
        <v>414</v>
      </c>
      <c r="B96" s="545" t="s">
        <v>523</v>
      </c>
      <c r="C96" s="546"/>
      <c r="D96" s="547"/>
      <c r="E96" s="527"/>
      <c r="F96" s="527"/>
      <c r="G96" s="527"/>
      <c r="H96" s="527"/>
      <c r="I96" s="527"/>
      <c r="J96" s="527"/>
      <c r="K96" s="527"/>
      <c r="L96" s="527"/>
      <c r="M96" s="24"/>
      <c r="N96" s="24"/>
    </row>
    <row r="97" spans="1:14" x14ac:dyDescent="0.25">
      <c r="A97" s="542" t="s">
        <v>414</v>
      </c>
      <c r="B97" s="547" t="s">
        <v>524</v>
      </c>
      <c r="C97" s="547"/>
      <c r="D97" s="547"/>
      <c r="E97" s="527"/>
      <c r="F97" s="527"/>
      <c r="G97" s="527"/>
      <c r="H97" s="527"/>
      <c r="I97" s="527"/>
      <c r="J97" s="527"/>
      <c r="K97" s="527"/>
      <c r="L97" s="527"/>
      <c r="M97" s="24"/>
      <c r="N97" s="24"/>
    </row>
    <row r="98" spans="1:14" x14ac:dyDescent="0.25">
      <c r="A98" s="542" t="s">
        <v>414</v>
      </c>
      <c r="B98" s="547" t="s">
        <v>526</v>
      </c>
      <c r="C98" s="547"/>
      <c r="D98" s="547"/>
      <c r="E98" s="527"/>
      <c r="F98" s="527"/>
      <c r="G98" s="527"/>
      <c r="H98" s="527"/>
      <c r="I98" s="527"/>
      <c r="J98" s="527"/>
      <c r="K98" s="527"/>
      <c r="L98" s="527"/>
      <c r="M98" s="24"/>
      <c r="N98" s="24"/>
    </row>
    <row r="99" spans="1:14" x14ac:dyDescent="0.25">
      <c r="A99" s="542" t="s">
        <v>414</v>
      </c>
      <c r="B99" s="547" t="s">
        <v>527</v>
      </c>
      <c r="C99" s="547"/>
      <c r="D99" s="547"/>
      <c r="E99" s="527"/>
      <c r="F99" s="527"/>
      <c r="G99" s="527"/>
      <c r="H99" s="527"/>
      <c r="I99" s="527"/>
      <c r="J99" s="527"/>
      <c r="K99" s="527"/>
      <c r="L99" s="527"/>
      <c r="M99" s="24"/>
      <c r="N99" s="24"/>
    </row>
    <row r="100" spans="1:14" x14ac:dyDescent="0.25">
      <c r="A100" s="542" t="s">
        <v>414</v>
      </c>
      <c r="B100" s="547" t="s">
        <v>528</v>
      </c>
      <c r="C100" s="547"/>
      <c r="D100" s="547"/>
      <c r="E100" s="527"/>
      <c r="F100" s="527"/>
      <c r="G100" s="527"/>
      <c r="H100" s="527"/>
      <c r="I100" s="527"/>
      <c r="J100" s="527"/>
      <c r="K100" s="527"/>
      <c r="L100" s="527"/>
      <c r="M100" s="24"/>
      <c r="N100" s="24"/>
    </row>
    <row r="101" spans="1:14" x14ac:dyDescent="0.25">
      <c r="A101" s="542" t="s">
        <v>414</v>
      </c>
      <c r="B101" s="545" t="s">
        <v>529</v>
      </c>
      <c r="C101" s="546"/>
      <c r="D101" s="547"/>
      <c r="E101" s="527"/>
      <c r="F101" s="527"/>
      <c r="G101" s="527"/>
      <c r="H101" s="527"/>
      <c r="I101" s="527"/>
      <c r="J101" s="527"/>
      <c r="K101" s="527"/>
      <c r="L101" s="527"/>
      <c r="M101" s="24"/>
      <c r="N101" s="24"/>
    </row>
    <row r="102" spans="1:14" x14ac:dyDescent="0.25">
      <c r="A102" s="542" t="s">
        <v>414</v>
      </c>
      <c r="B102" s="547" t="s">
        <v>530</v>
      </c>
      <c r="C102" s="547"/>
      <c r="D102" s="547"/>
      <c r="E102" s="527"/>
      <c r="F102" s="527"/>
      <c r="G102" s="527"/>
      <c r="H102" s="527"/>
      <c r="I102" s="527"/>
      <c r="J102" s="527"/>
      <c r="K102" s="527"/>
      <c r="L102" s="527"/>
      <c r="M102" s="24"/>
      <c r="N102" s="24"/>
    </row>
    <row r="103" spans="1:14" x14ac:dyDescent="0.25">
      <c r="A103" s="542" t="s">
        <v>414</v>
      </c>
      <c r="B103" s="547" t="s">
        <v>531</v>
      </c>
      <c r="C103" s="547"/>
      <c r="D103" s="547"/>
      <c r="E103" s="527"/>
      <c r="F103" s="527"/>
      <c r="G103" s="527"/>
      <c r="H103" s="527"/>
      <c r="I103" s="527"/>
      <c r="J103" s="527"/>
      <c r="K103" s="527"/>
      <c r="L103" s="527"/>
      <c r="M103" s="24"/>
      <c r="N103" s="24"/>
    </row>
    <row r="104" spans="1:14" x14ac:dyDescent="0.25">
      <c r="A104" s="542" t="s">
        <v>414</v>
      </c>
      <c r="B104" s="547" t="s">
        <v>532</v>
      </c>
      <c r="C104" s="547"/>
      <c r="D104" s="547"/>
      <c r="E104" s="527"/>
      <c r="F104" s="527"/>
      <c r="G104" s="527"/>
      <c r="H104" s="527"/>
      <c r="I104" s="527"/>
      <c r="J104" s="527"/>
      <c r="K104" s="527"/>
      <c r="L104" s="527"/>
      <c r="M104" s="24"/>
      <c r="N104" s="24"/>
    </row>
    <row r="105" spans="1:14" x14ac:dyDescent="0.25">
      <c r="A105" s="542" t="s">
        <v>414</v>
      </c>
      <c r="B105" s="547" t="s">
        <v>533</v>
      </c>
      <c r="C105" s="547"/>
      <c r="D105" s="547"/>
      <c r="E105" s="527"/>
      <c r="F105" s="527"/>
      <c r="G105" s="527"/>
      <c r="H105" s="527"/>
      <c r="I105" s="527"/>
      <c r="J105" s="527"/>
      <c r="K105" s="527"/>
      <c r="L105" s="527"/>
      <c r="M105" s="24"/>
      <c r="N105" s="24"/>
    </row>
    <row r="106" spans="1:14" x14ac:dyDescent="0.25">
      <c r="A106" s="542" t="s">
        <v>414</v>
      </c>
      <c r="B106" s="547" t="s">
        <v>534</v>
      </c>
      <c r="C106" s="547"/>
      <c r="D106" s="547"/>
      <c r="E106" s="527"/>
      <c r="F106" s="527"/>
      <c r="G106" s="527"/>
      <c r="H106" s="527"/>
      <c r="I106" s="527"/>
      <c r="J106" s="527"/>
      <c r="K106" s="527"/>
      <c r="L106" s="527"/>
      <c r="M106" s="24"/>
      <c r="N106" s="24"/>
    </row>
    <row r="107" spans="1:14" x14ac:dyDescent="0.25">
      <c r="A107" s="542" t="s">
        <v>414</v>
      </c>
      <c r="B107" s="547" t="s">
        <v>535</v>
      </c>
      <c r="C107" s="547"/>
      <c r="D107" s="547"/>
      <c r="E107" s="527"/>
      <c r="F107" s="527"/>
      <c r="G107" s="527"/>
      <c r="H107" s="527"/>
      <c r="I107" s="527"/>
      <c r="J107" s="527"/>
      <c r="K107" s="527"/>
      <c r="L107" s="527"/>
      <c r="M107" s="24"/>
      <c r="N107" s="24"/>
    </row>
    <row r="108" spans="1:14" x14ac:dyDescent="0.25">
      <c r="A108" s="542" t="s">
        <v>414</v>
      </c>
      <c r="B108" s="547" t="s">
        <v>536</v>
      </c>
      <c r="C108" s="547"/>
      <c r="D108" s="547"/>
      <c r="E108" s="527"/>
      <c r="F108" s="527"/>
      <c r="G108" s="527"/>
      <c r="H108" s="527"/>
      <c r="I108" s="527"/>
      <c r="J108" s="527"/>
      <c r="K108" s="527"/>
      <c r="L108" s="527"/>
      <c r="M108" s="24"/>
      <c r="N108" s="24"/>
    </row>
    <row r="109" spans="1:14" x14ac:dyDescent="0.25">
      <c r="A109" s="542" t="s">
        <v>414</v>
      </c>
      <c r="B109" s="547" t="s">
        <v>537</v>
      </c>
      <c r="C109" s="547"/>
      <c r="D109" s="547"/>
      <c r="E109" s="527"/>
      <c r="F109" s="527"/>
      <c r="G109" s="527"/>
      <c r="H109" s="527"/>
      <c r="I109" s="527"/>
      <c r="J109" s="527"/>
      <c r="K109" s="527"/>
      <c r="L109" s="527"/>
      <c r="M109" s="24"/>
      <c r="N109" s="24"/>
    </row>
    <row r="110" spans="1:14" x14ac:dyDescent="0.25">
      <c r="A110" s="542" t="s">
        <v>414</v>
      </c>
      <c r="B110" s="547" t="s">
        <v>538</v>
      </c>
      <c r="C110" s="547"/>
      <c r="D110" s="547"/>
      <c r="E110" s="527"/>
      <c r="F110" s="527"/>
      <c r="G110" s="527"/>
      <c r="H110" s="527"/>
      <c r="I110" s="527"/>
      <c r="J110" s="527"/>
      <c r="K110" s="527"/>
      <c r="L110" s="527"/>
      <c r="M110" s="24"/>
      <c r="N110" s="24"/>
    </row>
    <row r="111" spans="1:14" x14ac:dyDescent="0.25">
      <c r="A111" s="542" t="s">
        <v>414</v>
      </c>
      <c r="B111" s="545" t="s">
        <v>539</v>
      </c>
      <c r="C111" s="546"/>
      <c r="D111" s="547"/>
      <c r="E111" s="527"/>
      <c r="F111" s="527"/>
      <c r="G111" s="527"/>
      <c r="H111" s="527"/>
      <c r="I111" s="527"/>
      <c r="J111" s="527"/>
      <c r="K111" s="527"/>
      <c r="L111" s="527"/>
      <c r="M111" s="24"/>
      <c r="N111" s="24"/>
    </row>
    <row r="112" spans="1:14" x14ac:dyDescent="0.25">
      <c r="A112" s="542" t="s">
        <v>414</v>
      </c>
      <c r="B112" s="545" t="s">
        <v>540</v>
      </c>
      <c r="C112" s="546"/>
      <c r="D112" s="547"/>
      <c r="E112" s="527"/>
      <c r="F112" s="527"/>
      <c r="G112" s="527"/>
      <c r="H112" s="527"/>
      <c r="I112" s="527"/>
      <c r="J112" s="527"/>
      <c r="K112" s="527"/>
      <c r="L112" s="527"/>
      <c r="M112" s="24"/>
      <c r="N112" s="24"/>
    </row>
    <row r="113" spans="1:14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</row>
    <row r="114" spans="1:14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</row>
    <row r="115" spans="1:14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</row>
    <row r="116" spans="1:14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</row>
    <row r="117" spans="1:14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</row>
    <row r="118" spans="1:14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</row>
    <row r="119" spans="1:14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</row>
    <row r="120" spans="1:14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</row>
    <row r="121" spans="1:14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</row>
    <row r="122" spans="1:14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</row>
    <row r="123" spans="1:14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</row>
    <row r="124" spans="1:14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</row>
    <row r="125" spans="1:14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</row>
    <row r="126" spans="1:14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</row>
    <row r="127" spans="1:14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</row>
    <row r="128" spans="1:14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</row>
    <row r="129" spans="1:14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</row>
    <row r="130" spans="1:14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</row>
    <row r="131" spans="1:14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</row>
    <row r="132" spans="1:14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</row>
    <row r="133" spans="1:14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</row>
    <row r="134" spans="1:14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</row>
    <row r="135" spans="1:14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</row>
    <row r="136" spans="1:14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</row>
    <row r="137" spans="1:14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</row>
    <row r="138" spans="1:14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</row>
    <row r="139" spans="1:14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</row>
    <row r="140" spans="1:14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</row>
    <row r="141" spans="1:14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</row>
    <row r="142" spans="1:14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</row>
    <row r="143" spans="1:14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</row>
    <row r="144" spans="1:14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</row>
    <row r="145" spans="1:14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</row>
    <row r="146" spans="1:14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</row>
    <row r="147" spans="1:14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</row>
    <row r="148" spans="1:14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</row>
    <row r="149" spans="1:14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</row>
    <row r="150" spans="1:14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</row>
    <row r="151" spans="1:14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</row>
    <row r="152" spans="1:14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</row>
    <row r="153" spans="1:14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</row>
    <row r="154" spans="1:14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</row>
    <row r="155" spans="1:14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</row>
    <row r="156" spans="1:14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</row>
    <row r="157" spans="1:14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</row>
    <row r="158" spans="1:14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</row>
    <row r="159" spans="1:14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</row>
    <row r="160" spans="1:14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</row>
    <row r="161" spans="1:14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</row>
    <row r="162" spans="1:14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</row>
    <row r="163" spans="1:14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</row>
    <row r="164" spans="1:14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</row>
    <row r="165" spans="1:14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</row>
    <row r="166" spans="1:14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</row>
    <row r="167" spans="1:14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</row>
    <row r="168" spans="1:14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</row>
    <row r="169" spans="1:14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</row>
    <row r="170" spans="1:14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</row>
    <row r="171" spans="1:14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</row>
    <row r="172" spans="1:14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</row>
    <row r="173" spans="1:14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</row>
    <row r="174" spans="1:14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</row>
    <row r="175" spans="1:14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</row>
    <row r="176" spans="1:14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</row>
    <row r="177" spans="1:14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</row>
    <row r="178" spans="1:14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</row>
    <row r="179" spans="1:14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</row>
    <row r="180" spans="1:14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</row>
  </sheetData>
  <mergeCells count="15">
    <mergeCell ref="B101:C101"/>
    <mergeCell ref="B111:C111"/>
    <mergeCell ref="B112:C112"/>
    <mergeCell ref="B63:C63"/>
    <mergeCell ref="B69:C69"/>
    <mergeCell ref="B74:C74"/>
    <mergeCell ref="B79:C79"/>
    <mergeCell ref="B80:D80"/>
    <mergeCell ref="B85:C85"/>
    <mergeCell ref="B87:C87"/>
    <mergeCell ref="B88:C88"/>
    <mergeCell ref="B92:C92"/>
    <mergeCell ref="B93:C93"/>
    <mergeCell ref="B95:C95"/>
    <mergeCell ref="B96:C9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  <outlinePr summaryBelow="0" summaryRight="0"/>
  </sheetPr>
  <dimension ref="A1:K1000"/>
  <sheetViews>
    <sheetView zoomScale="90" zoomScaleNormal="90" workbookViewId="0">
      <selection activeCell="I80" sqref="I80"/>
    </sheetView>
  </sheetViews>
  <sheetFormatPr defaultColWidth="12.625" defaultRowHeight="15" customHeight="1" x14ac:dyDescent="0.2"/>
  <cols>
    <col min="1" max="1" width="78.75" customWidth="1"/>
    <col min="2" max="7" width="10.625" customWidth="1"/>
    <col min="8" max="26" width="9.625" customWidth="1"/>
  </cols>
  <sheetData>
    <row r="1" spans="1:8" ht="15" customHeight="1" x14ac:dyDescent="0.2">
      <c r="A1" s="77" t="s">
        <v>541</v>
      </c>
      <c r="B1" s="78"/>
      <c r="C1" s="78"/>
      <c r="D1" s="78"/>
      <c r="E1" s="78"/>
      <c r="F1" s="78"/>
      <c r="G1" s="79"/>
    </row>
    <row r="2" spans="1:8" ht="15" customHeight="1" x14ac:dyDescent="0.2">
      <c r="A2" s="80"/>
      <c r="B2" s="81"/>
      <c r="C2" s="81"/>
      <c r="D2" s="81"/>
      <c r="E2" s="81"/>
      <c r="F2" s="81"/>
      <c r="G2" s="82"/>
    </row>
    <row r="3" spans="1:8" ht="15" customHeight="1" x14ac:dyDescent="0.25">
      <c r="A3" s="38"/>
      <c r="B3" s="60" t="s">
        <v>542</v>
      </c>
      <c r="C3" s="61"/>
      <c r="D3" s="61"/>
      <c r="E3" s="61"/>
      <c r="F3" s="61"/>
      <c r="G3" s="62"/>
    </row>
    <row r="4" spans="1:8" ht="15" customHeight="1" x14ac:dyDescent="0.2">
      <c r="A4" s="68" t="s">
        <v>4</v>
      </c>
      <c r="B4" s="69" t="s">
        <v>6</v>
      </c>
      <c r="C4" s="70"/>
      <c r="D4" s="69" t="s">
        <v>8</v>
      </c>
      <c r="E4" s="70"/>
      <c r="F4" s="71" t="s">
        <v>10</v>
      </c>
      <c r="G4" s="72" t="s">
        <v>13</v>
      </c>
    </row>
    <row r="5" spans="1:8" ht="15" customHeight="1" x14ac:dyDescent="0.25">
      <c r="A5" s="63" t="s">
        <v>5</v>
      </c>
      <c r="B5" s="40">
        <v>2904.6</v>
      </c>
      <c r="C5" s="39"/>
      <c r="D5" s="40">
        <v>2680</v>
      </c>
      <c r="E5" s="39"/>
      <c r="F5" s="41">
        <v>11379.8</v>
      </c>
      <c r="G5" s="42">
        <f t="shared" ref="G5:G8" si="0">(F5-D5+B5)</f>
        <v>11604.4</v>
      </c>
      <c r="H5" s="2"/>
    </row>
    <row r="6" spans="1:8" ht="15" customHeight="1" x14ac:dyDescent="0.25">
      <c r="A6" s="63" t="s">
        <v>23</v>
      </c>
      <c r="B6" s="43">
        <v>520.4</v>
      </c>
      <c r="C6" s="39"/>
      <c r="D6" s="43">
        <v>517.4</v>
      </c>
      <c r="E6" s="39"/>
      <c r="F6" s="44">
        <v>2290.4</v>
      </c>
      <c r="G6" s="42">
        <f t="shared" si="0"/>
        <v>2293.4</v>
      </c>
      <c r="H6" s="2"/>
    </row>
    <row r="7" spans="1:8" ht="15" customHeight="1" x14ac:dyDescent="0.25">
      <c r="A7" s="63" t="s">
        <v>26</v>
      </c>
      <c r="B7" s="43">
        <v>109.3</v>
      </c>
      <c r="C7" s="39"/>
      <c r="D7" s="43">
        <v>292.39999999999998</v>
      </c>
      <c r="E7" s="39"/>
      <c r="F7" s="44">
        <v>707.7</v>
      </c>
      <c r="G7" s="42">
        <f t="shared" si="0"/>
        <v>524.6</v>
      </c>
      <c r="H7" s="2"/>
    </row>
    <row r="8" spans="1:8" ht="15" customHeight="1" x14ac:dyDescent="0.25">
      <c r="A8" s="88" t="s">
        <v>18</v>
      </c>
      <c r="B8" s="45">
        <v>3534.3</v>
      </c>
      <c r="C8" s="39"/>
      <c r="D8" s="45">
        <v>3489.8</v>
      </c>
      <c r="E8" s="39"/>
      <c r="F8" s="46">
        <v>14377.9</v>
      </c>
      <c r="G8" s="47">
        <f t="shared" si="0"/>
        <v>14422.399999999998</v>
      </c>
      <c r="H8" s="2"/>
    </row>
    <row r="9" spans="1:8" ht="15" customHeight="1" x14ac:dyDescent="0.25">
      <c r="A9" s="63" t="s">
        <v>33</v>
      </c>
      <c r="B9" s="48" t="s">
        <v>42</v>
      </c>
      <c r="C9" s="39"/>
      <c r="D9" s="48" t="s">
        <v>42</v>
      </c>
      <c r="E9" s="39"/>
      <c r="F9" s="41" t="s">
        <v>42</v>
      </c>
      <c r="G9" s="49" t="s">
        <v>42</v>
      </c>
      <c r="H9" s="2"/>
    </row>
    <row r="10" spans="1:8" ht="15" customHeight="1" x14ac:dyDescent="0.25">
      <c r="A10" s="63" t="s">
        <v>35</v>
      </c>
      <c r="B10" s="43">
        <v>454.3</v>
      </c>
      <c r="C10" s="39"/>
      <c r="D10" s="43">
        <v>602</v>
      </c>
      <c r="E10" s="39"/>
      <c r="F10" s="44">
        <v>1955.4</v>
      </c>
      <c r="G10" s="50">
        <f t="shared" ref="G10:G14" si="1">(F10-D10+B10)</f>
        <v>1807.7</v>
      </c>
      <c r="H10" s="2"/>
    </row>
    <row r="11" spans="1:8" ht="15" customHeight="1" x14ac:dyDescent="0.25">
      <c r="A11" s="63" t="s">
        <v>36</v>
      </c>
      <c r="B11" s="43">
        <v>476.3</v>
      </c>
      <c r="C11" s="39"/>
      <c r="D11" s="43">
        <v>563.70000000000005</v>
      </c>
      <c r="E11" s="39"/>
      <c r="F11" s="44">
        <v>2280.6</v>
      </c>
      <c r="G11" s="42">
        <f t="shared" si="1"/>
        <v>2193.1999999999998</v>
      </c>
      <c r="H11" s="2"/>
    </row>
    <row r="12" spans="1:8" ht="15" customHeight="1" x14ac:dyDescent="0.25">
      <c r="A12" s="63" t="s">
        <v>37</v>
      </c>
      <c r="B12" s="43">
        <v>570.1</v>
      </c>
      <c r="C12" s="39"/>
      <c r="D12" s="43">
        <v>567.70000000000005</v>
      </c>
      <c r="E12" s="39"/>
      <c r="F12" s="44">
        <v>2374.6999999999998</v>
      </c>
      <c r="G12" s="42">
        <f t="shared" si="1"/>
        <v>2377.1</v>
      </c>
      <c r="H12" s="2"/>
    </row>
    <row r="13" spans="1:8" ht="15" customHeight="1" x14ac:dyDescent="0.25">
      <c r="A13" s="63" t="s">
        <v>43</v>
      </c>
      <c r="B13" s="43">
        <v>71.5</v>
      </c>
      <c r="C13" s="39"/>
      <c r="D13" s="43">
        <v>68.2</v>
      </c>
      <c r="E13" s="39"/>
      <c r="F13" s="44">
        <v>489.9</v>
      </c>
      <c r="G13" s="42">
        <f t="shared" si="1"/>
        <v>493.2</v>
      </c>
      <c r="H13" s="2"/>
    </row>
    <row r="14" spans="1:8" ht="15" customHeight="1" x14ac:dyDescent="0.25">
      <c r="A14" s="63" t="s">
        <v>39</v>
      </c>
      <c r="B14" s="43">
        <v>71.8</v>
      </c>
      <c r="C14" s="39"/>
      <c r="D14" s="43">
        <v>58.1</v>
      </c>
      <c r="E14" s="39"/>
      <c r="F14" s="44">
        <v>241.6</v>
      </c>
      <c r="G14" s="42">
        <f t="shared" si="1"/>
        <v>255.3</v>
      </c>
      <c r="H14" s="2"/>
    </row>
    <row r="15" spans="1:8" ht="15" customHeight="1" x14ac:dyDescent="0.25">
      <c r="A15" s="63" t="s">
        <v>48</v>
      </c>
      <c r="B15" s="51" t="s">
        <v>42</v>
      </c>
      <c r="C15" s="39"/>
      <c r="D15" s="43">
        <v>115.5</v>
      </c>
      <c r="E15" s="39"/>
      <c r="F15" s="44">
        <v>55.3</v>
      </c>
      <c r="G15" s="42">
        <f>(F15-D15)</f>
        <v>-60.2</v>
      </c>
      <c r="H15" s="2"/>
    </row>
    <row r="16" spans="1:8" ht="15" customHeight="1" x14ac:dyDescent="0.25">
      <c r="A16" s="63" t="s">
        <v>44</v>
      </c>
      <c r="B16" s="43">
        <v>-4.5999999999999996</v>
      </c>
      <c r="C16" s="39"/>
      <c r="D16" s="43">
        <v>11.5</v>
      </c>
      <c r="E16" s="39"/>
      <c r="F16" s="44">
        <v>-63.7</v>
      </c>
      <c r="G16" s="50">
        <f>(F16-D16+B16)</f>
        <v>-79.8</v>
      </c>
      <c r="H16" s="2"/>
    </row>
    <row r="17" spans="1:8" ht="15" customHeight="1" x14ac:dyDescent="0.25">
      <c r="A17" s="63" t="s">
        <v>46</v>
      </c>
      <c r="B17" s="51" t="s">
        <v>42</v>
      </c>
      <c r="C17" s="39"/>
      <c r="D17" s="43">
        <v>0.4</v>
      </c>
      <c r="E17" s="39"/>
      <c r="F17" s="44">
        <v>1.5</v>
      </c>
      <c r="G17" s="42">
        <f>(F17-D17)</f>
        <v>1.1000000000000001</v>
      </c>
      <c r="H17" s="2"/>
    </row>
    <row r="18" spans="1:8" ht="15" customHeight="1" x14ac:dyDescent="0.25">
      <c r="A18" s="63" t="s">
        <v>45</v>
      </c>
      <c r="B18" s="43">
        <v>75</v>
      </c>
      <c r="C18" s="39"/>
      <c r="D18" s="51" t="s">
        <v>42</v>
      </c>
      <c r="E18" s="39"/>
      <c r="F18" s="44" t="s">
        <v>42</v>
      </c>
      <c r="G18" s="52">
        <f>(B18)</f>
        <v>75</v>
      </c>
      <c r="H18" s="2"/>
    </row>
    <row r="19" spans="1:8" ht="15" customHeight="1" x14ac:dyDescent="0.25">
      <c r="A19" s="88" t="s">
        <v>47</v>
      </c>
      <c r="B19" s="45">
        <v>1714.4</v>
      </c>
      <c r="C19" s="39"/>
      <c r="D19" s="45">
        <v>1987.1</v>
      </c>
      <c r="E19" s="39"/>
      <c r="F19" s="46">
        <v>7335.3</v>
      </c>
      <c r="G19" s="47">
        <f t="shared" ref="G19:G24" si="2">(F19-D19+B19)</f>
        <v>7062.6</v>
      </c>
      <c r="H19" s="2"/>
    </row>
    <row r="20" spans="1:8" ht="15" customHeight="1" x14ac:dyDescent="0.25">
      <c r="A20" s="88" t="s">
        <v>60</v>
      </c>
      <c r="B20" s="53">
        <v>1819.9</v>
      </c>
      <c r="C20" s="39"/>
      <c r="D20" s="53">
        <v>1502.7</v>
      </c>
      <c r="E20" s="39"/>
      <c r="F20" s="46">
        <v>7042.6</v>
      </c>
      <c r="G20" s="47">
        <f t="shared" si="2"/>
        <v>7359.8000000000011</v>
      </c>
      <c r="H20" s="2"/>
    </row>
    <row r="21" spans="1:8" ht="15" customHeight="1" x14ac:dyDescent="0.25">
      <c r="A21" s="63" t="s">
        <v>51</v>
      </c>
      <c r="B21" s="43">
        <v>-120.5</v>
      </c>
      <c r="C21" s="39"/>
      <c r="D21" s="43">
        <v>357.3</v>
      </c>
      <c r="E21" s="39"/>
      <c r="F21" s="44">
        <v>83.3</v>
      </c>
      <c r="G21" s="42">
        <f t="shared" si="2"/>
        <v>-394.5</v>
      </c>
      <c r="H21" s="2"/>
    </row>
    <row r="22" spans="1:8" ht="15" customHeight="1" x14ac:dyDescent="0.25">
      <c r="A22" s="63" t="s">
        <v>52</v>
      </c>
      <c r="B22" s="40">
        <v>1699.4</v>
      </c>
      <c r="C22" s="39"/>
      <c r="D22" s="40">
        <v>1860</v>
      </c>
      <c r="E22" s="39"/>
      <c r="F22" s="44">
        <v>7125.9</v>
      </c>
      <c r="G22" s="50">
        <f t="shared" si="2"/>
        <v>6965.2999999999993</v>
      </c>
      <c r="H22" s="2"/>
    </row>
    <row r="23" spans="1:8" ht="15" customHeight="1" x14ac:dyDescent="0.25">
      <c r="A23" s="63" t="s">
        <v>54</v>
      </c>
      <c r="B23" s="43">
        <v>292</v>
      </c>
      <c r="C23" s="39"/>
      <c r="D23" s="43">
        <v>422.5</v>
      </c>
      <c r="E23" s="39"/>
      <c r="F23" s="44">
        <v>1158</v>
      </c>
      <c r="G23" s="42">
        <f t="shared" si="2"/>
        <v>1027.5</v>
      </c>
      <c r="H23" s="2"/>
    </row>
    <row r="24" spans="1:8" ht="15" customHeight="1" x14ac:dyDescent="0.25">
      <c r="A24" s="63" t="s">
        <v>55</v>
      </c>
      <c r="B24" s="43">
        <v>14.8</v>
      </c>
      <c r="C24" s="39"/>
      <c r="D24" s="43">
        <v>28.7</v>
      </c>
      <c r="E24" s="39"/>
      <c r="F24" s="44">
        <v>79.400000000000006</v>
      </c>
      <c r="G24" s="42">
        <f t="shared" si="2"/>
        <v>65.5</v>
      </c>
      <c r="H24" s="2"/>
    </row>
    <row r="25" spans="1:8" ht="15" customHeight="1" x14ac:dyDescent="0.25">
      <c r="A25" s="88" t="s">
        <v>56</v>
      </c>
      <c r="B25" s="53">
        <v>1392.6</v>
      </c>
      <c r="C25" s="39"/>
      <c r="D25" s="53">
        <v>1408.8</v>
      </c>
      <c r="E25" s="39"/>
      <c r="F25" s="46">
        <v>5888.5</v>
      </c>
      <c r="G25" s="47">
        <f>F25-D25+B25</f>
        <v>5872.2999999999993</v>
      </c>
      <c r="H25" s="2"/>
    </row>
    <row r="26" spans="1:8" ht="15" customHeight="1" x14ac:dyDescent="0.25">
      <c r="A26" s="63" t="s">
        <v>57</v>
      </c>
      <c r="B26" s="43">
        <v>6.5</v>
      </c>
      <c r="C26" s="39"/>
      <c r="D26" s="51" t="s">
        <v>42</v>
      </c>
      <c r="E26" s="39"/>
      <c r="F26" s="44" t="s">
        <v>42</v>
      </c>
      <c r="G26" s="52">
        <f>(B26)</f>
        <v>6.5</v>
      </c>
      <c r="H26" s="2"/>
    </row>
    <row r="27" spans="1:8" ht="15" customHeight="1" x14ac:dyDescent="0.25">
      <c r="A27" s="88" t="s">
        <v>58</v>
      </c>
      <c r="B27" s="53">
        <v>1399.1</v>
      </c>
      <c r="C27" s="39"/>
      <c r="D27" s="53">
        <v>1408.8</v>
      </c>
      <c r="E27" s="39"/>
      <c r="F27" s="46">
        <v>5888.5</v>
      </c>
      <c r="G27" s="47">
        <f>(F27-D27+B27)</f>
        <v>5878.7999999999993</v>
      </c>
      <c r="H27" s="2"/>
    </row>
    <row r="28" spans="1:8" ht="15" customHeight="1" x14ac:dyDescent="0.25">
      <c r="A28" s="64" t="s">
        <v>59</v>
      </c>
      <c r="B28" s="48" t="s">
        <v>42</v>
      </c>
      <c r="C28" s="39"/>
      <c r="D28" s="48" t="s">
        <v>42</v>
      </c>
      <c r="E28" s="39"/>
      <c r="F28" s="41" t="s">
        <v>42</v>
      </c>
      <c r="G28" s="49" t="s">
        <v>42</v>
      </c>
      <c r="H28" s="2"/>
    </row>
    <row r="29" spans="1:8" ht="15" customHeight="1" x14ac:dyDescent="0.25">
      <c r="A29" s="63" t="s">
        <v>61</v>
      </c>
      <c r="B29" s="54">
        <v>8.1</v>
      </c>
      <c r="C29" s="39"/>
      <c r="D29" s="54">
        <v>7.17</v>
      </c>
      <c r="E29" s="39"/>
      <c r="F29" s="41">
        <v>31.47</v>
      </c>
      <c r="G29" s="42">
        <f t="shared" ref="G29:G30" si="3">(F29-D29+B29)</f>
        <v>32.4</v>
      </c>
      <c r="H29" s="2"/>
    </row>
    <row r="30" spans="1:8" ht="15" customHeight="1" x14ac:dyDescent="0.25">
      <c r="A30" s="63" t="s">
        <v>63</v>
      </c>
      <c r="B30" s="54">
        <v>8.08</v>
      </c>
      <c r="C30" s="39"/>
      <c r="D30" s="54">
        <v>7.15</v>
      </c>
      <c r="E30" s="39"/>
      <c r="F30" s="44">
        <v>31.42</v>
      </c>
      <c r="G30" s="42">
        <f t="shared" si="3"/>
        <v>32.35</v>
      </c>
      <c r="H30" s="2"/>
    </row>
    <row r="31" spans="1:8" ht="15" customHeight="1" x14ac:dyDescent="0.25">
      <c r="A31" s="64" t="s">
        <v>64</v>
      </c>
      <c r="B31" s="55" t="s">
        <v>42</v>
      </c>
      <c r="C31" s="39"/>
      <c r="D31" s="55" t="s">
        <v>42</v>
      </c>
      <c r="E31" s="39"/>
      <c r="F31" s="41" t="s">
        <v>42</v>
      </c>
      <c r="G31" s="49" t="s">
        <v>42</v>
      </c>
      <c r="H31" s="2"/>
    </row>
    <row r="32" spans="1:8" ht="15" customHeight="1" x14ac:dyDescent="0.25">
      <c r="A32" s="63" t="s">
        <v>61</v>
      </c>
      <c r="B32" s="55">
        <v>172.8</v>
      </c>
      <c r="C32" s="39"/>
      <c r="D32" s="55">
        <v>196.6</v>
      </c>
      <c r="E32" s="39"/>
      <c r="F32" s="41">
        <v>187.1</v>
      </c>
      <c r="G32" s="42">
        <f t="shared" ref="G32:G33" si="4">(F32-D32+B32)</f>
        <v>163.30000000000001</v>
      </c>
      <c r="H32" s="2"/>
    </row>
    <row r="33" spans="1:8" ht="15" customHeight="1" x14ac:dyDescent="0.25">
      <c r="A33" s="65" t="s">
        <v>63</v>
      </c>
      <c r="B33" s="48">
        <v>173.1</v>
      </c>
      <c r="C33" s="39"/>
      <c r="D33" s="48">
        <v>197</v>
      </c>
      <c r="E33" s="39"/>
      <c r="F33" s="44">
        <v>187.4</v>
      </c>
      <c r="G33" s="42">
        <f t="shared" si="4"/>
        <v>163.5</v>
      </c>
      <c r="H33" s="2"/>
    </row>
    <row r="34" spans="1:8" ht="15" customHeight="1" x14ac:dyDescent="0.25">
      <c r="A34" s="89" t="s">
        <v>58</v>
      </c>
      <c r="B34" s="56" t="s">
        <v>89</v>
      </c>
      <c r="C34" s="39"/>
      <c r="D34" s="53">
        <v>1408.8</v>
      </c>
      <c r="E34" s="39"/>
      <c r="F34" s="46">
        <v>5888.5</v>
      </c>
      <c r="G34" s="47">
        <f>F34</f>
        <v>5888.5</v>
      </c>
    </row>
    <row r="35" spans="1:8" ht="15" customHeight="1" x14ac:dyDescent="0.2">
      <c r="A35" s="66" t="s">
        <v>67</v>
      </c>
      <c r="B35" s="48" t="s">
        <v>42</v>
      </c>
      <c r="C35" s="39"/>
      <c r="D35" s="48" t="s">
        <v>42</v>
      </c>
      <c r="E35" s="39"/>
      <c r="F35" s="48" t="s">
        <v>42</v>
      </c>
      <c r="G35" s="39"/>
    </row>
    <row r="36" spans="1:8" ht="15" customHeight="1" x14ac:dyDescent="0.2">
      <c r="A36" s="66" t="s">
        <v>68</v>
      </c>
      <c r="B36" s="48" t="s">
        <v>42</v>
      </c>
      <c r="C36" s="39"/>
      <c r="D36" s="48" t="s">
        <v>42</v>
      </c>
      <c r="E36" s="39"/>
      <c r="F36" s="48" t="s">
        <v>42</v>
      </c>
      <c r="G36" s="39"/>
    </row>
    <row r="37" spans="1:8" ht="15" customHeight="1" x14ac:dyDescent="0.2">
      <c r="A37" s="67" t="s">
        <v>70</v>
      </c>
      <c r="B37" s="48" t="s">
        <v>42</v>
      </c>
      <c r="C37" s="39"/>
      <c r="D37" s="48" t="s">
        <v>42</v>
      </c>
      <c r="E37" s="39"/>
      <c r="F37" s="41">
        <v>11.8</v>
      </c>
      <c r="G37" s="42">
        <f t="shared" ref="G37:G39" si="5">F37</f>
        <v>11.8</v>
      </c>
    </row>
    <row r="38" spans="1:8" ht="15" customHeight="1" x14ac:dyDescent="0.2">
      <c r="A38" s="67" t="s">
        <v>72</v>
      </c>
      <c r="B38" s="48"/>
      <c r="C38" s="39"/>
      <c r="D38" s="48"/>
      <c r="E38" s="39"/>
      <c r="F38" s="44">
        <v>-3.6</v>
      </c>
      <c r="G38" s="50">
        <f t="shared" si="5"/>
        <v>-3.6</v>
      </c>
    </row>
    <row r="39" spans="1:8" ht="15" customHeight="1" x14ac:dyDescent="0.2">
      <c r="A39" s="67" t="s">
        <v>74</v>
      </c>
      <c r="B39" s="48">
        <v>-7.8</v>
      </c>
      <c r="C39" s="39"/>
      <c r="D39" s="48">
        <v>6.9</v>
      </c>
      <c r="E39" s="39"/>
      <c r="F39" s="44">
        <v>8.1999999999999993</v>
      </c>
      <c r="G39" s="42">
        <f t="shared" si="5"/>
        <v>8.1999999999999993</v>
      </c>
    </row>
    <row r="40" spans="1:8" ht="15" customHeight="1" x14ac:dyDescent="0.2">
      <c r="A40" s="66" t="s">
        <v>77</v>
      </c>
      <c r="B40" s="48" t="s">
        <v>42</v>
      </c>
      <c r="C40" s="39"/>
      <c r="D40" s="48" t="s">
        <v>42</v>
      </c>
      <c r="E40" s="39"/>
      <c r="F40" s="41" t="s">
        <v>42</v>
      </c>
      <c r="G40" s="49" t="s">
        <v>42</v>
      </c>
    </row>
    <row r="41" spans="1:8" ht="15" customHeight="1" x14ac:dyDescent="0.2">
      <c r="A41" s="67" t="s">
        <v>70</v>
      </c>
      <c r="B41" s="48" t="s">
        <v>42</v>
      </c>
      <c r="C41" s="39"/>
      <c r="D41" s="48" t="s">
        <v>42</v>
      </c>
      <c r="E41" s="39"/>
      <c r="F41" s="44">
        <v>88.1</v>
      </c>
      <c r="G41" s="42">
        <f t="shared" ref="G41:G43" si="6">F41</f>
        <v>88.1</v>
      </c>
    </row>
    <row r="42" spans="1:8" ht="15" customHeight="1" x14ac:dyDescent="0.2">
      <c r="A42" s="67" t="s">
        <v>72</v>
      </c>
      <c r="B42" s="48" t="s">
        <v>42</v>
      </c>
      <c r="C42" s="39"/>
      <c r="D42" s="48" t="s">
        <v>42</v>
      </c>
      <c r="E42" s="39"/>
      <c r="F42" s="44">
        <v>-115</v>
      </c>
      <c r="G42" s="50">
        <f t="shared" si="6"/>
        <v>-115</v>
      </c>
    </row>
    <row r="43" spans="1:8" ht="15" customHeight="1" x14ac:dyDescent="0.2">
      <c r="A43" s="66" t="s">
        <v>80</v>
      </c>
      <c r="B43" s="48">
        <v>33.799999999999997</v>
      </c>
      <c r="C43" s="39"/>
      <c r="D43" s="48">
        <v>16.899999999999999</v>
      </c>
      <c r="E43" s="39"/>
      <c r="F43" s="44">
        <v>-26.9</v>
      </c>
      <c r="G43" s="42">
        <f t="shared" si="6"/>
        <v>-26.9</v>
      </c>
    </row>
    <row r="44" spans="1:8" ht="15" customHeight="1" x14ac:dyDescent="0.2">
      <c r="A44" s="66" t="s">
        <v>81</v>
      </c>
      <c r="B44" s="48">
        <v>23</v>
      </c>
      <c r="C44" s="39"/>
      <c r="D44" s="48">
        <v>14</v>
      </c>
      <c r="E44" s="39"/>
      <c r="F44" s="48" t="s">
        <v>42</v>
      </c>
      <c r="G44" s="39"/>
    </row>
    <row r="45" spans="1:8" ht="15" customHeight="1" x14ac:dyDescent="0.2">
      <c r="A45" s="66" t="s">
        <v>82</v>
      </c>
      <c r="B45" s="48" t="s">
        <v>42</v>
      </c>
      <c r="C45" s="39"/>
      <c r="D45" s="48" t="s">
        <v>42</v>
      </c>
      <c r="E45" s="39"/>
      <c r="F45" s="44">
        <v>28.6</v>
      </c>
      <c r="G45" s="42">
        <f t="shared" ref="G45:G53" si="7">F45</f>
        <v>28.6</v>
      </c>
    </row>
    <row r="46" spans="1:8" ht="15" customHeight="1" x14ac:dyDescent="0.2">
      <c r="A46" s="67" t="s">
        <v>72</v>
      </c>
      <c r="B46" s="48" t="s">
        <v>42</v>
      </c>
      <c r="C46" s="39"/>
      <c r="D46" s="48" t="s">
        <v>42</v>
      </c>
      <c r="E46" s="39"/>
      <c r="F46" s="44">
        <v>-7</v>
      </c>
      <c r="G46" s="50">
        <f t="shared" si="7"/>
        <v>-7</v>
      </c>
    </row>
    <row r="47" spans="1:8" ht="15" customHeight="1" x14ac:dyDescent="0.2">
      <c r="A47" s="66" t="s">
        <v>84</v>
      </c>
      <c r="B47" s="48" t="s">
        <v>42</v>
      </c>
      <c r="C47" s="39"/>
      <c r="D47" s="48" t="s">
        <v>42</v>
      </c>
      <c r="E47" s="39"/>
      <c r="F47" s="44">
        <v>21.6</v>
      </c>
      <c r="G47" s="42">
        <f t="shared" si="7"/>
        <v>21.6</v>
      </c>
    </row>
    <row r="48" spans="1:8" ht="15" customHeight="1" x14ac:dyDescent="0.2">
      <c r="A48" s="67" t="s">
        <v>86</v>
      </c>
      <c r="B48" s="48">
        <v>0.8</v>
      </c>
      <c r="C48" s="39"/>
      <c r="D48" s="48">
        <v>0.6</v>
      </c>
      <c r="E48" s="39"/>
      <c r="F48" s="44">
        <v>-1.5</v>
      </c>
      <c r="G48" s="42">
        <f t="shared" si="7"/>
        <v>-1.5</v>
      </c>
    </row>
    <row r="49" spans="1:7" ht="15" customHeight="1" x14ac:dyDescent="0.2">
      <c r="A49" s="66" t="s">
        <v>88</v>
      </c>
      <c r="B49" s="48">
        <v>-63.9</v>
      </c>
      <c r="C49" s="39"/>
      <c r="D49" s="48">
        <v>-17.8</v>
      </c>
      <c r="E49" s="39"/>
      <c r="F49" s="44">
        <v>103.8</v>
      </c>
      <c r="G49" s="42">
        <f t="shared" si="7"/>
        <v>103.8</v>
      </c>
    </row>
    <row r="50" spans="1:7" ht="15" customHeight="1" x14ac:dyDescent="0.2">
      <c r="A50" s="66" t="s">
        <v>91</v>
      </c>
      <c r="B50" s="57">
        <v>-14.1</v>
      </c>
      <c r="C50" s="39"/>
      <c r="D50" s="57">
        <v>-20.6</v>
      </c>
      <c r="E50" s="39"/>
      <c r="F50" s="44">
        <v>105.2</v>
      </c>
      <c r="G50" s="42">
        <f t="shared" si="7"/>
        <v>105.2</v>
      </c>
    </row>
    <row r="51" spans="1:7" ht="15" customHeight="1" x14ac:dyDescent="0.2">
      <c r="A51" s="89" t="s">
        <v>93</v>
      </c>
      <c r="B51" s="57">
        <v>1385</v>
      </c>
      <c r="C51" s="39"/>
      <c r="D51" s="57">
        <v>1429.4</v>
      </c>
      <c r="E51" s="39"/>
      <c r="F51" s="44">
        <v>5993.7</v>
      </c>
      <c r="G51" s="42">
        <f t="shared" si="7"/>
        <v>5993.7</v>
      </c>
    </row>
    <row r="52" spans="1:7" ht="15" customHeight="1" x14ac:dyDescent="0.2">
      <c r="A52" s="67" t="s">
        <v>95</v>
      </c>
      <c r="B52" s="58">
        <v>-5.9</v>
      </c>
      <c r="C52" s="39"/>
      <c r="D52" s="51" t="s">
        <v>42</v>
      </c>
      <c r="E52" s="39"/>
      <c r="F52" s="44">
        <v>-0.4</v>
      </c>
      <c r="G52" s="50">
        <f t="shared" si="7"/>
        <v>-0.4</v>
      </c>
    </row>
    <row r="53" spans="1:7" ht="15" customHeight="1" x14ac:dyDescent="0.2">
      <c r="A53" s="89" t="s">
        <v>97</v>
      </c>
      <c r="B53" s="59">
        <v>1379.1</v>
      </c>
      <c r="C53" s="39"/>
      <c r="D53" s="57">
        <v>1429.4</v>
      </c>
      <c r="E53" s="39"/>
      <c r="F53" s="44">
        <v>5993.3</v>
      </c>
      <c r="G53" s="42">
        <f t="shared" si="7"/>
        <v>5993.3</v>
      </c>
    </row>
    <row r="54" spans="1:7" ht="15" customHeight="1" x14ac:dyDescent="0.2">
      <c r="F54" s="8"/>
    </row>
    <row r="55" spans="1:7" ht="15" customHeight="1" x14ac:dyDescent="0.2">
      <c r="F55" s="8"/>
    </row>
    <row r="56" spans="1:7" ht="15" customHeight="1" x14ac:dyDescent="0.3">
      <c r="A56" s="83" t="s">
        <v>543</v>
      </c>
      <c r="B56" s="84"/>
      <c r="C56" s="84"/>
      <c r="D56" s="84"/>
      <c r="E56" s="85"/>
      <c r="F56" s="8"/>
    </row>
    <row r="57" spans="1:7" ht="15" customHeight="1" x14ac:dyDescent="0.25">
      <c r="A57" s="86"/>
      <c r="B57" s="87" t="s">
        <v>128</v>
      </c>
      <c r="C57" s="70"/>
      <c r="D57" s="69" t="s">
        <v>50</v>
      </c>
      <c r="E57" s="70"/>
      <c r="F57" s="8"/>
    </row>
    <row r="58" spans="1:7" ht="15" customHeight="1" x14ac:dyDescent="0.2">
      <c r="A58" s="115" t="s">
        <v>53</v>
      </c>
      <c r="B58" s="87">
        <v>2020</v>
      </c>
      <c r="C58" s="70"/>
      <c r="D58" s="69">
        <v>2019</v>
      </c>
      <c r="E58" s="70"/>
      <c r="F58" s="8"/>
    </row>
    <row r="59" spans="1:7" ht="15" customHeight="1" x14ac:dyDescent="0.2">
      <c r="A59" s="63" t="s">
        <v>130</v>
      </c>
      <c r="B59" s="73">
        <v>3860.4</v>
      </c>
      <c r="C59" s="39"/>
      <c r="D59" s="40">
        <v>4475.8999999999996</v>
      </c>
      <c r="E59" s="39"/>
    </row>
    <row r="60" spans="1:7" ht="15" customHeight="1" x14ac:dyDescent="0.2">
      <c r="A60" s="63" t="s">
        <v>71</v>
      </c>
      <c r="B60" s="73">
        <v>2604.1999999999998</v>
      </c>
      <c r="C60" s="39"/>
      <c r="D60" s="40">
        <v>2470.6999999999998</v>
      </c>
      <c r="E60" s="39"/>
      <c r="F60" s="12"/>
      <c r="G60" s="12"/>
    </row>
    <row r="61" spans="1:7" ht="15" customHeight="1" x14ac:dyDescent="0.2">
      <c r="A61" s="63" t="s">
        <v>76</v>
      </c>
      <c r="B61" s="74">
        <v>858.8</v>
      </c>
      <c r="C61" s="39"/>
      <c r="D61" s="43">
        <v>804.2</v>
      </c>
      <c r="E61" s="39"/>
    </row>
    <row r="62" spans="1:7" ht="15" customHeight="1" x14ac:dyDescent="0.2">
      <c r="A62" s="63" t="s">
        <v>78</v>
      </c>
      <c r="B62" s="74">
        <v>683.8</v>
      </c>
      <c r="C62" s="39"/>
      <c r="D62" s="43">
        <v>631</v>
      </c>
      <c r="E62" s="39"/>
    </row>
    <row r="63" spans="1:7" ht="15" customHeight="1" x14ac:dyDescent="0.2">
      <c r="A63" s="88" t="s">
        <v>79</v>
      </c>
      <c r="B63" s="75">
        <v>8007.2</v>
      </c>
      <c r="C63" s="39"/>
      <c r="D63" s="40">
        <v>8381.7999999999993</v>
      </c>
      <c r="E63" s="39"/>
    </row>
    <row r="64" spans="1:7" ht="15" customHeight="1" x14ac:dyDescent="0.2">
      <c r="A64" s="63" t="s">
        <v>69</v>
      </c>
      <c r="B64" s="74">
        <v>969.5</v>
      </c>
      <c r="C64" s="39"/>
      <c r="D64" s="40">
        <v>1408.1</v>
      </c>
      <c r="E64" s="39"/>
    </row>
    <row r="65" spans="1:7" ht="15" customHeight="1" x14ac:dyDescent="0.2">
      <c r="A65" s="63" t="s">
        <v>134</v>
      </c>
      <c r="B65" s="73">
        <v>3281.6</v>
      </c>
      <c r="C65" s="39"/>
      <c r="D65" s="40">
        <v>3247.3</v>
      </c>
      <c r="E65" s="39"/>
    </row>
    <row r="66" spans="1:7" ht="15" customHeight="1" x14ac:dyDescent="0.2">
      <c r="A66" s="63" t="s">
        <v>85</v>
      </c>
      <c r="B66" s="74">
        <v>422</v>
      </c>
      <c r="C66" s="39"/>
      <c r="D66" s="43">
        <v>427</v>
      </c>
      <c r="E66" s="39"/>
    </row>
    <row r="67" spans="1:7" ht="15" customHeight="1" x14ac:dyDescent="0.2">
      <c r="A67" s="63" t="s">
        <v>87</v>
      </c>
      <c r="B67" s="73">
        <v>3446.9</v>
      </c>
      <c r="C67" s="39"/>
      <c r="D67" s="40">
        <v>3527.4</v>
      </c>
      <c r="E67" s="39"/>
    </row>
    <row r="68" spans="1:7" ht="15" customHeight="1" x14ac:dyDescent="0.2">
      <c r="A68" s="63" t="s">
        <v>90</v>
      </c>
      <c r="B68" s="73">
        <v>5752</v>
      </c>
      <c r="C68" s="39"/>
      <c r="D68" s="40">
        <v>5757.8</v>
      </c>
      <c r="E68" s="39"/>
    </row>
    <row r="69" spans="1:7" ht="15" customHeight="1" x14ac:dyDescent="0.2">
      <c r="A69" s="63" t="s">
        <v>94</v>
      </c>
      <c r="B69" s="73">
        <v>4240</v>
      </c>
      <c r="C69" s="39"/>
      <c r="D69" s="40">
        <v>4484.8999999999996</v>
      </c>
      <c r="E69" s="39"/>
    </row>
    <row r="70" spans="1:7" ht="15" customHeight="1" x14ac:dyDescent="0.2">
      <c r="A70" s="88" t="s">
        <v>137</v>
      </c>
      <c r="B70" s="75">
        <v>26119.200000000001</v>
      </c>
      <c r="C70" s="39"/>
      <c r="D70" s="40">
        <v>27234.3</v>
      </c>
      <c r="E70" s="39"/>
    </row>
    <row r="71" spans="1:7" ht="15" customHeight="1" x14ac:dyDescent="0.25">
      <c r="A71" s="116" t="s">
        <v>98</v>
      </c>
      <c r="B71" s="76"/>
      <c r="C71" s="39"/>
      <c r="D71" s="48"/>
      <c r="E71" s="39"/>
    </row>
    <row r="72" spans="1:7" ht="15" customHeight="1" x14ac:dyDescent="0.2">
      <c r="A72" s="63" t="s">
        <v>138</v>
      </c>
      <c r="B72" s="73">
        <v>1501.8</v>
      </c>
      <c r="C72" s="39"/>
      <c r="D72" s="40">
        <v>1495.8</v>
      </c>
      <c r="E72" s="39"/>
    </row>
    <row r="73" spans="1:7" ht="15" customHeight="1" x14ac:dyDescent="0.2">
      <c r="A73" s="63" t="s">
        <v>141</v>
      </c>
      <c r="B73" s="73">
        <v>3136.8</v>
      </c>
      <c r="C73" s="39"/>
      <c r="D73" s="40">
        <v>3368</v>
      </c>
      <c r="E73" s="39"/>
    </row>
    <row r="74" spans="1:7" ht="15" customHeight="1" x14ac:dyDescent="0.2">
      <c r="A74" s="88" t="s">
        <v>103</v>
      </c>
      <c r="B74" s="75">
        <v>4638.6000000000004</v>
      </c>
      <c r="C74" s="39"/>
      <c r="D74" s="40">
        <v>4863.8</v>
      </c>
      <c r="E74" s="39"/>
    </row>
    <row r="75" spans="1:7" ht="15" customHeight="1" x14ac:dyDescent="0.2">
      <c r="A75" s="63" t="s">
        <v>105</v>
      </c>
      <c r="B75" s="73">
        <v>4459.8999999999996</v>
      </c>
      <c r="C75" s="39"/>
      <c r="D75" s="40">
        <v>4459</v>
      </c>
      <c r="E75" s="39"/>
      <c r="G75" s="12"/>
    </row>
    <row r="76" spans="1:7" ht="15" customHeight="1" x14ac:dyDescent="0.2">
      <c r="A76" s="63" t="s">
        <v>107</v>
      </c>
      <c r="B76" s="74">
        <v>403.7</v>
      </c>
      <c r="C76" s="39"/>
      <c r="D76" s="43">
        <v>412.7</v>
      </c>
      <c r="E76" s="39"/>
    </row>
    <row r="77" spans="1:7" ht="15" customHeight="1" x14ac:dyDescent="0.2">
      <c r="A77" s="63" t="s">
        <v>108</v>
      </c>
      <c r="B77" s="73">
        <v>4080.1</v>
      </c>
      <c r="C77" s="39"/>
      <c r="D77" s="40">
        <v>4159.7</v>
      </c>
      <c r="E77" s="39"/>
    </row>
    <row r="78" spans="1:7" ht="15" customHeight="1" x14ac:dyDescent="0.2">
      <c r="A78" s="88" t="s">
        <v>154</v>
      </c>
      <c r="B78" s="75">
        <v>12536.9</v>
      </c>
      <c r="C78" s="39"/>
      <c r="D78" s="40">
        <v>13339.1</v>
      </c>
      <c r="E78" s="39"/>
    </row>
    <row r="79" spans="1:7" ht="15" customHeight="1" x14ac:dyDescent="0.2">
      <c r="A79" s="88" t="s">
        <v>156</v>
      </c>
      <c r="B79" s="75">
        <v>26119.200000000001</v>
      </c>
      <c r="C79" s="39"/>
      <c r="D79" s="40">
        <v>27234.3</v>
      </c>
      <c r="E79" s="39"/>
    </row>
    <row r="80" spans="1:7" ht="15.75" customHeight="1" x14ac:dyDescent="0.2"/>
    <row r="81" spans="1:11" ht="15.75" customHeight="1" x14ac:dyDescent="0.2"/>
    <row r="82" spans="1:11" ht="15" customHeight="1" x14ac:dyDescent="0.2">
      <c r="A82" s="102" t="s">
        <v>158</v>
      </c>
      <c r="B82" s="103"/>
      <c r="C82" s="103"/>
      <c r="D82" s="103"/>
      <c r="E82" s="103"/>
      <c r="F82" s="103"/>
      <c r="G82" s="104"/>
    </row>
    <row r="83" spans="1:11" ht="15.75" customHeight="1" x14ac:dyDescent="0.2">
      <c r="A83" s="105"/>
      <c r="B83" s="106"/>
      <c r="C83" s="106"/>
      <c r="D83" s="106"/>
      <c r="E83" s="106"/>
      <c r="F83" s="106"/>
      <c r="G83" s="107"/>
    </row>
    <row r="84" spans="1:11" ht="15" customHeight="1" x14ac:dyDescent="0.25">
      <c r="A84" s="90"/>
      <c r="B84" s="111">
        <v>2020</v>
      </c>
      <c r="C84" s="112"/>
      <c r="D84" s="111">
        <v>2019</v>
      </c>
      <c r="E84" s="112"/>
      <c r="F84" s="113">
        <v>2019</v>
      </c>
      <c r="G84" s="114" t="s">
        <v>167</v>
      </c>
    </row>
    <row r="85" spans="1:11" ht="15" customHeight="1" x14ac:dyDescent="0.25">
      <c r="A85" s="110" t="s">
        <v>56</v>
      </c>
      <c r="B85" s="92">
        <v>1392.6</v>
      </c>
      <c r="C85" s="91"/>
      <c r="D85" s="93">
        <v>1408.8</v>
      </c>
      <c r="E85" s="91"/>
      <c r="F85" s="94">
        <v>5888.5</v>
      </c>
      <c r="G85" s="95">
        <f>F85-D85+B85</f>
        <v>5872.2999999999993</v>
      </c>
      <c r="H85" s="10"/>
      <c r="I85" s="10"/>
      <c r="J85" s="10"/>
      <c r="K85" s="10"/>
    </row>
    <row r="86" spans="1:11" ht="15" customHeight="1" x14ac:dyDescent="0.2">
      <c r="A86" s="108" t="s">
        <v>126</v>
      </c>
      <c r="B86" s="92"/>
      <c r="C86" s="91"/>
      <c r="D86" s="92"/>
      <c r="E86" s="91"/>
      <c r="F86" s="96"/>
      <c r="G86" s="97"/>
      <c r="H86" s="10"/>
      <c r="I86" s="10"/>
      <c r="J86" s="10"/>
      <c r="K86" s="10"/>
    </row>
    <row r="87" spans="1:11" ht="15" customHeight="1" x14ac:dyDescent="0.2">
      <c r="A87" s="109" t="s">
        <v>129</v>
      </c>
      <c r="B87" s="92">
        <v>119.9</v>
      </c>
      <c r="C87" s="91"/>
      <c r="D87" s="92">
        <v>121.1</v>
      </c>
      <c r="E87" s="91"/>
      <c r="F87" s="96">
        <v>680.6</v>
      </c>
      <c r="G87" s="98">
        <f>F87-D87+B87</f>
        <v>679.4</v>
      </c>
      <c r="H87" s="10"/>
      <c r="I87" s="10"/>
      <c r="J87" s="10"/>
      <c r="K87" s="10"/>
    </row>
    <row r="88" spans="1:11" ht="15" customHeight="1" x14ac:dyDescent="0.2">
      <c r="A88" s="109" t="s">
        <v>45</v>
      </c>
      <c r="B88" s="93">
        <v>75</v>
      </c>
      <c r="C88" s="91"/>
      <c r="D88" s="93" t="s">
        <v>42</v>
      </c>
      <c r="E88" s="91"/>
      <c r="F88" s="96" t="s">
        <v>42</v>
      </c>
      <c r="G88" s="98">
        <f>B88</f>
        <v>75</v>
      </c>
      <c r="H88" s="10"/>
      <c r="I88" s="10"/>
      <c r="J88" s="10"/>
      <c r="K88" s="10"/>
    </row>
    <row r="89" spans="1:11" ht="15" customHeight="1" x14ac:dyDescent="0.2">
      <c r="A89" s="109" t="s">
        <v>131</v>
      </c>
      <c r="B89" s="93">
        <v>67.7</v>
      </c>
      <c r="C89" s="91"/>
      <c r="D89" s="93">
        <v>45.7</v>
      </c>
      <c r="E89" s="91"/>
      <c r="F89" s="96">
        <v>182.3</v>
      </c>
      <c r="G89" s="98">
        <f t="shared" ref="G89:G90" si="8">F89-D89+B89</f>
        <v>204.3</v>
      </c>
      <c r="H89" s="10"/>
      <c r="I89" s="10"/>
      <c r="J89" s="10"/>
      <c r="K89" s="10"/>
    </row>
    <row r="90" spans="1:11" ht="15" customHeight="1" x14ac:dyDescent="0.2">
      <c r="A90" s="109" t="s">
        <v>133</v>
      </c>
      <c r="B90" s="93">
        <v>-4.5999999999999996</v>
      </c>
      <c r="C90" s="91"/>
      <c r="D90" s="93">
        <v>11.5</v>
      </c>
      <c r="E90" s="91"/>
      <c r="F90" s="96">
        <v>-63.7</v>
      </c>
      <c r="G90" s="98">
        <f t="shared" si="8"/>
        <v>-79.8</v>
      </c>
      <c r="H90" s="10"/>
      <c r="I90" s="10"/>
      <c r="J90" s="10"/>
      <c r="K90" s="10"/>
    </row>
    <row r="91" spans="1:11" ht="15" customHeight="1" x14ac:dyDescent="0.2">
      <c r="A91" s="108" t="s">
        <v>40</v>
      </c>
      <c r="B91" s="93" t="s">
        <v>42</v>
      </c>
      <c r="C91" s="91"/>
      <c r="D91" s="93">
        <v>115.5</v>
      </c>
      <c r="E91" s="91"/>
      <c r="F91" s="96">
        <v>55.3</v>
      </c>
      <c r="G91" s="98">
        <f>F91-D91</f>
        <v>-60.2</v>
      </c>
      <c r="H91" s="10"/>
      <c r="I91" s="10"/>
      <c r="J91" s="10"/>
      <c r="K91" s="10"/>
    </row>
    <row r="92" spans="1:11" ht="15" customHeight="1" x14ac:dyDescent="0.2">
      <c r="A92" s="109" t="s">
        <v>132</v>
      </c>
      <c r="B92" s="93">
        <v>36.9</v>
      </c>
      <c r="C92" s="91"/>
      <c r="D92" s="93">
        <v>228</v>
      </c>
      <c r="E92" s="91"/>
      <c r="F92" s="96">
        <v>67.099999999999994</v>
      </c>
      <c r="G92" s="98">
        <f t="shared" ref="G92:G93" si="9">F92-D92+B92</f>
        <v>-124</v>
      </c>
      <c r="H92" s="10"/>
      <c r="I92" s="10"/>
      <c r="J92" s="10"/>
      <c r="K92" s="10"/>
    </row>
    <row r="93" spans="1:11" ht="15" customHeight="1" x14ac:dyDescent="0.2">
      <c r="A93" s="109" t="s">
        <v>196</v>
      </c>
      <c r="B93" s="93">
        <v>62</v>
      </c>
      <c r="C93" s="91"/>
      <c r="D93" s="93">
        <v>-375</v>
      </c>
      <c r="E93" s="91"/>
      <c r="F93" s="96"/>
      <c r="G93" s="98">
        <f t="shared" si="9"/>
        <v>437</v>
      </c>
      <c r="H93" s="10"/>
      <c r="I93" s="10"/>
      <c r="J93" s="10"/>
      <c r="K93" s="10"/>
    </row>
    <row r="94" spans="1:11" ht="15" customHeight="1" x14ac:dyDescent="0.2">
      <c r="A94" s="109" t="s">
        <v>198</v>
      </c>
      <c r="B94" s="93" t="s">
        <v>42</v>
      </c>
      <c r="C94" s="91"/>
      <c r="D94" s="93" t="s">
        <v>42</v>
      </c>
      <c r="E94" s="91"/>
      <c r="F94" s="93" t="s">
        <v>42</v>
      </c>
      <c r="G94" s="91"/>
      <c r="H94" s="10"/>
      <c r="I94" s="10"/>
      <c r="J94" s="10"/>
      <c r="K94" s="10"/>
    </row>
    <row r="95" spans="1:11" ht="15" customHeight="1" x14ac:dyDescent="0.2">
      <c r="A95" s="109" t="s">
        <v>26</v>
      </c>
      <c r="B95" s="93">
        <v>45.7</v>
      </c>
      <c r="C95" s="91"/>
      <c r="D95" s="93">
        <v>50.7</v>
      </c>
      <c r="E95" s="91"/>
      <c r="F95" s="96">
        <v>69.2</v>
      </c>
      <c r="G95" s="98">
        <f>F95-D95+B95</f>
        <v>64.2</v>
      </c>
      <c r="H95" s="10"/>
      <c r="I95" s="10"/>
      <c r="J95" s="10"/>
      <c r="K95" s="10"/>
    </row>
    <row r="96" spans="1:11" ht="15" customHeight="1" x14ac:dyDescent="0.25">
      <c r="A96" s="110" t="s">
        <v>139</v>
      </c>
      <c r="B96" s="92"/>
      <c r="C96" s="91"/>
      <c r="D96" s="92"/>
      <c r="E96" s="91"/>
      <c r="F96" s="96"/>
      <c r="G96" s="98"/>
      <c r="H96" s="10"/>
      <c r="I96" s="10"/>
      <c r="J96" s="10"/>
      <c r="K96" s="10"/>
    </row>
    <row r="97" spans="1:11" ht="15" customHeight="1" x14ac:dyDescent="0.2">
      <c r="A97" s="109" t="s">
        <v>142</v>
      </c>
      <c r="B97" s="92">
        <v>-238.4</v>
      </c>
      <c r="C97" s="91"/>
      <c r="D97" s="92">
        <v>-136.6</v>
      </c>
      <c r="E97" s="91"/>
      <c r="F97" s="96">
        <v>68.8</v>
      </c>
      <c r="G97" s="98">
        <f>F97-D97+B97</f>
        <v>-33.000000000000028</v>
      </c>
      <c r="H97" s="10"/>
      <c r="I97" s="10"/>
      <c r="J97" s="10"/>
      <c r="K97" s="10"/>
    </row>
    <row r="98" spans="1:11" ht="15" customHeight="1" x14ac:dyDescent="0.2">
      <c r="A98" s="109" t="s">
        <v>73</v>
      </c>
      <c r="B98" s="93">
        <v>78.599999999999994</v>
      </c>
      <c r="C98" s="91"/>
      <c r="D98" s="93" t="s">
        <v>42</v>
      </c>
      <c r="E98" s="91"/>
      <c r="F98" s="96">
        <v>-63.3</v>
      </c>
      <c r="G98" s="98">
        <f>F98+B98</f>
        <v>15.299999999999997</v>
      </c>
      <c r="H98" s="10"/>
      <c r="I98" s="10"/>
      <c r="J98" s="10"/>
      <c r="K98" s="10"/>
    </row>
    <row r="99" spans="1:11" ht="15" customHeight="1" x14ac:dyDescent="0.2">
      <c r="A99" s="109" t="s">
        <v>76</v>
      </c>
      <c r="B99" s="93">
        <v>-62.2</v>
      </c>
      <c r="C99" s="91"/>
      <c r="D99" s="93">
        <v>129</v>
      </c>
      <c r="E99" s="91"/>
      <c r="F99" s="96">
        <v>-19.2</v>
      </c>
      <c r="G99" s="98">
        <f t="shared" ref="G99:G103" si="10">F99-D99+B99</f>
        <v>-210.39999999999998</v>
      </c>
      <c r="H99" s="10"/>
      <c r="I99" s="10"/>
      <c r="J99" s="10"/>
      <c r="K99" s="10"/>
    </row>
    <row r="100" spans="1:11" ht="15" customHeight="1" x14ac:dyDescent="0.2">
      <c r="A100" s="109" t="s">
        <v>206</v>
      </c>
      <c r="B100" s="93">
        <v>-347.4</v>
      </c>
      <c r="C100" s="91"/>
      <c r="D100" s="93">
        <v>-138.4</v>
      </c>
      <c r="E100" s="91"/>
      <c r="F100" s="96">
        <v>240.2</v>
      </c>
      <c r="G100" s="98">
        <f t="shared" si="10"/>
        <v>31.200000000000045</v>
      </c>
      <c r="H100" s="10"/>
      <c r="I100" s="10"/>
      <c r="J100" s="10"/>
      <c r="K100" s="10"/>
    </row>
    <row r="101" spans="1:11" ht="15" customHeight="1" x14ac:dyDescent="0.2">
      <c r="A101" s="109" t="s">
        <v>152</v>
      </c>
      <c r="B101" s="93">
        <v>223</v>
      </c>
      <c r="C101" s="91"/>
      <c r="D101" s="93">
        <v>170.3</v>
      </c>
      <c r="E101" s="91"/>
      <c r="F101" s="96">
        <v>16.100000000000001</v>
      </c>
      <c r="G101" s="98">
        <f t="shared" si="10"/>
        <v>68.799999999999983</v>
      </c>
      <c r="H101" s="10"/>
      <c r="I101" s="10"/>
      <c r="J101" s="10"/>
      <c r="K101" s="10"/>
    </row>
    <row r="102" spans="1:11" ht="15" customHeight="1" x14ac:dyDescent="0.2">
      <c r="A102" s="109" t="s">
        <v>208</v>
      </c>
      <c r="B102" s="93">
        <v>18.5</v>
      </c>
      <c r="C102" s="91"/>
      <c r="D102" s="93">
        <v>-171.1</v>
      </c>
      <c r="E102" s="91"/>
      <c r="F102" s="96">
        <v>-43.3</v>
      </c>
      <c r="G102" s="98">
        <f t="shared" si="10"/>
        <v>146.30000000000001</v>
      </c>
      <c r="H102" s="10"/>
      <c r="I102" s="10"/>
      <c r="J102" s="10"/>
      <c r="K102" s="10"/>
    </row>
    <row r="103" spans="1:11" ht="15" customHeight="1" x14ac:dyDescent="0.25">
      <c r="A103" s="110" t="s">
        <v>155</v>
      </c>
      <c r="B103" s="99">
        <v>1467.3</v>
      </c>
      <c r="C103" s="91"/>
      <c r="D103" s="99">
        <v>1459.5</v>
      </c>
      <c r="E103" s="91"/>
      <c r="F103" s="100">
        <v>7078.6</v>
      </c>
      <c r="G103" s="95">
        <f t="shared" si="10"/>
        <v>7086.4000000000005</v>
      </c>
      <c r="H103" s="10"/>
      <c r="I103" s="10"/>
      <c r="J103" s="10"/>
      <c r="K103" s="10"/>
    </row>
    <row r="104" spans="1:11" ht="15" customHeight="1" x14ac:dyDescent="0.2">
      <c r="A104" s="109" t="s">
        <v>159</v>
      </c>
      <c r="B104" s="92"/>
      <c r="C104" s="91"/>
      <c r="D104" s="93"/>
      <c r="E104" s="91"/>
      <c r="F104" s="94"/>
      <c r="G104" s="98"/>
      <c r="H104" s="10"/>
      <c r="I104" s="10"/>
      <c r="J104" s="10"/>
      <c r="K104" s="10"/>
    </row>
    <row r="105" spans="1:11" ht="15" customHeight="1" x14ac:dyDescent="0.2">
      <c r="A105" s="108" t="s">
        <v>160</v>
      </c>
      <c r="B105" s="92">
        <v>2389.3000000000002</v>
      </c>
      <c r="C105" s="91"/>
      <c r="D105" s="93">
        <v>1489.2</v>
      </c>
      <c r="E105" s="91"/>
      <c r="F105" s="94">
        <v>6007</v>
      </c>
      <c r="G105" s="98">
        <f t="shared" ref="G105:G106" si="11">F105-D105+B105</f>
        <v>6907.1</v>
      </c>
      <c r="H105" s="10"/>
      <c r="I105" s="10"/>
      <c r="J105" s="10"/>
      <c r="K105" s="10"/>
    </row>
    <row r="106" spans="1:11" ht="15" customHeight="1" x14ac:dyDescent="0.2">
      <c r="A106" s="109" t="s">
        <v>161</v>
      </c>
      <c r="B106" s="93">
        <v>-1684.7</v>
      </c>
      <c r="C106" s="91"/>
      <c r="D106" s="93">
        <v>-825</v>
      </c>
      <c r="E106" s="91"/>
      <c r="F106" s="96">
        <v>-5252.6</v>
      </c>
      <c r="G106" s="98">
        <f t="shared" si="11"/>
        <v>-6112.3</v>
      </c>
      <c r="H106" s="10"/>
      <c r="I106" s="10"/>
      <c r="J106" s="10"/>
      <c r="K106" s="10"/>
    </row>
    <row r="107" spans="1:11" ht="15" customHeight="1" x14ac:dyDescent="0.2">
      <c r="A107" s="108" t="s">
        <v>221</v>
      </c>
      <c r="B107" s="93" t="s">
        <v>42</v>
      </c>
      <c r="C107" s="91"/>
      <c r="D107" s="93">
        <v>-300</v>
      </c>
      <c r="E107" s="91"/>
      <c r="F107" s="96">
        <v>-300</v>
      </c>
      <c r="G107" s="98">
        <f>F107-D107</f>
        <v>0</v>
      </c>
      <c r="H107" s="10"/>
      <c r="I107" s="10"/>
      <c r="J107" s="10"/>
      <c r="K107" s="10"/>
    </row>
    <row r="108" spans="1:11" ht="15" customHeight="1" x14ac:dyDescent="0.2">
      <c r="A108" s="108" t="s">
        <v>163</v>
      </c>
      <c r="B108" s="92" t="s">
        <v>223</v>
      </c>
      <c r="C108" s="91"/>
      <c r="D108" s="92" t="s">
        <v>223</v>
      </c>
      <c r="E108" s="91"/>
      <c r="F108" s="96">
        <v>-744.4</v>
      </c>
      <c r="G108" s="97" t="str">
        <f t="shared" ref="G108:G109" si="12">B108</f>
        <v>-</v>
      </c>
      <c r="H108" s="10"/>
      <c r="I108" s="10"/>
      <c r="J108" s="10"/>
      <c r="K108" s="10"/>
    </row>
    <row r="109" spans="1:11" ht="15" customHeight="1" x14ac:dyDescent="0.2">
      <c r="A109" s="108" t="s">
        <v>226</v>
      </c>
      <c r="B109" s="92" t="s">
        <v>223</v>
      </c>
      <c r="C109" s="91"/>
      <c r="D109" s="92" t="s">
        <v>223</v>
      </c>
      <c r="E109" s="91"/>
      <c r="F109" s="96">
        <v>923.7</v>
      </c>
      <c r="G109" s="97" t="str">
        <f t="shared" si="12"/>
        <v>-</v>
      </c>
      <c r="H109" s="10"/>
      <c r="I109" s="10"/>
      <c r="J109" s="10"/>
      <c r="K109" s="10"/>
    </row>
    <row r="110" spans="1:11" ht="15" customHeight="1" x14ac:dyDescent="0.2">
      <c r="A110" s="109" t="s">
        <v>168</v>
      </c>
      <c r="B110" s="93">
        <v>-149.69999999999999</v>
      </c>
      <c r="C110" s="91"/>
      <c r="D110" s="93">
        <v>-127.1</v>
      </c>
      <c r="E110" s="91"/>
      <c r="F110" s="96">
        <v>-514.5</v>
      </c>
      <c r="G110" s="98">
        <f>F110-D110+B110</f>
        <v>-537.09999999999991</v>
      </c>
      <c r="H110" s="10"/>
      <c r="I110" s="10"/>
      <c r="J110" s="10"/>
      <c r="K110" s="10"/>
    </row>
    <row r="111" spans="1:11" ht="15" customHeight="1" x14ac:dyDescent="0.2">
      <c r="A111" s="109" t="s">
        <v>45</v>
      </c>
      <c r="B111" s="93">
        <v>-75</v>
      </c>
      <c r="C111" s="91"/>
      <c r="D111" s="93" t="s">
        <v>42</v>
      </c>
      <c r="E111" s="91"/>
      <c r="F111" s="96" t="s">
        <v>42</v>
      </c>
      <c r="G111" s="98">
        <f>B111</f>
        <v>-75</v>
      </c>
      <c r="H111" s="10"/>
      <c r="I111" s="10"/>
      <c r="J111" s="10"/>
      <c r="K111" s="10"/>
    </row>
    <row r="112" spans="1:11" ht="15" customHeight="1" x14ac:dyDescent="0.2">
      <c r="A112" s="109" t="s">
        <v>169</v>
      </c>
      <c r="B112" s="93">
        <v>-37</v>
      </c>
      <c r="C112" s="91"/>
      <c r="D112" s="93" t="s">
        <v>42</v>
      </c>
      <c r="E112" s="91"/>
      <c r="F112" s="96">
        <v>-155</v>
      </c>
      <c r="G112" s="98">
        <f t="shared" ref="G112:G113" si="13">F112+B112</f>
        <v>-192</v>
      </c>
      <c r="H112" s="10"/>
      <c r="I112" s="10"/>
      <c r="J112" s="10"/>
      <c r="K112" s="10"/>
    </row>
    <row r="113" spans="1:11" ht="15" customHeight="1" x14ac:dyDescent="0.2">
      <c r="A113" s="109" t="s">
        <v>173</v>
      </c>
      <c r="B113" s="93">
        <v>0.5</v>
      </c>
      <c r="C113" s="91"/>
      <c r="D113" s="93" t="s">
        <v>42</v>
      </c>
      <c r="E113" s="91"/>
      <c r="F113" s="96">
        <v>479.3</v>
      </c>
      <c r="G113" s="98">
        <f t="shared" si="13"/>
        <v>479.8</v>
      </c>
      <c r="H113" s="10"/>
      <c r="I113" s="10"/>
      <c r="J113" s="10"/>
      <c r="K113" s="10"/>
    </row>
    <row r="114" spans="1:11" ht="15" customHeight="1" x14ac:dyDescent="0.2">
      <c r="A114" s="109" t="s">
        <v>17</v>
      </c>
      <c r="B114" s="93">
        <v>-0.5</v>
      </c>
      <c r="C114" s="91"/>
      <c r="D114" s="93">
        <v>1.7</v>
      </c>
      <c r="E114" s="91"/>
      <c r="F114" s="96">
        <v>27</v>
      </c>
      <c r="G114" s="98">
        <f t="shared" ref="G114:G115" si="14">F114-D114+B114</f>
        <v>24.8</v>
      </c>
      <c r="H114" s="10"/>
      <c r="I114" s="10"/>
      <c r="J114" s="10"/>
      <c r="K114" s="10"/>
    </row>
    <row r="115" spans="1:11" ht="15" customHeight="1" x14ac:dyDescent="0.25">
      <c r="A115" s="110" t="s">
        <v>236</v>
      </c>
      <c r="B115" s="99">
        <v>442.9</v>
      </c>
      <c r="C115" s="91"/>
      <c r="D115" s="99">
        <v>238.8</v>
      </c>
      <c r="E115" s="91"/>
      <c r="F115" s="100">
        <v>470.5</v>
      </c>
      <c r="G115" s="95">
        <f t="shared" si="14"/>
        <v>674.59999999999991</v>
      </c>
      <c r="H115" s="10"/>
      <c r="I115" s="10"/>
      <c r="J115" s="10"/>
      <c r="K115" s="10"/>
    </row>
    <row r="116" spans="1:11" ht="15" customHeight="1" x14ac:dyDescent="0.2">
      <c r="A116" s="109" t="s">
        <v>179</v>
      </c>
      <c r="B116" s="92"/>
      <c r="C116" s="91"/>
      <c r="D116" s="93"/>
      <c r="E116" s="91"/>
      <c r="F116" s="96"/>
      <c r="G116" s="97"/>
      <c r="H116" s="10"/>
      <c r="I116" s="10"/>
      <c r="J116" s="10"/>
      <c r="K116" s="10"/>
    </row>
    <row r="117" spans="1:11" ht="15" customHeight="1" x14ac:dyDescent="0.2">
      <c r="A117" s="109" t="s">
        <v>182</v>
      </c>
      <c r="B117" s="92">
        <v>-2220.1999999999998</v>
      </c>
      <c r="C117" s="91"/>
      <c r="D117" s="93">
        <v>-655.8</v>
      </c>
      <c r="E117" s="91"/>
      <c r="F117" s="94">
        <v>-5868.3</v>
      </c>
      <c r="G117" s="98">
        <f>F117-D117+B117</f>
        <v>-7432.7</v>
      </c>
      <c r="H117" s="10"/>
      <c r="I117" s="10"/>
      <c r="J117" s="10"/>
      <c r="K117" s="10"/>
    </row>
    <row r="118" spans="1:11" ht="15" customHeight="1" x14ac:dyDescent="0.2">
      <c r="A118" s="108" t="s">
        <v>183</v>
      </c>
      <c r="B118" s="93">
        <v>-29.6</v>
      </c>
      <c r="C118" s="91"/>
      <c r="D118" s="93">
        <v>-32.200000000000003</v>
      </c>
      <c r="E118" s="91"/>
      <c r="F118" s="96" t="s">
        <v>223</v>
      </c>
      <c r="G118" s="98">
        <f>-D118+B118</f>
        <v>2.6000000000000014</v>
      </c>
      <c r="H118" s="10"/>
      <c r="I118" s="10"/>
      <c r="J118" s="10"/>
      <c r="K118" s="10"/>
    </row>
    <row r="119" spans="1:11" ht="15" customHeight="1" x14ac:dyDescent="0.2">
      <c r="A119" s="109" t="s">
        <v>26</v>
      </c>
      <c r="B119" s="93">
        <v>4.5</v>
      </c>
      <c r="C119" s="91"/>
      <c r="D119" s="93">
        <v>8.6999999999999993</v>
      </c>
      <c r="E119" s="91"/>
      <c r="F119" s="96">
        <v>3.6</v>
      </c>
      <c r="G119" s="101">
        <f t="shared" ref="G119:G124" si="15">F119-D119+B119</f>
        <v>-0.59999999999999964</v>
      </c>
      <c r="H119" s="10"/>
      <c r="I119" s="10"/>
      <c r="J119" s="10"/>
      <c r="K119" s="10"/>
    </row>
    <row r="120" spans="1:11" ht="15" customHeight="1" x14ac:dyDescent="0.25">
      <c r="A120" s="110" t="s">
        <v>192</v>
      </c>
      <c r="B120" s="99">
        <v>-2245.3000000000002</v>
      </c>
      <c r="C120" s="91"/>
      <c r="D120" s="99">
        <v>-679.3</v>
      </c>
      <c r="E120" s="91"/>
      <c r="F120" s="100">
        <v>-5860.4</v>
      </c>
      <c r="G120" s="95">
        <f t="shared" si="15"/>
        <v>-7426.4</v>
      </c>
      <c r="H120" s="10"/>
      <c r="I120" s="10"/>
      <c r="J120" s="10"/>
      <c r="K120" s="10"/>
    </row>
    <row r="121" spans="1:11" ht="15" customHeight="1" x14ac:dyDescent="0.2">
      <c r="A121" s="109" t="s">
        <v>193</v>
      </c>
      <c r="B121" s="93">
        <v>-335.1</v>
      </c>
      <c r="C121" s="91"/>
      <c r="D121" s="93">
        <v>1019</v>
      </c>
      <c r="E121" s="91"/>
      <c r="F121" s="96">
        <v>1688.7</v>
      </c>
      <c r="G121" s="98">
        <f t="shared" si="15"/>
        <v>334.6</v>
      </c>
      <c r="H121" s="10"/>
      <c r="I121" s="10"/>
      <c r="J121" s="10"/>
      <c r="K121" s="10"/>
    </row>
    <row r="122" spans="1:11" ht="15" customHeight="1" x14ac:dyDescent="0.2">
      <c r="A122" s="108" t="s">
        <v>194</v>
      </c>
      <c r="B122" s="93">
        <v>12.7</v>
      </c>
      <c r="C122" s="91"/>
      <c r="D122" s="93">
        <v>-0.4</v>
      </c>
      <c r="E122" s="91"/>
      <c r="F122" s="96">
        <v>0.4</v>
      </c>
      <c r="G122" s="98">
        <f t="shared" si="15"/>
        <v>13.5</v>
      </c>
      <c r="H122" s="10"/>
      <c r="I122" s="10"/>
      <c r="J122" s="10"/>
      <c r="K122" s="10"/>
    </row>
    <row r="123" spans="1:11" ht="15" customHeight="1" x14ac:dyDescent="0.25">
      <c r="A123" s="110" t="s">
        <v>264</v>
      </c>
      <c r="B123" s="99">
        <v>2913.7</v>
      </c>
      <c r="C123" s="91"/>
      <c r="D123" s="99">
        <v>1224.5999999999999</v>
      </c>
      <c r="E123" s="91"/>
      <c r="F123" s="100">
        <v>1224.5999999999999</v>
      </c>
      <c r="G123" s="95">
        <f t="shared" si="15"/>
        <v>2913.7</v>
      </c>
      <c r="H123" s="10"/>
      <c r="I123" s="10"/>
      <c r="J123" s="10"/>
      <c r="K123" s="10"/>
    </row>
    <row r="124" spans="1:11" ht="15" customHeight="1" x14ac:dyDescent="0.25">
      <c r="A124" s="110" t="s">
        <v>268</v>
      </c>
      <c r="B124" s="99">
        <v>2591.3000000000002</v>
      </c>
      <c r="C124" s="91"/>
      <c r="D124" s="99">
        <v>2243.1999999999998</v>
      </c>
      <c r="E124" s="91"/>
      <c r="F124" s="100">
        <v>2913.7</v>
      </c>
      <c r="G124" s="95">
        <f t="shared" si="15"/>
        <v>3261.8</v>
      </c>
      <c r="H124" s="10"/>
      <c r="I124" s="10"/>
      <c r="J124" s="10"/>
      <c r="K124" s="10"/>
    </row>
    <row r="125" spans="1:11" ht="15.75" customHeight="1" x14ac:dyDescent="0.2">
      <c r="F125" s="10"/>
      <c r="G125" s="10"/>
      <c r="H125" s="10"/>
      <c r="I125" s="10"/>
      <c r="J125" s="10"/>
      <c r="K125" s="10"/>
    </row>
    <row r="126" spans="1:11" ht="15.75" customHeight="1" x14ac:dyDescent="0.2">
      <c r="F126" s="10"/>
      <c r="G126" s="10"/>
      <c r="H126" s="10"/>
      <c r="I126" s="10"/>
      <c r="J126" s="10"/>
      <c r="K126" s="10"/>
    </row>
    <row r="127" spans="1:11" ht="15.75" customHeight="1" x14ac:dyDescent="0.2">
      <c r="F127" s="10"/>
      <c r="G127" s="10"/>
      <c r="H127" s="10"/>
      <c r="I127" s="10"/>
      <c r="J127" s="10"/>
      <c r="K127" s="10"/>
    </row>
    <row r="128" spans="1:11" ht="15.75" customHeight="1" x14ac:dyDescent="0.2">
      <c r="F128" s="10"/>
      <c r="G128" s="10"/>
      <c r="H128" s="10"/>
      <c r="I128" s="10"/>
      <c r="J128" s="10"/>
      <c r="K128" s="10"/>
    </row>
    <row r="129" spans="6:11" ht="15.75" customHeight="1" x14ac:dyDescent="0.2">
      <c r="F129" s="20"/>
      <c r="G129" s="20"/>
      <c r="H129" s="10"/>
      <c r="I129" s="10"/>
      <c r="J129" s="10"/>
      <c r="K129" s="10"/>
    </row>
    <row r="130" spans="6:11" ht="15.75" customHeight="1" x14ac:dyDescent="0.2">
      <c r="F130" s="10"/>
      <c r="G130" s="10"/>
      <c r="H130" s="10"/>
      <c r="I130" s="10"/>
      <c r="J130" s="10"/>
      <c r="K130" s="10"/>
    </row>
    <row r="131" spans="6:11" ht="15.75" customHeight="1" x14ac:dyDescent="0.2">
      <c r="F131" s="10"/>
      <c r="G131" s="10"/>
      <c r="H131" s="10"/>
      <c r="I131" s="10"/>
      <c r="J131" s="10"/>
      <c r="K131" s="10"/>
    </row>
    <row r="132" spans="6:11" ht="15.75" customHeight="1" x14ac:dyDescent="0.2">
      <c r="F132" s="20"/>
      <c r="G132" s="20"/>
      <c r="H132" s="10"/>
      <c r="I132" s="10"/>
      <c r="J132" s="10"/>
      <c r="K132" s="10"/>
    </row>
    <row r="133" spans="6:11" ht="15.75" customHeight="1" x14ac:dyDescent="0.2">
      <c r="F133" s="20"/>
      <c r="G133" s="20"/>
      <c r="H133" s="10"/>
      <c r="I133" s="10"/>
      <c r="J133" s="10"/>
      <c r="K133" s="10"/>
    </row>
    <row r="134" spans="6:11" ht="15.75" customHeight="1" x14ac:dyDescent="0.2"/>
    <row r="135" spans="6:11" ht="15.75" customHeight="1" x14ac:dyDescent="0.2"/>
    <row r="136" spans="6:11" ht="15.75" customHeight="1" x14ac:dyDescent="0.2"/>
    <row r="137" spans="6:11" ht="15.75" customHeight="1" x14ac:dyDescent="0.2"/>
    <row r="138" spans="6:11" ht="15.75" customHeight="1" x14ac:dyDescent="0.2"/>
    <row r="139" spans="6:11" ht="15.75" customHeight="1" x14ac:dyDescent="0.2"/>
    <row r="140" spans="6:11" ht="15.75" customHeight="1" x14ac:dyDescent="0.2"/>
    <row r="141" spans="6:11" ht="15.75" customHeight="1" x14ac:dyDescent="0.2"/>
    <row r="142" spans="6:11" ht="15.75" customHeight="1" x14ac:dyDescent="0.2"/>
    <row r="143" spans="6:11" ht="15.75" customHeight="1" x14ac:dyDescent="0.2"/>
    <row r="144" spans="6:11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6">
    <mergeCell ref="F35:G35"/>
    <mergeCell ref="F36:G36"/>
    <mergeCell ref="F44:G44"/>
    <mergeCell ref="F94:G94"/>
    <mergeCell ref="B113:C113"/>
    <mergeCell ref="D113:E113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D112:E112"/>
    <mergeCell ref="D97:E97"/>
    <mergeCell ref="D98:E98"/>
    <mergeCell ref="D99:E99"/>
    <mergeCell ref="D100:E100"/>
    <mergeCell ref="D101:E101"/>
    <mergeCell ref="D102:E102"/>
    <mergeCell ref="B102:C102"/>
    <mergeCell ref="B103:C103"/>
    <mergeCell ref="B104:C104"/>
    <mergeCell ref="B114:C114"/>
    <mergeCell ref="D114:E114"/>
    <mergeCell ref="B115:C115"/>
    <mergeCell ref="D115:E115"/>
    <mergeCell ref="B116:C116"/>
    <mergeCell ref="D116:E116"/>
    <mergeCell ref="D117:E117"/>
    <mergeCell ref="B85:C85"/>
    <mergeCell ref="D85:E85"/>
    <mergeCell ref="B86:C86"/>
    <mergeCell ref="D86:E86"/>
    <mergeCell ref="B87:C87"/>
    <mergeCell ref="D87:E87"/>
    <mergeCell ref="D88:E88"/>
    <mergeCell ref="B88:C88"/>
    <mergeCell ref="B89:C89"/>
    <mergeCell ref="B90:C90"/>
    <mergeCell ref="B91:C91"/>
    <mergeCell ref="B92:C92"/>
    <mergeCell ref="B93:C93"/>
    <mergeCell ref="B94:C94"/>
    <mergeCell ref="D89:E89"/>
    <mergeCell ref="D90:E90"/>
    <mergeCell ref="D91:E91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D118:E118"/>
    <mergeCell ref="D119:E119"/>
    <mergeCell ref="D120:E120"/>
    <mergeCell ref="D121:E121"/>
    <mergeCell ref="D122:E122"/>
    <mergeCell ref="D123:E123"/>
    <mergeCell ref="D124:E124"/>
    <mergeCell ref="A82:G83"/>
    <mergeCell ref="B84:C84"/>
    <mergeCell ref="D84:E84"/>
    <mergeCell ref="D110:E110"/>
    <mergeCell ref="D111:E111"/>
    <mergeCell ref="D103:E103"/>
    <mergeCell ref="D104:E104"/>
    <mergeCell ref="D105:E105"/>
    <mergeCell ref="D106:E106"/>
    <mergeCell ref="D107:E107"/>
    <mergeCell ref="D108:E108"/>
    <mergeCell ref="D109:E109"/>
    <mergeCell ref="D92:E92"/>
    <mergeCell ref="D93:E93"/>
    <mergeCell ref="D94:E94"/>
    <mergeCell ref="D95:E95"/>
    <mergeCell ref="B95:C95"/>
    <mergeCell ref="B96:C96"/>
    <mergeCell ref="B97:C97"/>
    <mergeCell ref="B98:C98"/>
    <mergeCell ref="B99:C99"/>
    <mergeCell ref="B100:C100"/>
    <mergeCell ref="B101:C101"/>
    <mergeCell ref="D96:E96"/>
    <mergeCell ref="D68:E68"/>
    <mergeCell ref="B75:C75"/>
    <mergeCell ref="B76:C76"/>
    <mergeCell ref="B77:C77"/>
    <mergeCell ref="B78:C78"/>
    <mergeCell ref="B79:C79"/>
    <mergeCell ref="B68:C68"/>
    <mergeCell ref="B69:C69"/>
    <mergeCell ref="B70:C70"/>
    <mergeCell ref="B71:C71"/>
    <mergeCell ref="B72:C72"/>
    <mergeCell ref="B73:C73"/>
    <mergeCell ref="B74:C74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B65:C65"/>
    <mergeCell ref="B66:C66"/>
    <mergeCell ref="B67:C67"/>
    <mergeCell ref="D62:E62"/>
    <mergeCell ref="D63:E63"/>
    <mergeCell ref="D64:E64"/>
    <mergeCell ref="D65:E65"/>
    <mergeCell ref="D66:E66"/>
    <mergeCell ref="D67:E67"/>
    <mergeCell ref="B59:C59"/>
    <mergeCell ref="D59:E59"/>
    <mergeCell ref="B60:C60"/>
    <mergeCell ref="D60:E60"/>
    <mergeCell ref="D61:E61"/>
    <mergeCell ref="B61:C61"/>
    <mergeCell ref="B62:C62"/>
    <mergeCell ref="B63:C63"/>
    <mergeCell ref="B64:C64"/>
    <mergeCell ref="D51:E51"/>
    <mergeCell ref="D52:E52"/>
    <mergeCell ref="D53:E53"/>
    <mergeCell ref="A56:E56"/>
    <mergeCell ref="B57:C57"/>
    <mergeCell ref="D57:E57"/>
    <mergeCell ref="B58:C58"/>
    <mergeCell ref="D58:E58"/>
    <mergeCell ref="B50:C50"/>
    <mergeCell ref="B51:C51"/>
    <mergeCell ref="B52:C52"/>
    <mergeCell ref="B53:C53"/>
    <mergeCell ref="B41:C41"/>
    <mergeCell ref="D36:E36"/>
    <mergeCell ref="D37:E37"/>
    <mergeCell ref="D38:E38"/>
    <mergeCell ref="D39:E39"/>
    <mergeCell ref="D40:E40"/>
    <mergeCell ref="D41:E41"/>
    <mergeCell ref="D42:E42"/>
    <mergeCell ref="D50:E50"/>
    <mergeCell ref="B49:C49"/>
    <mergeCell ref="D43:E43"/>
    <mergeCell ref="D44:E44"/>
    <mergeCell ref="D45:E45"/>
    <mergeCell ref="D46:E46"/>
    <mergeCell ref="D47:E47"/>
    <mergeCell ref="D48:E48"/>
    <mergeCell ref="D49:E49"/>
    <mergeCell ref="B34:C34"/>
    <mergeCell ref="D34:E34"/>
    <mergeCell ref="D35:E35"/>
    <mergeCell ref="B35:C35"/>
    <mergeCell ref="B36:C36"/>
    <mergeCell ref="B37:C37"/>
    <mergeCell ref="B38:C38"/>
    <mergeCell ref="B39:C39"/>
    <mergeCell ref="B40:C40"/>
    <mergeCell ref="B42:C42"/>
    <mergeCell ref="B43:C43"/>
    <mergeCell ref="B44:C44"/>
    <mergeCell ref="B45:C45"/>
    <mergeCell ref="B46:C46"/>
    <mergeCell ref="B47:C47"/>
    <mergeCell ref="B48:C48"/>
    <mergeCell ref="B28:C28"/>
    <mergeCell ref="B29:C29"/>
    <mergeCell ref="B30:C30"/>
    <mergeCell ref="D30:E30"/>
    <mergeCell ref="B31:C31"/>
    <mergeCell ref="D31:E31"/>
    <mergeCell ref="B32:C32"/>
    <mergeCell ref="D32:E32"/>
    <mergeCell ref="B33:C33"/>
    <mergeCell ref="D33:E33"/>
    <mergeCell ref="D28:E28"/>
    <mergeCell ref="D29:E29"/>
    <mergeCell ref="D20:E20"/>
    <mergeCell ref="B20:C20"/>
    <mergeCell ref="B21:C21"/>
    <mergeCell ref="B22:C22"/>
    <mergeCell ref="B23:C23"/>
    <mergeCell ref="B24:C24"/>
    <mergeCell ref="B25:C25"/>
    <mergeCell ref="B26:C26"/>
    <mergeCell ref="B27:C27"/>
    <mergeCell ref="D21:E21"/>
    <mergeCell ref="D22:E22"/>
    <mergeCell ref="D23:E23"/>
    <mergeCell ref="D24:E24"/>
    <mergeCell ref="D25:E25"/>
    <mergeCell ref="D26:E26"/>
    <mergeCell ref="D27:E27"/>
    <mergeCell ref="D13:E13"/>
    <mergeCell ref="B13:C13"/>
    <mergeCell ref="B14:C14"/>
    <mergeCell ref="B15:C15"/>
    <mergeCell ref="B16:C16"/>
    <mergeCell ref="B17:C17"/>
    <mergeCell ref="B18:C18"/>
    <mergeCell ref="B19:C19"/>
    <mergeCell ref="D14:E14"/>
    <mergeCell ref="D15:E15"/>
    <mergeCell ref="D16:E16"/>
    <mergeCell ref="D17:E17"/>
    <mergeCell ref="D18:E18"/>
    <mergeCell ref="D19:E19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  <mergeCell ref="A1:G2"/>
    <mergeCell ref="B3:G3"/>
    <mergeCell ref="B4:C4"/>
    <mergeCell ref="D4:E4"/>
    <mergeCell ref="B5:C5"/>
    <mergeCell ref="D5:E5"/>
    <mergeCell ref="D6:E6"/>
    <mergeCell ref="B6:C6"/>
    <mergeCell ref="B7:C7"/>
    <mergeCell ref="D7:E7"/>
  </mergeCells>
  <conditionalFormatting sqref="F125:F1000">
    <cfRule type="containsBlanks" dxfId="1" priority="1">
      <formula>LEN(TRIM(F125))=0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  <outlinePr summaryBelow="0" summaryRight="0"/>
  </sheetPr>
  <dimension ref="A1:M1000"/>
  <sheetViews>
    <sheetView workbookViewId="0">
      <selection activeCell="A53" sqref="A53:B53"/>
    </sheetView>
  </sheetViews>
  <sheetFormatPr defaultColWidth="12.625" defaultRowHeight="15" customHeight="1" x14ac:dyDescent="0.2"/>
  <cols>
    <col min="1" max="1" width="28.125" customWidth="1"/>
    <col min="2" max="2" width="47.25" customWidth="1"/>
    <col min="3" max="3" width="10.125" customWidth="1"/>
    <col min="4" max="4" width="11" customWidth="1"/>
    <col min="5" max="5" width="10.25" customWidth="1"/>
    <col min="6" max="13" width="8.375" customWidth="1"/>
    <col min="14" max="26" width="9.625" customWidth="1"/>
  </cols>
  <sheetData>
    <row r="1" spans="1:5" ht="30" customHeight="1" x14ac:dyDescent="0.3">
      <c r="A1" s="136" t="s">
        <v>1</v>
      </c>
      <c r="B1" s="137"/>
      <c r="C1" s="137"/>
      <c r="D1" s="137"/>
      <c r="E1" s="138"/>
    </row>
    <row r="2" spans="1:5" x14ac:dyDescent="0.25">
      <c r="A2" s="118"/>
      <c r="B2" s="119"/>
      <c r="C2" s="119"/>
      <c r="D2" s="119"/>
      <c r="E2" s="120"/>
    </row>
    <row r="3" spans="1:5" ht="15" customHeight="1" x14ac:dyDescent="0.2">
      <c r="A3" s="121"/>
      <c r="B3" s="122"/>
      <c r="C3" s="139" t="s">
        <v>544</v>
      </c>
      <c r="D3" s="140"/>
      <c r="E3" s="141"/>
    </row>
    <row r="4" spans="1:5" ht="15" customHeight="1" x14ac:dyDescent="0.2">
      <c r="A4" s="123"/>
      <c r="B4" s="124"/>
      <c r="C4" s="125"/>
      <c r="D4" s="126"/>
      <c r="E4" s="126"/>
    </row>
    <row r="5" spans="1:5" ht="15" customHeight="1" x14ac:dyDescent="0.2">
      <c r="A5" s="151" t="s">
        <v>4</v>
      </c>
      <c r="B5" s="152"/>
      <c r="C5" s="127">
        <v>2019</v>
      </c>
      <c r="D5" s="128">
        <v>2018</v>
      </c>
      <c r="E5" s="128">
        <v>2017</v>
      </c>
    </row>
    <row r="6" spans="1:5" ht="15" customHeight="1" x14ac:dyDescent="0.2">
      <c r="A6" s="143" t="s">
        <v>5</v>
      </c>
      <c r="B6" s="142"/>
      <c r="C6" s="129">
        <v>11379.8</v>
      </c>
      <c r="D6" s="130">
        <v>10886.8</v>
      </c>
      <c r="E6" s="130">
        <v>10354.700000000001</v>
      </c>
    </row>
    <row r="7" spans="1:5" ht="15" customHeight="1" x14ac:dyDescent="0.2">
      <c r="A7" s="144" t="s">
        <v>11</v>
      </c>
      <c r="B7" s="142"/>
      <c r="C7" s="131">
        <v>2290.4</v>
      </c>
      <c r="D7" s="130">
        <v>1980.2</v>
      </c>
      <c r="E7" s="130">
        <v>1559.2</v>
      </c>
    </row>
    <row r="8" spans="1:5" ht="15" customHeight="1" x14ac:dyDescent="0.2">
      <c r="A8" s="145" t="s">
        <v>17</v>
      </c>
      <c r="B8" s="142"/>
      <c r="C8" s="131">
        <v>707.7</v>
      </c>
      <c r="D8" s="130">
        <v>585.9</v>
      </c>
      <c r="E8" s="130">
        <v>360</v>
      </c>
    </row>
    <row r="9" spans="1:5" ht="15" customHeight="1" x14ac:dyDescent="0.2">
      <c r="A9" s="153" t="s">
        <v>18</v>
      </c>
      <c r="B9" s="152"/>
      <c r="C9" s="132">
        <v>14377.9</v>
      </c>
      <c r="D9" s="130">
        <v>13452.9</v>
      </c>
      <c r="E9" s="130">
        <v>12273.9</v>
      </c>
    </row>
    <row r="10" spans="1:5" ht="15" customHeight="1" x14ac:dyDescent="0.2">
      <c r="A10" s="146" t="s">
        <v>33</v>
      </c>
      <c r="B10" s="142"/>
      <c r="C10" s="129"/>
      <c r="D10" s="130"/>
      <c r="E10" s="130"/>
    </row>
    <row r="11" spans="1:5" ht="15" customHeight="1" x14ac:dyDescent="0.2">
      <c r="A11" s="147" t="s">
        <v>34</v>
      </c>
      <c r="B11" s="142"/>
      <c r="C11" s="129">
        <v>1955.4</v>
      </c>
      <c r="D11" s="130">
        <v>1816.3</v>
      </c>
      <c r="E11" s="130">
        <v>1630</v>
      </c>
    </row>
    <row r="12" spans="1:5" ht="15" customHeight="1" x14ac:dyDescent="0.2">
      <c r="A12" s="145" t="s">
        <v>36</v>
      </c>
      <c r="B12" s="142"/>
      <c r="C12" s="131">
        <v>2280.6</v>
      </c>
      <c r="D12" s="130">
        <v>2597.1999999999998</v>
      </c>
      <c r="E12" s="130">
        <v>2253.6</v>
      </c>
    </row>
    <row r="13" spans="1:5" ht="15" customHeight="1" x14ac:dyDescent="0.2">
      <c r="A13" s="145" t="s">
        <v>37</v>
      </c>
      <c r="B13" s="142"/>
      <c r="C13" s="131">
        <v>2374.6999999999998</v>
      </c>
      <c r="D13" s="130">
        <v>2106.3000000000002</v>
      </c>
      <c r="E13" s="130">
        <v>1933.9</v>
      </c>
    </row>
    <row r="14" spans="1:5" ht="15" customHeight="1" x14ac:dyDescent="0.2">
      <c r="A14" s="145" t="s">
        <v>38</v>
      </c>
      <c r="B14" s="142"/>
      <c r="C14" s="131">
        <v>489.9</v>
      </c>
      <c r="D14" s="130">
        <v>747.3</v>
      </c>
      <c r="E14" s="130">
        <v>814.7</v>
      </c>
    </row>
    <row r="15" spans="1:5" ht="15" customHeight="1" x14ac:dyDescent="0.2">
      <c r="A15" s="145" t="s">
        <v>39</v>
      </c>
      <c r="B15" s="142"/>
      <c r="C15" s="131">
        <v>241.6</v>
      </c>
      <c r="D15" s="130">
        <v>185</v>
      </c>
      <c r="E15" s="130">
        <v>112.3</v>
      </c>
    </row>
    <row r="16" spans="1:5" ht="15" customHeight="1" x14ac:dyDescent="0.2">
      <c r="A16" s="145" t="s">
        <v>40</v>
      </c>
      <c r="B16" s="142"/>
      <c r="C16" s="131">
        <v>55.3</v>
      </c>
      <c r="D16" s="130" t="s">
        <v>42</v>
      </c>
      <c r="E16" s="130" t="s">
        <v>42</v>
      </c>
    </row>
    <row r="17" spans="1:13" ht="15" customHeight="1" x14ac:dyDescent="0.2">
      <c r="A17" s="145" t="s">
        <v>44</v>
      </c>
      <c r="B17" s="142"/>
      <c r="C17" s="131">
        <v>-63.7</v>
      </c>
      <c r="D17" s="130">
        <v>-12.3</v>
      </c>
      <c r="E17" s="130">
        <v>62.7</v>
      </c>
    </row>
    <row r="18" spans="1:13" ht="15" customHeight="1" x14ac:dyDescent="0.2">
      <c r="A18" s="145" t="s">
        <v>45</v>
      </c>
      <c r="B18" s="142"/>
      <c r="C18" s="131" t="s">
        <v>42</v>
      </c>
      <c r="D18" s="130">
        <v>112.5</v>
      </c>
      <c r="E18" s="130">
        <v>120</v>
      </c>
    </row>
    <row r="19" spans="1:13" ht="15" customHeight="1" x14ac:dyDescent="0.2">
      <c r="A19" s="145" t="s">
        <v>46</v>
      </c>
      <c r="B19" s="142"/>
      <c r="C19" s="131">
        <v>1.5</v>
      </c>
      <c r="D19" s="130">
        <v>12</v>
      </c>
      <c r="E19" s="130">
        <v>0.9</v>
      </c>
    </row>
    <row r="20" spans="1:13" ht="15" customHeight="1" x14ac:dyDescent="0.2">
      <c r="A20" s="151" t="s">
        <v>47</v>
      </c>
      <c r="B20" s="152"/>
      <c r="C20" s="132">
        <v>7335.3</v>
      </c>
      <c r="D20" s="130">
        <v>7564.3</v>
      </c>
      <c r="E20" s="130">
        <v>6928.1</v>
      </c>
    </row>
    <row r="21" spans="1:13" ht="15" customHeight="1" x14ac:dyDescent="0.2">
      <c r="A21" s="148" t="s">
        <v>49</v>
      </c>
      <c r="B21" s="142"/>
      <c r="C21" s="131">
        <v>7042.6</v>
      </c>
      <c r="D21" s="130">
        <v>5888.6</v>
      </c>
      <c r="E21" s="130">
        <v>5345.8</v>
      </c>
    </row>
    <row r="22" spans="1:13" ht="15" customHeight="1" x14ac:dyDescent="0.2">
      <c r="A22" s="145" t="s">
        <v>51</v>
      </c>
      <c r="B22" s="142"/>
      <c r="C22" s="131">
        <v>83.3</v>
      </c>
      <c r="D22" s="130">
        <v>11</v>
      </c>
      <c r="E22" s="130">
        <v>-217</v>
      </c>
    </row>
    <row r="23" spans="1:13" ht="15" customHeight="1" x14ac:dyDescent="0.2">
      <c r="A23" s="149" t="s">
        <v>52</v>
      </c>
      <c r="B23" s="142"/>
      <c r="C23" s="131">
        <v>7125.9</v>
      </c>
      <c r="D23" s="130">
        <v>5899.6</v>
      </c>
      <c r="E23" s="130">
        <v>5128.8</v>
      </c>
      <c r="L23" s="4"/>
      <c r="M23" s="4"/>
    </row>
    <row r="24" spans="1:13" ht="15.75" customHeight="1" x14ac:dyDescent="0.2">
      <c r="A24" s="145" t="s">
        <v>54</v>
      </c>
      <c r="B24" s="142"/>
      <c r="C24" s="131">
        <v>1158</v>
      </c>
      <c r="D24" s="130">
        <v>1425.6</v>
      </c>
      <c r="E24" s="130">
        <v>2458.6999999999998</v>
      </c>
    </row>
    <row r="25" spans="1:13" ht="15.75" customHeight="1" x14ac:dyDescent="0.2">
      <c r="A25" s="145" t="s">
        <v>55</v>
      </c>
      <c r="B25" s="142"/>
      <c r="C25" s="131">
        <v>79.400000000000006</v>
      </c>
      <c r="D25" s="130" t="s">
        <v>42</v>
      </c>
      <c r="E25" s="130" t="s">
        <v>42</v>
      </c>
    </row>
    <row r="26" spans="1:13" ht="15.75" customHeight="1" x14ac:dyDescent="0.2">
      <c r="A26" s="151" t="s">
        <v>56</v>
      </c>
      <c r="B26" s="152"/>
      <c r="C26" s="132">
        <v>5888.5</v>
      </c>
      <c r="D26" s="130">
        <v>4474</v>
      </c>
      <c r="E26" s="130">
        <v>2670.1</v>
      </c>
    </row>
    <row r="27" spans="1:13" ht="15.75" customHeight="1" x14ac:dyDescent="0.2">
      <c r="A27" s="145" t="s">
        <v>57</v>
      </c>
      <c r="B27" s="142"/>
      <c r="C27" s="131" t="s">
        <v>42</v>
      </c>
      <c r="D27" s="130">
        <v>43.3</v>
      </c>
      <c r="E27" s="130">
        <v>131</v>
      </c>
    </row>
    <row r="28" spans="1:13" ht="15.75" customHeight="1" x14ac:dyDescent="0.2">
      <c r="A28" s="151" t="s">
        <v>58</v>
      </c>
      <c r="B28" s="152"/>
      <c r="C28" s="132">
        <v>5888.5</v>
      </c>
      <c r="D28" s="130">
        <v>4430.7</v>
      </c>
      <c r="E28" s="130">
        <v>2539.1</v>
      </c>
    </row>
    <row r="29" spans="1:13" ht="15.75" customHeight="1" x14ac:dyDescent="0.2">
      <c r="A29" s="148" t="s">
        <v>59</v>
      </c>
      <c r="B29" s="142"/>
      <c r="C29" s="129"/>
      <c r="D29" s="133"/>
      <c r="E29" s="133"/>
    </row>
    <row r="30" spans="1:13" ht="15.75" customHeight="1" x14ac:dyDescent="0.2">
      <c r="A30" s="145" t="s">
        <v>61</v>
      </c>
      <c r="B30" s="142"/>
      <c r="C30" s="129">
        <v>31.47</v>
      </c>
      <c r="D30" s="133">
        <v>21.63</v>
      </c>
      <c r="E30" s="134">
        <v>11.94</v>
      </c>
    </row>
    <row r="31" spans="1:13" ht="15.75" customHeight="1" x14ac:dyDescent="0.2">
      <c r="A31" s="151" t="s">
        <v>63</v>
      </c>
      <c r="B31" s="152"/>
      <c r="C31" s="132">
        <v>31.42</v>
      </c>
      <c r="D31" s="130">
        <v>21.58</v>
      </c>
      <c r="E31" s="135">
        <v>11.92</v>
      </c>
    </row>
    <row r="32" spans="1:13" ht="15.75" customHeight="1" x14ac:dyDescent="0.2">
      <c r="A32" s="145" t="s">
        <v>64</v>
      </c>
      <c r="B32" s="142"/>
      <c r="C32" s="129"/>
      <c r="D32" s="130"/>
      <c r="E32" s="135"/>
    </row>
    <row r="33" spans="1:5" ht="15.75" customHeight="1" x14ac:dyDescent="0.2">
      <c r="A33" s="145" t="s">
        <v>66</v>
      </c>
      <c r="B33" s="142"/>
      <c r="C33" s="129">
        <v>187.1</v>
      </c>
      <c r="D33" s="130">
        <v>204.9</v>
      </c>
      <c r="E33" s="135">
        <v>212.6</v>
      </c>
    </row>
    <row r="34" spans="1:5" ht="15.75" customHeight="1" x14ac:dyDescent="0.2">
      <c r="A34" s="148" t="s">
        <v>63</v>
      </c>
      <c r="B34" s="142"/>
      <c r="C34" s="131">
        <v>187.4</v>
      </c>
      <c r="D34" s="130">
        <v>205.3</v>
      </c>
      <c r="E34" s="135">
        <v>213</v>
      </c>
    </row>
    <row r="35" spans="1:5" ht="15.75" customHeight="1" x14ac:dyDescent="0.2">
      <c r="A35" s="151" t="s">
        <v>58</v>
      </c>
      <c r="B35" s="152"/>
      <c r="C35" s="132">
        <v>5888.5</v>
      </c>
      <c r="D35" s="130">
        <v>4430.7</v>
      </c>
      <c r="E35" s="130">
        <v>2539.1</v>
      </c>
    </row>
    <row r="36" spans="1:5" ht="15.75" customHeight="1" x14ac:dyDescent="0.2">
      <c r="A36" s="145" t="s">
        <v>67</v>
      </c>
      <c r="B36" s="142"/>
      <c r="C36" s="129"/>
      <c r="D36" s="133"/>
      <c r="E36" s="134"/>
    </row>
    <row r="37" spans="1:5" ht="15.75" customHeight="1" x14ac:dyDescent="0.2">
      <c r="A37" s="145" t="s">
        <v>68</v>
      </c>
      <c r="B37" s="142"/>
      <c r="C37" s="129"/>
      <c r="D37" s="133"/>
      <c r="E37" s="134"/>
    </row>
    <row r="38" spans="1:5" ht="15.75" customHeight="1" x14ac:dyDescent="0.2">
      <c r="A38" s="145" t="s">
        <v>70</v>
      </c>
      <c r="B38" s="142"/>
      <c r="C38" s="129">
        <v>11.8</v>
      </c>
      <c r="D38" s="133">
        <v>-10.6</v>
      </c>
      <c r="E38" s="134">
        <v>-3.5</v>
      </c>
    </row>
    <row r="39" spans="1:5" ht="15.75" customHeight="1" x14ac:dyDescent="0.2">
      <c r="A39" s="150" t="s">
        <v>72</v>
      </c>
      <c r="B39" s="142"/>
      <c r="C39" s="131">
        <v>-3.6</v>
      </c>
      <c r="D39" s="130">
        <v>6.7</v>
      </c>
      <c r="E39" s="135">
        <v>12.7</v>
      </c>
    </row>
    <row r="40" spans="1:5" ht="15.75" customHeight="1" x14ac:dyDescent="0.2">
      <c r="A40" s="145" t="s">
        <v>74</v>
      </c>
      <c r="B40" s="142"/>
      <c r="C40" s="131">
        <v>8.1999999999999993</v>
      </c>
      <c r="D40" s="130"/>
      <c r="E40" s="135"/>
    </row>
    <row r="41" spans="1:5" ht="15.75" customHeight="1" x14ac:dyDescent="0.2">
      <c r="A41" s="145" t="s">
        <v>77</v>
      </c>
      <c r="B41" s="142"/>
      <c r="C41" s="129"/>
      <c r="D41" s="130">
        <v>-3.9</v>
      </c>
      <c r="E41" s="135">
        <v>9.1999999999999993</v>
      </c>
    </row>
    <row r="42" spans="1:5" ht="15.75" customHeight="1" x14ac:dyDescent="0.2">
      <c r="A42" s="145" t="s">
        <v>70</v>
      </c>
      <c r="B42" s="142"/>
      <c r="C42" s="131">
        <v>88.1</v>
      </c>
      <c r="D42" s="130">
        <v>97.4</v>
      </c>
      <c r="E42" s="135">
        <v>-193.8</v>
      </c>
    </row>
    <row r="43" spans="1:5" ht="15.75" customHeight="1" x14ac:dyDescent="0.2">
      <c r="A43" s="150" t="s">
        <v>72</v>
      </c>
      <c r="B43" s="142"/>
      <c r="C43" s="131">
        <v>-115</v>
      </c>
      <c r="D43" s="130">
        <v>41.8</v>
      </c>
      <c r="E43" s="135">
        <v>31.5</v>
      </c>
    </row>
    <row r="44" spans="1:5" ht="15.75" customHeight="1" x14ac:dyDescent="0.2">
      <c r="A44" s="145" t="s">
        <v>80</v>
      </c>
      <c r="B44" s="142"/>
      <c r="C44" s="131">
        <v>-26.9</v>
      </c>
      <c r="D44" s="130">
        <v>139.19999999999999</v>
      </c>
      <c r="E44" s="135">
        <v>-162.30000000000001</v>
      </c>
    </row>
    <row r="45" spans="1:5" ht="15.75" customHeight="1" x14ac:dyDescent="0.2">
      <c r="A45" s="145" t="s">
        <v>81</v>
      </c>
      <c r="B45" s="142"/>
      <c r="C45" s="131"/>
      <c r="D45" s="130"/>
      <c r="E45" s="135"/>
    </row>
    <row r="46" spans="1:5" ht="15.75" customHeight="1" x14ac:dyDescent="0.2">
      <c r="A46" s="145" t="s">
        <v>82</v>
      </c>
      <c r="B46" s="142"/>
      <c r="C46" s="131">
        <v>28.6</v>
      </c>
      <c r="D46" s="130">
        <v>5</v>
      </c>
      <c r="E46" s="135" t="s">
        <v>42</v>
      </c>
    </row>
    <row r="47" spans="1:5" ht="15.75" customHeight="1" x14ac:dyDescent="0.2">
      <c r="A47" s="150" t="s">
        <v>72</v>
      </c>
      <c r="B47" s="142"/>
      <c r="C47" s="131">
        <v>-7</v>
      </c>
      <c r="D47" s="130">
        <v>-1.5</v>
      </c>
      <c r="E47" s="135" t="s">
        <v>42</v>
      </c>
    </row>
    <row r="48" spans="1:5" ht="15.75" customHeight="1" x14ac:dyDescent="0.2">
      <c r="A48" s="145" t="s">
        <v>84</v>
      </c>
      <c r="B48" s="142"/>
      <c r="C48" s="131">
        <v>21.6</v>
      </c>
      <c r="D48" s="130">
        <v>3.5</v>
      </c>
      <c r="E48" s="135" t="s">
        <v>42</v>
      </c>
    </row>
    <row r="49" spans="1:5" ht="15.75" customHeight="1" x14ac:dyDescent="0.2">
      <c r="A49" s="145" t="s">
        <v>86</v>
      </c>
      <c r="B49" s="142"/>
      <c r="C49" s="131">
        <v>-1.5</v>
      </c>
      <c r="D49" s="130">
        <v>5.5</v>
      </c>
      <c r="E49" s="135">
        <v>-4.0999999999999996</v>
      </c>
    </row>
    <row r="50" spans="1:5" ht="15.75" customHeight="1" x14ac:dyDescent="0.2">
      <c r="A50" s="145" t="s">
        <v>88</v>
      </c>
      <c r="B50" s="142"/>
      <c r="C50" s="131">
        <v>103.8</v>
      </c>
      <c r="D50" s="130">
        <v>-67.8</v>
      </c>
      <c r="E50" s="135">
        <v>158.69999999999999</v>
      </c>
    </row>
    <row r="51" spans="1:5" ht="15.75" customHeight="1" x14ac:dyDescent="0.2">
      <c r="A51" s="145" t="s">
        <v>91</v>
      </c>
      <c r="B51" s="142"/>
      <c r="C51" s="131">
        <v>105.2</v>
      </c>
      <c r="D51" s="130">
        <v>76.5</v>
      </c>
      <c r="E51" s="135">
        <v>1.5</v>
      </c>
    </row>
    <row r="52" spans="1:5" ht="15.75" customHeight="1" x14ac:dyDescent="0.2">
      <c r="A52" s="151" t="s">
        <v>93</v>
      </c>
      <c r="B52" s="152"/>
      <c r="C52" s="132">
        <v>5993.7</v>
      </c>
      <c r="D52" s="130">
        <v>4507.2</v>
      </c>
      <c r="E52" s="130">
        <v>2540.6</v>
      </c>
    </row>
    <row r="53" spans="1:5" ht="15.75" customHeight="1" x14ac:dyDescent="0.2">
      <c r="A53" s="150" t="s">
        <v>95</v>
      </c>
      <c r="B53" s="142"/>
      <c r="C53" s="131">
        <v>-0.4</v>
      </c>
      <c r="D53" s="130">
        <v>42.9</v>
      </c>
      <c r="E53" s="135">
        <v>131</v>
      </c>
    </row>
    <row r="54" spans="1:5" ht="15.75" customHeight="1" x14ac:dyDescent="0.2">
      <c r="A54" s="151" t="s">
        <v>97</v>
      </c>
      <c r="B54" s="152"/>
      <c r="C54" s="132">
        <v>5993.3</v>
      </c>
      <c r="D54" s="130">
        <v>4550.1000000000004</v>
      </c>
      <c r="E54" s="130">
        <v>2671.6</v>
      </c>
    </row>
    <row r="55" spans="1:5" ht="15.75" customHeight="1" x14ac:dyDescent="0.2"/>
    <row r="56" spans="1:5" ht="15.75" customHeight="1" x14ac:dyDescent="0.2"/>
    <row r="57" spans="1:5" ht="15.75" customHeight="1" x14ac:dyDescent="0.2"/>
    <row r="58" spans="1:5" ht="15.75" customHeight="1" x14ac:dyDescent="0.2"/>
    <row r="59" spans="1:5" ht="15.75" customHeight="1" x14ac:dyDescent="0.2"/>
    <row r="60" spans="1:5" ht="15.75" customHeight="1" x14ac:dyDescent="0.2"/>
    <row r="61" spans="1:5" ht="15.75" customHeight="1" x14ac:dyDescent="0.2"/>
    <row r="62" spans="1:5" ht="15.75" customHeight="1" x14ac:dyDescent="0.2"/>
    <row r="63" spans="1:5" ht="15.75" customHeight="1" x14ac:dyDescent="0.2"/>
    <row r="64" spans="1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4">
    <mergeCell ref="A53:B53"/>
    <mergeCell ref="A54:B54"/>
    <mergeCell ref="A43:B43"/>
    <mergeCell ref="A44:B44"/>
    <mergeCell ref="A45:B45"/>
    <mergeCell ref="A46:B46"/>
    <mergeCell ref="A47:B47"/>
    <mergeCell ref="A48:B48"/>
    <mergeCell ref="A49:B49"/>
    <mergeCell ref="A41:B41"/>
    <mergeCell ref="A42:B42"/>
    <mergeCell ref="A50:B50"/>
    <mergeCell ref="A51:B51"/>
    <mergeCell ref="A52:B52"/>
    <mergeCell ref="A36:B36"/>
    <mergeCell ref="A37:B37"/>
    <mergeCell ref="A38:B38"/>
    <mergeCell ref="A39:B39"/>
    <mergeCell ref="A40:B40"/>
    <mergeCell ref="A31:B31"/>
    <mergeCell ref="A32:B32"/>
    <mergeCell ref="A33:B33"/>
    <mergeCell ref="A34:B34"/>
    <mergeCell ref="A35:B35"/>
    <mergeCell ref="A26:B26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E1"/>
    <mergeCell ref="A2:E2"/>
    <mergeCell ref="A3:B4"/>
    <mergeCell ref="C3:E3"/>
    <mergeCell ref="A5:B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  <outlinePr summaryBelow="0" summaryRight="0"/>
  </sheetPr>
  <dimension ref="A1:H1000"/>
  <sheetViews>
    <sheetView topLeftCell="A32" workbookViewId="0">
      <selection activeCell="H41" sqref="H41"/>
    </sheetView>
  </sheetViews>
  <sheetFormatPr defaultColWidth="12.625" defaultRowHeight="15" customHeight="1" x14ac:dyDescent="0.2"/>
  <cols>
    <col min="1" max="1" width="8.375" customWidth="1"/>
    <col min="2" max="2" width="15" customWidth="1"/>
    <col min="3" max="3" width="19" customWidth="1"/>
    <col min="4" max="4" width="10.5" customWidth="1"/>
    <col min="5" max="5" width="8.375" customWidth="1"/>
    <col min="6" max="6" width="11.75" customWidth="1"/>
    <col min="7" max="8" width="8.375" customWidth="1"/>
    <col min="9" max="26" width="9.625" customWidth="1"/>
  </cols>
  <sheetData>
    <row r="1" spans="1:8" ht="32.25" customHeight="1" x14ac:dyDescent="0.3">
      <c r="A1" s="170" t="s">
        <v>41</v>
      </c>
      <c r="B1" s="171"/>
      <c r="C1" s="171"/>
      <c r="D1" s="171"/>
      <c r="E1" s="171"/>
      <c r="F1" s="172"/>
      <c r="G1" s="3"/>
    </row>
    <row r="2" spans="1:8" x14ac:dyDescent="0.2">
      <c r="A2" s="154"/>
      <c r="B2" s="119"/>
      <c r="C2" s="119"/>
      <c r="D2" s="119"/>
      <c r="E2" s="119"/>
      <c r="F2" s="120"/>
      <c r="G2" s="3"/>
    </row>
    <row r="3" spans="1:8" x14ac:dyDescent="0.25">
      <c r="A3" s="155"/>
      <c r="B3" s="117"/>
      <c r="C3" s="156"/>
      <c r="D3" s="165" t="s">
        <v>545</v>
      </c>
      <c r="E3" s="166"/>
      <c r="F3" s="167"/>
      <c r="G3" s="3"/>
    </row>
    <row r="4" spans="1:8" x14ac:dyDescent="0.25">
      <c r="A4" s="173"/>
      <c r="B4" s="174"/>
      <c r="C4" s="175"/>
      <c r="D4" s="176">
        <v>2019</v>
      </c>
      <c r="E4" s="177"/>
      <c r="F4" s="178">
        <v>2018</v>
      </c>
      <c r="G4" s="3"/>
    </row>
    <row r="5" spans="1:8" x14ac:dyDescent="0.25">
      <c r="A5" s="179" t="s">
        <v>53</v>
      </c>
      <c r="B5" s="180"/>
      <c r="C5" s="181"/>
      <c r="D5" s="182"/>
      <c r="E5" s="183"/>
      <c r="F5" s="184"/>
      <c r="G5" s="3"/>
    </row>
    <row r="6" spans="1:8" ht="18" customHeight="1" x14ac:dyDescent="0.25">
      <c r="A6" s="192" t="s">
        <v>62</v>
      </c>
      <c r="B6" s="190"/>
      <c r="C6" s="152"/>
      <c r="D6" s="157"/>
      <c r="E6" s="158"/>
      <c r="F6" s="159"/>
      <c r="G6" s="3"/>
    </row>
    <row r="7" spans="1:8" ht="17.25" customHeight="1" x14ac:dyDescent="0.2">
      <c r="A7" s="144" t="s">
        <v>65</v>
      </c>
      <c r="B7" s="185"/>
      <c r="C7" s="142"/>
      <c r="D7" s="129">
        <v>2913.7</v>
      </c>
      <c r="E7" s="134"/>
      <c r="F7" s="133">
        <v>1224.5999999999999</v>
      </c>
      <c r="G7" s="5"/>
    </row>
    <row r="8" spans="1:8" ht="15.75" x14ac:dyDescent="0.25">
      <c r="A8" s="144" t="s">
        <v>69</v>
      </c>
      <c r="B8" s="185"/>
      <c r="C8" s="142"/>
      <c r="D8" s="129">
        <v>1562.2</v>
      </c>
      <c r="E8" s="134"/>
      <c r="F8" s="133">
        <v>2313.4</v>
      </c>
      <c r="G8" s="3"/>
      <c r="H8" s="1"/>
    </row>
    <row r="9" spans="1:8" x14ac:dyDescent="0.2">
      <c r="A9" s="144" t="s">
        <v>71</v>
      </c>
      <c r="B9" s="185"/>
      <c r="C9" s="142"/>
      <c r="D9" s="129">
        <v>1880.5</v>
      </c>
      <c r="E9" s="134"/>
      <c r="F9" s="133">
        <v>1958.5</v>
      </c>
      <c r="G9" s="3"/>
      <c r="H9" s="5"/>
    </row>
    <row r="10" spans="1:8" ht="16.5" customHeight="1" x14ac:dyDescent="0.25">
      <c r="A10" s="144" t="s">
        <v>73</v>
      </c>
      <c r="B10" s="185"/>
      <c r="C10" s="142"/>
      <c r="D10" s="129">
        <v>590.20000000000005</v>
      </c>
      <c r="E10" s="134"/>
      <c r="F10" s="133">
        <v>526.9</v>
      </c>
      <c r="G10" s="3"/>
      <c r="H10" s="1" t="s">
        <v>75</v>
      </c>
    </row>
    <row r="11" spans="1:8" x14ac:dyDescent="0.2">
      <c r="A11" s="144" t="s">
        <v>76</v>
      </c>
      <c r="B11" s="185"/>
      <c r="C11" s="142"/>
      <c r="D11" s="129">
        <v>804.2</v>
      </c>
      <c r="E11" s="134"/>
      <c r="F11" s="133">
        <v>929.9</v>
      </c>
      <c r="G11" s="3"/>
      <c r="H11" s="3"/>
    </row>
    <row r="12" spans="1:8" x14ac:dyDescent="0.2">
      <c r="A12" s="144" t="s">
        <v>78</v>
      </c>
      <c r="B12" s="185"/>
      <c r="C12" s="142"/>
      <c r="D12" s="160">
        <v>631</v>
      </c>
      <c r="E12" s="161"/>
      <c r="F12" s="133">
        <v>687.6</v>
      </c>
      <c r="G12" s="3"/>
      <c r="H12" s="3"/>
    </row>
    <row r="13" spans="1:8" ht="15.75" x14ac:dyDescent="0.25">
      <c r="A13" s="187" t="s">
        <v>79</v>
      </c>
      <c r="B13" s="190"/>
      <c r="C13" s="152"/>
      <c r="D13" s="553">
        <v>8381.7999999999993</v>
      </c>
      <c r="E13" s="134"/>
      <c r="F13" s="162">
        <v>7640.9</v>
      </c>
      <c r="G13" s="5"/>
      <c r="H13" s="3"/>
    </row>
    <row r="14" spans="1:8" x14ac:dyDescent="0.2">
      <c r="A14" s="144" t="s">
        <v>69</v>
      </c>
      <c r="B14" s="185"/>
      <c r="C14" s="142"/>
      <c r="D14" s="129">
        <v>1408.1</v>
      </c>
      <c r="E14" s="134"/>
      <c r="F14" s="133">
        <v>1375.9</v>
      </c>
      <c r="G14" s="5"/>
    </row>
    <row r="15" spans="1:8" x14ac:dyDescent="0.2">
      <c r="A15" s="144" t="s">
        <v>83</v>
      </c>
      <c r="B15" s="185"/>
      <c r="C15" s="142"/>
      <c r="D15" s="129">
        <v>3247.3</v>
      </c>
      <c r="E15" s="134"/>
      <c r="F15" s="133">
        <v>3601.2</v>
      </c>
      <c r="G15" s="3"/>
    </row>
    <row r="16" spans="1:8" x14ac:dyDescent="0.2">
      <c r="A16" s="144" t="s">
        <v>85</v>
      </c>
      <c r="B16" s="185"/>
      <c r="C16" s="142"/>
      <c r="D16" s="129">
        <v>427</v>
      </c>
      <c r="E16" s="134"/>
      <c r="F16" s="133">
        <v>0</v>
      </c>
      <c r="G16" s="5"/>
    </row>
    <row r="17" spans="1:8" x14ac:dyDescent="0.2">
      <c r="A17" s="144" t="s">
        <v>87</v>
      </c>
      <c r="B17" s="185"/>
      <c r="C17" s="142"/>
      <c r="D17" s="129">
        <v>3527.4</v>
      </c>
      <c r="E17" s="134"/>
      <c r="F17" s="133">
        <v>3120</v>
      </c>
      <c r="G17" s="5"/>
    </row>
    <row r="18" spans="1:8" x14ac:dyDescent="0.2">
      <c r="A18" s="144" t="s">
        <v>90</v>
      </c>
      <c r="B18" s="185"/>
      <c r="C18" s="142"/>
      <c r="D18" s="129">
        <v>5757.8</v>
      </c>
      <c r="E18" s="134"/>
      <c r="F18" s="133">
        <v>5706.4</v>
      </c>
      <c r="G18" s="5"/>
    </row>
    <row r="19" spans="1:8" x14ac:dyDescent="0.2">
      <c r="A19" s="144" t="s">
        <v>92</v>
      </c>
      <c r="B19" s="185"/>
      <c r="C19" s="142"/>
      <c r="D19" s="129">
        <v>3232.1</v>
      </c>
      <c r="E19" s="134"/>
      <c r="F19" s="133">
        <v>2153.9</v>
      </c>
      <c r="G19" s="5"/>
    </row>
    <row r="20" spans="1:8" x14ac:dyDescent="0.2">
      <c r="A20" s="144" t="s">
        <v>94</v>
      </c>
      <c r="B20" s="185"/>
      <c r="C20" s="142"/>
      <c r="D20" s="129">
        <v>1252.8</v>
      </c>
      <c r="E20" s="134"/>
      <c r="F20" s="133">
        <v>1690.6</v>
      </c>
      <c r="G20" s="5"/>
    </row>
    <row r="21" spans="1:8" ht="15.75" customHeight="1" x14ac:dyDescent="0.25">
      <c r="A21" s="187" t="s">
        <v>96</v>
      </c>
      <c r="B21" s="190"/>
      <c r="C21" s="152"/>
      <c r="D21" s="553">
        <v>27234.3</v>
      </c>
      <c r="E21" s="134"/>
      <c r="F21" s="133">
        <v>25288.9</v>
      </c>
      <c r="G21" s="5"/>
    </row>
    <row r="22" spans="1:8" ht="15.75" customHeight="1" x14ac:dyDescent="0.2">
      <c r="A22" s="187" t="s">
        <v>98</v>
      </c>
      <c r="B22" s="188"/>
      <c r="C22" s="189"/>
      <c r="D22" s="129"/>
      <c r="E22" s="134"/>
      <c r="F22" s="133"/>
      <c r="G22" s="3"/>
    </row>
    <row r="23" spans="1:8" ht="15.75" customHeight="1" x14ac:dyDescent="0.25">
      <c r="A23" s="144" t="s">
        <v>99</v>
      </c>
      <c r="B23" s="185"/>
      <c r="C23" s="142"/>
      <c r="D23" s="129">
        <v>1495.8</v>
      </c>
      <c r="E23" s="134"/>
      <c r="F23" s="133" t="s">
        <v>42</v>
      </c>
      <c r="G23" s="3"/>
      <c r="H23" s="1"/>
    </row>
    <row r="24" spans="1:8" ht="15.75" customHeight="1" x14ac:dyDescent="0.2">
      <c r="A24" s="144" t="s">
        <v>100</v>
      </c>
      <c r="B24" s="185"/>
      <c r="C24" s="142"/>
      <c r="D24" s="129">
        <v>71.400000000000006</v>
      </c>
      <c r="E24" s="134"/>
      <c r="F24" s="133">
        <v>63.5</v>
      </c>
      <c r="G24" s="3"/>
    </row>
    <row r="25" spans="1:8" ht="15.75" customHeight="1" x14ac:dyDescent="0.2">
      <c r="A25" s="144" t="s">
        <v>101</v>
      </c>
      <c r="B25" s="185"/>
      <c r="C25" s="142"/>
      <c r="D25" s="129">
        <v>530.79999999999995</v>
      </c>
      <c r="E25" s="134"/>
      <c r="F25" s="133">
        <v>370.5</v>
      </c>
      <c r="G25" s="3"/>
    </row>
    <row r="26" spans="1:8" ht="15.75" customHeight="1" x14ac:dyDescent="0.2">
      <c r="A26" s="144" t="s">
        <v>102</v>
      </c>
      <c r="B26" s="185"/>
      <c r="C26" s="142"/>
      <c r="D26" s="129">
        <v>2765.8</v>
      </c>
      <c r="E26" s="134"/>
      <c r="F26" s="133">
        <v>2861.2</v>
      </c>
      <c r="G26" s="5"/>
    </row>
    <row r="27" spans="1:8" ht="15.75" customHeight="1" x14ac:dyDescent="0.25">
      <c r="A27" s="151" t="s">
        <v>103</v>
      </c>
      <c r="B27" s="190"/>
      <c r="C27" s="152"/>
      <c r="D27" s="553">
        <v>4863.8</v>
      </c>
      <c r="E27" s="134"/>
      <c r="F27" s="133">
        <v>3295.2</v>
      </c>
      <c r="G27" s="5"/>
      <c r="H27" s="1" t="s">
        <v>104</v>
      </c>
    </row>
    <row r="28" spans="1:8" ht="15.75" customHeight="1" x14ac:dyDescent="0.2">
      <c r="A28" s="144" t="s">
        <v>105</v>
      </c>
      <c r="B28" s="185"/>
      <c r="C28" s="142"/>
      <c r="D28" s="129">
        <v>4459</v>
      </c>
      <c r="E28" s="134"/>
      <c r="F28" s="133">
        <v>5936.5</v>
      </c>
      <c r="G28" s="5"/>
    </row>
    <row r="29" spans="1:8" ht="15.75" customHeight="1" x14ac:dyDescent="0.2">
      <c r="A29" s="144" t="s">
        <v>106</v>
      </c>
      <c r="B29" s="185"/>
      <c r="C29" s="142"/>
      <c r="D29" s="129">
        <v>2810.8</v>
      </c>
      <c r="E29" s="134"/>
      <c r="F29" s="133">
        <v>1636.2</v>
      </c>
      <c r="G29" s="3"/>
    </row>
    <row r="30" spans="1:8" ht="15.75" customHeight="1" x14ac:dyDescent="0.2">
      <c r="A30" s="145" t="s">
        <v>107</v>
      </c>
      <c r="B30" s="185"/>
      <c r="C30" s="142"/>
      <c r="D30" s="129">
        <v>412.7</v>
      </c>
      <c r="E30" s="134"/>
      <c r="F30" s="133" t="s">
        <v>42</v>
      </c>
      <c r="G30" s="5"/>
    </row>
    <row r="31" spans="1:8" ht="15.75" customHeight="1" x14ac:dyDescent="0.2">
      <c r="A31" s="145" t="s">
        <v>108</v>
      </c>
      <c r="B31" s="185"/>
      <c r="C31" s="142"/>
      <c r="D31" s="129">
        <v>1348.9</v>
      </c>
      <c r="E31" s="134"/>
      <c r="F31" s="133">
        <v>1389.4</v>
      </c>
      <c r="G31" s="5"/>
    </row>
    <row r="32" spans="1:8" ht="15.75" customHeight="1" x14ac:dyDescent="0.25">
      <c r="A32" s="191" t="s">
        <v>109</v>
      </c>
      <c r="B32" s="190"/>
      <c r="C32" s="152"/>
      <c r="D32" s="553">
        <v>13895.2</v>
      </c>
      <c r="E32" s="134"/>
      <c r="F32" s="133">
        <v>12257.3</v>
      </c>
      <c r="G32" s="5"/>
    </row>
    <row r="33" spans="1:8" ht="15.75" customHeight="1" x14ac:dyDescent="0.2">
      <c r="A33" s="144" t="s">
        <v>111</v>
      </c>
      <c r="B33" s="185"/>
      <c r="C33" s="142"/>
      <c r="D33" s="129"/>
      <c r="E33" s="134"/>
      <c r="F33" s="133"/>
      <c r="G33" s="3"/>
    </row>
    <row r="34" spans="1:8" ht="15.75" customHeight="1" x14ac:dyDescent="0.2">
      <c r="A34" s="145" t="s">
        <v>112</v>
      </c>
      <c r="B34" s="185"/>
      <c r="C34" s="142"/>
      <c r="D34" s="129"/>
      <c r="E34" s="134"/>
      <c r="F34" s="133"/>
      <c r="G34" s="3"/>
    </row>
    <row r="35" spans="1:8" ht="15.75" customHeight="1" x14ac:dyDescent="0.2">
      <c r="A35" s="145" t="s">
        <v>113</v>
      </c>
      <c r="B35" s="185"/>
      <c r="C35" s="142"/>
      <c r="D35" s="163"/>
      <c r="E35" s="126"/>
      <c r="F35" s="164"/>
      <c r="G35" s="3"/>
    </row>
    <row r="36" spans="1:8" ht="15.75" customHeight="1" x14ac:dyDescent="0.2">
      <c r="A36" s="144" t="s">
        <v>115</v>
      </c>
      <c r="B36" s="185"/>
      <c r="C36" s="142"/>
      <c r="D36" s="129" t="s">
        <v>42</v>
      </c>
      <c r="E36" s="134"/>
      <c r="F36" s="133" t="s">
        <v>42</v>
      </c>
      <c r="G36" s="3"/>
    </row>
    <row r="37" spans="1:8" ht="15.75" customHeight="1" x14ac:dyDescent="0.25">
      <c r="A37" s="144" t="s">
        <v>116</v>
      </c>
      <c r="B37" s="185"/>
      <c r="C37" s="142"/>
      <c r="D37" s="129">
        <v>0.1</v>
      </c>
      <c r="E37" s="134"/>
      <c r="F37" s="133">
        <v>0.1</v>
      </c>
      <c r="G37" s="3"/>
      <c r="H37" s="1" t="s">
        <v>117</v>
      </c>
    </row>
    <row r="38" spans="1:8" ht="15.75" customHeight="1" x14ac:dyDescent="0.2">
      <c r="A38" s="145" t="s">
        <v>118</v>
      </c>
      <c r="B38" s="185"/>
      <c r="C38" s="142"/>
      <c r="D38" s="129" t="s">
        <v>42</v>
      </c>
      <c r="E38" s="134"/>
      <c r="F38" s="133" t="s">
        <v>42</v>
      </c>
      <c r="G38" s="3"/>
    </row>
    <row r="39" spans="1:8" ht="15.75" customHeight="1" x14ac:dyDescent="0.2">
      <c r="A39" s="145" t="s">
        <v>119</v>
      </c>
      <c r="B39" s="185"/>
      <c r="C39" s="142"/>
      <c r="D39" s="129">
        <v>-135.19999999999999</v>
      </c>
      <c r="E39" s="134"/>
      <c r="F39" s="133">
        <v>-240.4</v>
      </c>
      <c r="G39" s="3"/>
    </row>
    <row r="40" spans="1:8" ht="15.75" customHeight="1" x14ac:dyDescent="0.2">
      <c r="A40" s="144" t="s">
        <v>120</v>
      </c>
      <c r="B40" s="185"/>
      <c r="C40" s="142"/>
      <c r="D40" s="129">
        <v>16455.400000000001</v>
      </c>
      <c r="E40" s="134"/>
      <c r="F40" s="133">
        <v>16257</v>
      </c>
      <c r="G40" s="3"/>
    </row>
    <row r="41" spans="1:8" ht="33.75" customHeight="1" x14ac:dyDescent="0.2">
      <c r="A41" s="186" t="s">
        <v>121</v>
      </c>
      <c r="B41" s="185"/>
      <c r="C41" s="142"/>
      <c r="D41" s="129">
        <v>-2977.1</v>
      </c>
      <c r="E41" s="134"/>
      <c r="F41" s="133">
        <v>-2977.1</v>
      </c>
      <c r="G41" s="3"/>
    </row>
    <row r="42" spans="1:8" ht="15.75" customHeight="1" x14ac:dyDescent="0.25">
      <c r="A42" s="191" t="s">
        <v>122</v>
      </c>
      <c r="B42" s="190"/>
      <c r="C42" s="152"/>
      <c r="D42" s="553">
        <v>13343.2</v>
      </c>
      <c r="E42" s="134"/>
      <c r="F42" s="133">
        <v>13039.6</v>
      </c>
      <c r="G42" s="3"/>
    </row>
    <row r="43" spans="1:8" ht="15.75" customHeight="1" x14ac:dyDescent="0.25">
      <c r="A43" s="144" t="s">
        <v>124</v>
      </c>
      <c r="B43" s="185"/>
      <c r="C43" s="142"/>
      <c r="D43" s="129">
        <v>-4.0999999999999996</v>
      </c>
      <c r="E43" s="134"/>
      <c r="F43" s="133">
        <v>-8</v>
      </c>
      <c r="G43" s="3"/>
      <c r="H43" s="1" t="s">
        <v>117</v>
      </c>
    </row>
    <row r="44" spans="1:8" ht="15.75" customHeight="1" x14ac:dyDescent="0.25">
      <c r="A44" s="191" t="s">
        <v>125</v>
      </c>
      <c r="B44" s="190"/>
      <c r="C44" s="152"/>
      <c r="D44" s="553">
        <v>13339.1</v>
      </c>
      <c r="E44" s="134"/>
      <c r="F44" s="133">
        <v>13031.6</v>
      </c>
      <c r="G44" s="3"/>
    </row>
    <row r="45" spans="1:8" ht="15.75" customHeight="1" x14ac:dyDescent="0.25">
      <c r="A45" s="191" t="s">
        <v>127</v>
      </c>
      <c r="B45" s="190"/>
      <c r="C45" s="152"/>
      <c r="D45" s="553">
        <v>27234.3</v>
      </c>
      <c r="E45" s="134"/>
      <c r="F45" s="133">
        <v>25288.9</v>
      </c>
      <c r="G45" s="3"/>
    </row>
    <row r="46" spans="1:8" ht="15.75" customHeight="1" x14ac:dyDescent="0.2"/>
    <row r="47" spans="1:8" ht="15.75" customHeight="1" x14ac:dyDescent="0.2"/>
    <row r="48" spans="1:8" ht="15.75" customHeight="1" x14ac:dyDescent="0.25">
      <c r="A48" s="1"/>
      <c r="B48" s="1"/>
    </row>
    <row r="49" spans="1:2" ht="15.75" customHeight="1" x14ac:dyDescent="0.25">
      <c r="A49" s="1"/>
      <c r="B49" s="1"/>
    </row>
    <row r="50" spans="1:2" ht="15.75" customHeight="1" x14ac:dyDescent="0.25">
      <c r="A50" s="1"/>
      <c r="B50" s="1"/>
    </row>
    <row r="51" spans="1:2" ht="15.75" customHeight="1" x14ac:dyDescent="0.25">
      <c r="A51" s="1"/>
      <c r="B51" s="1"/>
    </row>
    <row r="52" spans="1:2" ht="15.75" customHeight="1" x14ac:dyDescent="0.25">
      <c r="A52" s="1"/>
      <c r="B52" s="1"/>
    </row>
    <row r="53" spans="1:2" ht="15.75" customHeight="1" x14ac:dyDescent="0.25">
      <c r="A53" s="1"/>
      <c r="B53" s="9"/>
    </row>
    <row r="54" spans="1:2" ht="15.75" customHeight="1" x14ac:dyDescent="0.25">
      <c r="B54" s="1"/>
    </row>
    <row r="55" spans="1:2" ht="15.75" customHeight="1" x14ac:dyDescent="0.25">
      <c r="B55" s="1"/>
    </row>
    <row r="56" spans="1:2" ht="15.75" customHeight="1" x14ac:dyDescent="0.25">
      <c r="B56" s="9"/>
    </row>
    <row r="57" spans="1:2" ht="15.75" customHeight="1" x14ac:dyDescent="0.25">
      <c r="B57" s="1"/>
    </row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6">
    <mergeCell ref="A42:C42"/>
    <mergeCell ref="A43:C43"/>
    <mergeCell ref="A44:C44"/>
    <mergeCell ref="A45:C45"/>
    <mergeCell ref="A35:C35"/>
    <mergeCell ref="A36:C36"/>
    <mergeCell ref="A37:C37"/>
    <mergeCell ref="A38:C38"/>
    <mergeCell ref="A39:C39"/>
    <mergeCell ref="A40:C40"/>
    <mergeCell ref="A41:C41"/>
    <mergeCell ref="A30:C30"/>
    <mergeCell ref="A31:C31"/>
    <mergeCell ref="A32:C32"/>
    <mergeCell ref="A33:C33"/>
    <mergeCell ref="A34:C34"/>
    <mergeCell ref="A25:C25"/>
    <mergeCell ref="A26:C26"/>
    <mergeCell ref="A27:C27"/>
    <mergeCell ref="A28:C28"/>
    <mergeCell ref="A29:C29"/>
    <mergeCell ref="A20:C20"/>
    <mergeCell ref="A21:C21"/>
    <mergeCell ref="A22:C22"/>
    <mergeCell ref="A23:C23"/>
    <mergeCell ref="A24:C24"/>
    <mergeCell ref="A15:C15"/>
    <mergeCell ref="A16:C16"/>
    <mergeCell ref="A17:C17"/>
    <mergeCell ref="A18:C18"/>
    <mergeCell ref="A19:C19"/>
    <mergeCell ref="A10:C10"/>
    <mergeCell ref="A11:C11"/>
    <mergeCell ref="A12:C12"/>
    <mergeCell ref="A13:C13"/>
    <mergeCell ref="A14:C14"/>
    <mergeCell ref="A5:C5"/>
    <mergeCell ref="A6:C6"/>
    <mergeCell ref="A7:C7"/>
    <mergeCell ref="A8:C8"/>
    <mergeCell ref="A9:C9"/>
    <mergeCell ref="A1:F1"/>
    <mergeCell ref="A2:F2"/>
    <mergeCell ref="A3:C3"/>
    <mergeCell ref="D3:F3"/>
    <mergeCell ref="A4:C4"/>
  </mergeCells>
  <conditionalFormatting sqref="E12">
    <cfRule type="colorScale" priority="1">
      <colorScale>
        <cfvo type="min"/>
        <cfvo type="max"/>
        <color rgb="FF57BB8A"/>
        <color rgb="FFFFFFFF"/>
      </colorScale>
    </cfRule>
  </conditionalFormatting>
  <conditionalFormatting sqref="E12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  <outlinePr summaryBelow="0" summaryRight="0"/>
  </sheetPr>
  <dimension ref="A1:M1000"/>
  <sheetViews>
    <sheetView topLeftCell="A40" workbookViewId="0">
      <selection activeCell="K27" sqref="K27"/>
    </sheetView>
  </sheetViews>
  <sheetFormatPr defaultColWidth="12.625" defaultRowHeight="15" customHeight="1" x14ac:dyDescent="0.2"/>
  <cols>
    <col min="1" max="3" width="8.375" customWidth="1"/>
    <col min="4" max="4" width="49.5" customWidth="1"/>
    <col min="5" max="9" width="13.625" customWidth="1"/>
    <col min="10" max="10" width="8.375" customWidth="1"/>
    <col min="11" max="11" width="15.875" customWidth="1"/>
    <col min="12" max="13" width="8.375" customWidth="1"/>
    <col min="14" max="26" width="9.625" customWidth="1"/>
  </cols>
  <sheetData>
    <row r="1" spans="1:11" ht="40.5" customHeight="1" x14ac:dyDescent="0.2">
      <c r="A1" s="205" t="s">
        <v>110</v>
      </c>
      <c r="B1" s="168"/>
      <c r="C1" s="168"/>
      <c r="D1" s="168"/>
      <c r="E1" s="168"/>
      <c r="F1" s="168"/>
      <c r="G1" s="168"/>
      <c r="H1" s="168"/>
      <c r="I1" s="169"/>
    </row>
    <row r="2" spans="1:11" x14ac:dyDescent="0.25">
      <c r="A2" s="118"/>
      <c r="B2" s="119"/>
      <c r="C2" s="119"/>
      <c r="D2" s="120"/>
      <c r="E2" s="118"/>
      <c r="F2" s="119"/>
      <c r="G2" s="119"/>
      <c r="H2" s="119"/>
      <c r="I2" s="120"/>
    </row>
    <row r="3" spans="1:11" ht="15" customHeight="1" x14ac:dyDescent="0.2">
      <c r="A3" s="151" t="s">
        <v>114</v>
      </c>
      <c r="B3" s="190"/>
      <c r="C3" s="190"/>
      <c r="D3" s="152"/>
      <c r="E3" s="206">
        <v>2019</v>
      </c>
      <c r="F3" s="207">
        <v>2018</v>
      </c>
      <c r="G3" s="208">
        <v>2017</v>
      </c>
      <c r="H3" s="207">
        <v>2016</v>
      </c>
      <c r="I3" s="207">
        <v>2015</v>
      </c>
      <c r="J3" s="6"/>
    </row>
    <row r="4" spans="1:11" ht="15" customHeight="1" x14ac:dyDescent="0.2">
      <c r="A4" s="145" t="s">
        <v>56</v>
      </c>
      <c r="B4" s="185"/>
      <c r="C4" s="185"/>
      <c r="D4" s="142"/>
      <c r="E4" s="193">
        <v>5888.5</v>
      </c>
      <c r="F4" s="194">
        <v>4474</v>
      </c>
      <c r="G4" s="195">
        <v>2670.1</v>
      </c>
      <c r="H4" s="194">
        <v>3695.7</v>
      </c>
      <c r="I4" s="196" t="s">
        <v>123</v>
      </c>
      <c r="J4" s="7"/>
      <c r="K4" s="7"/>
    </row>
    <row r="5" spans="1:11" ht="16.5" customHeight="1" x14ac:dyDescent="0.2">
      <c r="A5" s="150" t="s">
        <v>126</v>
      </c>
      <c r="B5" s="185"/>
      <c r="C5" s="185"/>
      <c r="D5" s="142"/>
      <c r="E5" s="197"/>
      <c r="F5" s="198"/>
      <c r="G5" s="199"/>
      <c r="H5" s="198"/>
      <c r="I5" s="198"/>
      <c r="J5" s="10"/>
    </row>
    <row r="6" spans="1:11" ht="15" customHeight="1" x14ac:dyDescent="0.2">
      <c r="A6" s="145" t="s">
        <v>129</v>
      </c>
      <c r="B6" s="185"/>
      <c r="C6" s="185"/>
      <c r="D6" s="142"/>
      <c r="E6" s="197">
        <v>680.6</v>
      </c>
      <c r="F6" s="198">
        <v>1016.6</v>
      </c>
      <c r="G6" s="199">
        <v>1081</v>
      </c>
      <c r="H6" s="200">
        <v>682.7</v>
      </c>
      <c r="I6" s="200">
        <v>600.4</v>
      </c>
      <c r="J6" s="11"/>
      <c r="K6" s="7"/>
    </row>
    <row r="7" spans="1:11" ht="15" customHeight="1" x14ac:dyDescent="0.2">
      <c r="A7" s="145" t="s">
        <v>45</v>
      </c>
      <c r="B7" s="185"/>
      <c r="C7" s="185"/>
      <c r="D7" s="142"/>
      <c r="E7" s="197" t="s">
        <v>42</v>
      </c>
      <c r="F7" s="198">
        <v>112.5</v>
      </c>
      <c r="G7" s="199">
        <v>120</v>
      </c>
      <c r="H7" s="198" t="s">
        <v>42</v>
      </c>
      <c r="I7" s="198" t="s">
        <v>42</v>
      </c>
      <c r="J7" s="13"/>
      <c r="K7" s="14"/>
    </row>
    <row r="8" spans="1:11" ht="15" customHeight="1" x14ac:dyDescent="0.2">
      <c r="A8" s="145" t="s">
        <v>131</v>
      </c>
      <c r="B8" s="185"/>
      <c r="C8" s="185"/>
      <c r="D8" s="142"/>
      <c r="E8" s="197">
        <v>182.3</v>
      </c>
      <c r="F8" s="198">
        <v>157.5</v>
      </c>
      <c r="G8" s="199">
        <v>128</v>
      </c>
      <c r="H8" s="201">
        <v>154.80000000000001</v>
      </c>
      <c r="I8" s="201">
        <v>161.4</v>
      </c>
      <c r="J8" s="13"/>
      <c r="K8" s="14"/>
    </row>
    <row r="9" spans="1:11" ht="15" customHeight="1" x14ac:dyDescent="0.2">
      <c r="A9" s="145" t="s">
        <v>132</v>
      </c>
      <c r="B9" s="185"/>
      <c r="C9" s="185"/>
      <c r="D9" s="142"/>
      <c r="E9" s="197">
        <v>67.099999999999994</v>
      </c>
      <c r="F9" s="198">
        <v>108.3</v>
      </c>
      <c r="G9" s="199">
        <v>91.7</v>
      </c>
      <c r="H9" s="201">
        <v>-175</v>
      </c>
      <c r="I9" s="201">
        <v>-145.6</v>
      </c>
      <c r="J9" s="13"/>
      <c r="K9" s="14"/>
    </row>
    <row r="10" spans="1:11" ht="15" customHeight="1" x14ac:dyDescent="0.2">
      <c r="A10" s="145" t="s">
        <v>133</v>
      </c>
      <c r="B10" s="185"/>
      <c r="C10" s="185"/>
      <c r="D10" s="142"/>
      <c r="E10" s="197">
        <v>-63.7</v>
      </c>
      <c r="F10" s="198">
        <v>-12.3</v>
      </c>
      <c r="G10" s="199">
        <v>62.7</v>
      </c>
      <c r="H10" s="201">
        <v>14.8</v>
      </c>
      <c r="I10" s="201">
        <v>30.5</v>
      </c>
      <c r="J10" s="15"/>
    </row>
    <row r="11" spans="1:11" ht="15" customHeight="1" x14ac:dyDescent="0.2">
      <c r="A11" s="145" t="s">
        <v>48</v>
      </c>
      <c r="B11" s="185"/>
      <c r="C11" s="185"/>
      <c r="D11" s="142"/>
      <c r="E11" s="197">
        <v>55.3</v>
      </c>
      <c r="F11" s="198" t="s">
        <v>42</v>
      </c>
      <c r="G11" s="199" t="s">
        <v>42</v>
      </c>
      <c r="H11" s="198" t="s">
        <v>42</v>
      </c>
      <c r="I11" s="198" t="s">
        <v>42</v>
      </c>
      <c r="J11" s="16"/>
    </row>
    <row r="12" spans="1:11" ht="15" customHeight="1" x14ac:dyDescent="0.2">
      <c r="A12" s="145" t="s">
        <v>26</v>
      </c>
      <c r="B12" s="185"/>
      <c r="C12" s="185"/>
      <c r="D12" s="142"/>
      <c r="E12" s="197">
        <v>69.2</v>
      </c>
      <c r="F12" s="198">
        <v>-69.099999999999994</v>
      </c>
      <c r="G12" s="199">
        <v>162.1</v>
      </c>
      <c r="H12" s="201">
        <v>89</v>
      </c>
      <c r="I12" s="201">
        <v>129.9</v>
      </c>
      <c r="J12" s="15"/>
    </row>
    <row r="13" spans="1:11" ht="15" customHeight="1" x14ac:dyDescent="0.25">
      <c r="A13" s="192" t="s">
        <v>139</v>
      </c>
      <c r="B13" s="190"/>
      <c r="C13" s="190"/>
      <c r="D13" s="152"/>
      <c r="E13" s="197"/>
      <c r="F13" s="198"/>
      <c r="G13" s="199"/>
      <c r="H13" s="198"/>
      <c r="I13" s="198"/>
      <c r="J13" s="10"/>
    </row>
    <row r="14" spans="1:11" ht="15" customHeight="1" x14ac:dyDescent="0.2">
      <c r="A14" s="145" t="s">
        <v>142</v>
      </c>
      <c r="B14" s="185"/>
      <c r="C14" s="185"/>
      <c r="D14" s="142"/>
      <c r="E14" s="197">
        <v>68.8</v>
      </c>
      <c r="F14" s="198">
        <v>-205.2</v>
      </c>
      <c r="G14" s="199">
        <v>-435.6</v>
      </c>
      <c r="H14" s="201">
        <v>-241.4</v>
      </c>
      <c r="I14" s="201">
        <v>29</v>
      </c>
    </row>
    <row r="15" spans="1:11" ht="15" customHeight="1" x14ac:dyDescent="0.2">
      <c r="A15" s="145" t="s">
        <v>143</v>
      </c>
      <c r="B15" s="185"/>
      <c r="C15" s="185"/>
      <c r="D15" s="142"/>
      <c r="E15" s="197">
        <v>-63.3</v>
      </c>
      <c r="F15" s="198">
        <v>5.7</v>
      </c>
      <c r="G15" s="199">
        <v>-232</v>
      </c>
      <c r="H15" s="201">
        <v>13.9</v>
      </c>
      <c r="I15" s="201">
        <v>-31.1</v>
      </c>
    </row>
    <row r="16" spans="1:11" ht="15" customHeight="1" x14ac:dyDescent="0.2">
      <c r="A16" s="145" t="s">
        <v>76</v>
      </c>
      <c r="B16" s="185"/>
      <c r="C16" s="185"/>
      <c r="D16" s="142"/>
      <c r="E16" s="197">
        <v>-19.2</v>
      </c>
      <c r="F16" s="198">
        <v>-52.1</v>
      </c>
      <c r="G16" s="199">
        <v>-94.5</v>
      </c>
      <c r="H16" s="201">
        <v>-165.6</v>
      </c>
      <c r="I16" s="201">
        <v>-174.4</v>
      </c>
    </row>
    <row r="17" spans="1:13" ht="15" customHeight="1" x14ac:dyDescent="0.2">
      <c r="A17" s="143" t="s">
        <v>149</v>
      </c>
      <c r="B17" s="185"/>
      <c r="C17" s="185"/>
      <c r="D17" s="142"/>
      <c r="E17" s="197"/>
      <c r="F17" s="198"/>
      <c r="G17" s="202">
        <v>-76.599999999999994</v>
      </c>
      <c r="H17" s="201">
        <v>59.1</v>
      </c>
      <c r="I17" s="201">
        <v>-127</v>
      </c>
    </row>
    <row r="18" spans="1:13" ht="15" customHeight="1" x14ac:dyDescent="0.2">
      <c r="A18" s="145" t="s">
        <v>150</v>
      </c>
      <c r="B18" s="185"/>
      <c r="C18" s="185"/>
      <c r="D18" s="142"/>
      <c r="E18" s="197">
        <v>240.2</v>
      </c>
      <c r="F18" s="198">
        <v>465.5</v>
      </c>
      <c r="G18" s="199">
        <v>-227.4</v>
      </c>
      <c r="H18" s="201">
        <v>622.29999999999995</v>
      </c>
      <c r="I18" s="201">
        <v>199.3</v>
      </c>
    </row>
    <row r="19" spans="1:13" ht="15" customHeight="1" x14ac:dyDescent="0.2">
      <c r="A19" s="145" t="s">
        <v>152</v>
      </c>
      <c r="B19" s="185"/>
      <c r="C19" s="185"/>
      <c r="D19" s="142"/>
      <c r="E19" s="197">
        <v>16.100000000000001</v>
      </c>
      <c r="F19" s="198">
        <v>321.7</v>
      </c>
      <c r="G19" s="199">
        <v>1303.9000000000001</v>
      </c>
      <c r="H19" s="201">
        <v>-232.6</v>
      </c>
      <c r="I19" s="201">
        <v>-429.4</v>
      </c>
    </row>
    <row r="20" spans="1:13" ht="15" customHeight="1" x14ac:dyDescent="0.2">
      <c r="A20" s="145" t="s">
        <v>153</v>
      </c>
      <c r="B20" s="185"/>
      <c r="C20" s="185"/>
      <c r="D20" s="142"/>
      <c r="E20" s="197">
        <v>-43.3</v>
      </c>
      <c r="F20" s="198">
        <v>-135.4</v>
      </c>
      <c r="G20" s="199">
        <v>-2.4</v>
      </c>
      <c r="H20" s="201">
        <v>69.5</v>
      </c>
      <c r="I20" s="201">
        <v>83.2</v>
      </c>
      <c r="J20" s="15"/>
    </row>
    <row r="21" spans="1:13" ht="15" customHeight="1" x14ac:dyDescent="0.2">
      <c r="A21" s="151" t="s">
        <v>155</v>
      </c>
      <c r="B21" s="190"/>
      <c r="C21" s="190"/>
      <c r="D21" s="152"/>
      <c r="E21" s="203">
        <v>7078.6</v>
      </c>
      <c r="F21" s="198">
        <v>6187.7</v>
      </c>
      <c r="G21" s="199">
        <v>4551</v>
      </c>
      <c r="H21" s="201">
        <v>4587.2</v>
      </c>
      <c r="I21" s="201">
        <v>3919.4</v>
      </c>
      <c r="J21" s="15"/>
    </row>
    <row r="22" spans="1:13" ht="15" customHeight="1" x14ac:dyDescent="0.25">
      <c r="A22" s="192" t="s">
        <v>159</v>
      </c>
      <c r="B22" s="190"/>
      <c r="C22" s="190"/>
      <c r="D22" s="152"/>
      <c r="E22" s="193"/>
      <c r="F22" s="198"/>
      <c r="G22" s="199"/>
      <c r="H22" s="198"/>
      <c r="I22" s="198"/>
      <c r="J22" s="10"/>
    </row>
    <row r="23" spans="1:13" ht="15" customHeight="1" x14ac:dyDescent="0.2">
      <c r="A23" s="145" t="s">
        <v>160</v>
      </c>
      <c r="B23" s="185"/>
      <c r="C23" s="185"/>
      <c r="D23" s="142"/>
      <c r="E23" s="193">
        <v>6007</v>
      </c>
      <c r="F23" s="198">
        <v>9173.7000000000007</v>
      </c>
      <c r="G23" s="199">
        <v>5565.9</v>
      </c>
      <c r="H23" s="201">
        <v>7378.9</v>
      </c>
      <c r="I23" s="201">
        <v>4063</v>
      </c>
      <c r="J23" s="15"/>
    </row>
    <row r="24" spans="1:13" ht="15" customHeight="1" x14ac:dyDescent="0.2">
      <c r="A24" s="145" t="s">
        <v>161</v>
      </c>
      <c r="B24" s="185"/>
      <c r="C24" s="185"/>
      <c r="D24" s="142"/>
      <c r="E24" s="197">
        <v>-5252.6</v>
      </c>
      <c r="F24" s="198">
        <v>-7694.8</v>
      </c>
      <c r="G24" s="199">
        <v>-5355.2</v>
      </c>
      <c r="H24" s="201">
        <v>-7913.2</v>
      </c>
      <c r="I24" s="201">
        <v>-6864.9</v>
      </c>
      <c r="J24" s="15"/>
    </row>
    <row r="25" spans="1:13" ht="15.75" customHeight="1" x14ac:dyDescent="0.2">
      <c r="A25" s="145" t="s">
        <v>162</v>
      </c>
      <c r="B25" s="185"/>
      <c r="C25" s="185"/>
      <c r="D25" s="142"/>
      <c r="E25" s="197">
        <v>-300</v>
      </c>
      <c r="F25" s="198">
        <v>-1500</v>
      </c>
      <c r="G25" s="199">
        <v>-1200</v>
      </c>
      <c r="H25" s="201">
        <v>-1200</v>
      </c>
      <c r="I25" s="201">
        <v>-850</v>
      </c>
      <c r="J25" s="15"/>
    </row>
    <row r="26" spans="1:13" ht="15.75" customHeight="1" x14ac:dyDescent="0.2">
      <c r="A26" s="145" t="s">
        <v>163</v>
      </c>
      <c r="B26" s="185"/>
      <c r="C26" s="185"/>
      <c r="D26" s="142"/>
      <c r="E26" s="197">
        <v>-744.4</v>
      </c>
      <c r="F26" s="198" t="s">
        <v>42</v>
      </c>
      <c r="G26" s="199" t="s">
        <v>42</v>
      </c>
      <c r="H26" s="198" t="s">
        <v>42</v>
      </c>
      <c r="I26" s="198" t="s">
        <v>42</v>
      </c>
      <c r="J26" s="16"/>
      <c r="K26" s="4"/>
      <c r="L26" s="4"/>
      <c r="M26" s="4"/>
    </row>
    <row r="27" spans="1:13" ht="16.5" customHeight="1" x14ac:dyDescent="0.2">
      <c r="A27" s="150" t="s">
        <v>164</v>
      </c>
      <c r="B27" s="185"/>
      <c r="C27" s="185"/>
      <c r="D27" s="142"/>
      <c r="E27" s="197">
        <v>923.7</v>
      </c>
      <c r="F27" s="198" t="s">
        <v>42</v>
      </c>
      <c r="G27" s="199" t="s">
        <v>42</v>
      </c>
      <c r="H27" s="198" t="s">
        <v>42</v>
      </c>
      <c r="I27" s="198" t="s">
        <v>42</v>
      </c>
      <c r="J27" s="16"/>
    </row>
    <row r="28" spans="1:13" ht="15.75" customHeight="1" x14ac:dyDescent="0.2">
      <c r="A28" s="145" t="s">
        <v>45</v>
      </c>
      <c r="B28" s="185"/>
      <c r="C28" s="185"/>
      <c r="D28" s="142"/>
      <c r="E28" s="197" t="s">
        <v>42</v>
      </c>
      <c r="F28" s="198">
        <v>-112.5</v>
      </c>
      <c r="G28" s="199">
        <v>-120</v>
      </c>
      <c r="H28" s="198" t="s">
        <v>42</v>
      </c>
      <c r="I28" s="198" t="s">
        <v>42</v>
      </c>
      <c r="J28" s="10"/>
    </row>
    <row r="29" spans="1:13" ht="15.75" customHeight="1" x14ac:dyDescent="0.2">
      <c r="A29" s="209" t="s">
        <v>166</v>
      </c>
      <c r="B29" s="210"/>
      <c r="C29" s="210"/>
      <c r="D29" s="211"/>
      <c r="E29" s="198" t="s">
        <v>42</v>
      </c>
      <c r="F29" s="198" t="s">
        <v>42</v>
      </c>
      <c r="G29" s="199" t="s">
        <v>42</v>
      </c>
      <c r="H29" s="198" t="s">
        <v>42</v>
      </c>
      <c r="I29" s="201">
        <v>-198.8</v>
      </c>
      <c r="J29" s="15"/>
      <c r="K29" s="4"/>
      <c r="L29" s="4"/>
      <c r="M29" s="4"/>
    </row>
    <row r="30" spans="1:13" ht="15.75" customHeight="1" x14ac:dyDescent="0.2">
      <c r="A30" s="145" t="s">
        <v>168</v>
      </c>
      <c r="B30" s="185"/>
      <c r="C30" s="185"/>
      <c r="D30" s="142"/>
      <c r="E30" s="197">
        <v>-514.5</v>
      </c>
      <c r="F30" s="198">
        <v>-770.6</v>
      </c>
      <c r="G30" s="199">
        <v>-867.4</v>
      </c>
      <c r="H30" s="201">
        <v>-616.1</v>
      </c>
      <c r="I30" s="201">
        <v>-643</v>
      </c>
      <c r="J30" s="15"/>
      <c r="K30" s="4"/>
      <c r="L30" s="4"/>
      <c r="M30" s="4"/>
    </row>
    <row r="31" spans="1:13" ht="15.75" customHeight="1" x14ac:dyDescent="0.2">
      <c r="A31" s="145" t="s">
        <v>169</v>
      </c>
      <c r="B31" s="185"/>
      <c r="C31" s="185"/>
      <c r="D31" s="142"/>
      <c r="E31" s="197">
        <v>-155</v>
      </c>
      <c r="F31" s="198">
        <v>-3</v>
      </c>
      <c r="G31" s="199">
        <v>-975.4</v>
      </c>
      <c r="H31" s="201">
        <v>-111.6</v>
      </c>
      <c r="I31" s="201">
        <v>-15.4</v>
      </c>
      <c r="J31" s="15"/>
    </row>
    <row r="32" spans="1:13" ht="15.75" customHeight="1" x14ac:dyDescent="0.2">
      <c r="A32" s="145" t="s">
        <v>170</v>
      </c>
      <c r="B32" s="185"/>
      <c r="C32" s="185"/>
      <c r="D32" s="142"/>
      <c r="E32" s="197" t="s">
        <v>42</v>
      </c>
      <c r="F32" s="198">
        <v>-462.9</v>
      </c>
      <c r="G32" s="199" t="s">
        <v>42</v>
      </c>
      <c r="H32" s="198" t="s">
        <v>42</v>
      </c>
      <c r="I32" s="198" t="s">
        <v>42</v>
      </c>
      <c r="J32" s="16"/>
    </row>
    <row r="33" spans="1:10" ht="15.75" customHeight="1" x14ac:dyDescent="0.2">
      <c r="A33" s="145" t="s">
        <v>171</v>
      </c>
      <c r="B33" s="185"/>
      <c r="C33" s="185"/>
      <c r="D33" s="142"/>
      <c r="E33" s="197" t="s">
        <v>42</v>
      </c>
      <c r="F33" s="198">
        <v>-676.6</v>
      </c>
      <c r="G33" s="199" t="s">
        <v>42</v>
      </c>
      <c r="H33" s="198" t="s">
        <v>42</v>
      </c>
      <c r="I33" s="198" t="s">
        <v>42</v>
      </c>
      <c r="J33" s="16"/>
    </row>
    <row r="34" spans="1:10" ht="15.75" customHeight="1" x14ac:dyDescent="0.2">
      <c r="A34" s="145" t="s">
        <v>173</v>
      </c>
      <c r="B34" s="185"/>
      <c r="C34" s="185"/>
      <c r="D34" s="142"/>
      <c r="E34" s="197">
        <v>479.3</v>
      </c>
      <c r="F34" s="198" t="s">
        <v>42</v>
      </c>
      <c r="G34" s="199" t="s">
        <v>42</v>
      </c>
      <c r="H34" s="198" t="s">
        <v>42</v>
      </c>
      <c r="I34" s="198" t="s">
        <v>42</v>
      </c>
      <c r="J34" s="16"/>
    </row>
    <row r="35" spans="1:10" ht="15.75" customHeight="1" x14ac:dyDescent="0.2">
      <c r="A35" s="144" t="s">
        <v>26</v>
      </c>
      <c r="B35" s="185"/>
      <c r="C35" s="185"/>
      <c r="D35" s="142"/>
      <c r="E35" s="197">
        <v>27</v>
      </c>
      <c r="F35" s="198">
        <v>0.4</v>
      </c>
      <c r="G35" s="199">
        <v>-11</v>
      </c>
      <c r="H35" s="201">
        <v>-22.8</v>
      </c>
      <c r="I35" s="201">
        <v>-44.5</v>
      </c>
      <c r="J35" s="15"/>
    </row>
    <row r="36" spans="1:10" ht="15.75" customHeight="1" x14ac:dyDescent="0.2">
      <c r="A36" s="151" t="s">
        <v>175</v>
      </c>
      <c r="B36" s="190"/>
      <c r="C36" s="190"/>
      <c r="D36" s="152"/>
      <c r="E36" s="203">
        <v>470.5</v>
      </c>
      <c r="F36" s="198">
        <v>-2046.3</v>
      </c>
      <c r="G36" s="199">
        <v>-2963.1</v>
      </c>
      <c r="H36" s="201">
        <v>-2484.8000000000002</v>
      </c>
      <c r="I36" s="201">
        <v>-4553.6000000000004</v>
      </c>
      <c r="J36" s="15"/>
    </row>
    <row r="37" spans="1:10" ht="15.75" customHeight="1" x14ac:dyDescent="0.25">
      <c r="A37" s="192" t="s">
        <v>179</v>
      </c>
      <c r="B37" s="190"/>
      <c r="C37" s="190"/>
      <c r="D37" s="152"/>
      <c r="E37" s="193"/>
      <c r="F37" s="198"/>
      <c r="G37" s="199"/>
      <c r="H37" s="198"/>
      <c r="I37" s="198"/>
      <c r="J37" s="10"/>
    </row>
    <row r="38" spans="1:10" ht="15.75" customHeight="1" x14ac:dyDescent="0.2">
      <c r="A38" s="145" t="s">
        <v>182</v>
      </c>
      <c r="B38" s="185"/>
      <c r="C38" s="185"/>
      <c r="D38" s="142"/>
      <c r="E38" s="193">
        <v>-5868.3</v>
      </c>
      <c r="F38" s="198">
        <v>-4352.6000000000004</v>
      </c>
      <c r="G38" s="199">
        <v>-1365.4</v>
      </c>
      <c r="H38" s="201">
        <v>-1000</v>
      </c>
      <c r="I38" s="201">
        <v>-5000</v>
      </c>
      <c r="J38" s="15"/>
    </row>
    <row r="39" spans="1:10" ht="14.25" customHeight="1" x14ac:dyDescent="0.2">
      <c r="A39" s="212" t="s">
        <v>183</v>
      </c>
      <c r="B39" s="210"/>
      <c r="C39" s="210"/>
      <c r="D39" s="211"/>
      <c r="E39" s="197"/>
      <c r="F39" s="198"/>
      <c r="G39" s="202">
        <v>-5.3</v>
      </c>
      <c r="H39" s="201">
        <v>-8.5</v>
      </c>
      <c r="I39" s="201">
        <v>-70.900000000000006</v>
      </c>
      <c r="J39" s="15"/>
    </row>
    <row r="40" spans="1:10" ht="15.75" customHeight="1" x14ac:dyDescent="0.25">
      <c r="A40" s="192" t="s">
        <v>546</v>
      </c>
      <c r="B40" s="213"/>
      <c r="C40" s="213"/>
      <c r="D40" s="214"/>
      <c r="E40" s="197">
        <v>4.3</v>
      </c>
      <c r="F40" s="198">
        <v>-36.4</v>
      </c>
      <c r="G40" s="199">
        <v>-134.1</v>
      </c>
      <c r="H40" s="201" t="s">
        <v>42</v>
      </c>
      <c r="I40" s="201">
        <v>-56.1</v>
      </c>
      <c r="J40" s="15"/>
    </row>
    <row r="41" spans="1:10" ht="15.75" customHeight="1" x14ac:dyDescent="0.2">
      <c r="A41" s="209" t="s">
        <v>188</v>
      </c>
      <c r="B41" s="210"/>
      <c r="C41" s="210"/>
      <c r="D41" s="211"/>
      <c r="E41" s="197"/>
      <c r="F41" s="198"/>
      <c r="G41" s="202" t="s">
        <v>42</v>
      </c>
      <c r="H41" s="201" t="s">
        <v>42</v>
      </c>
      <c r="I41" s="201">
        <v>5930.5</v>
      </c>
      <c r="J41" s="15"/>
    </row>
    <row r="42" spans="1:10" ht="15.75" customHeight="1" x14ac:dyDescent="0.2">
      <c r="A42" s="145" t="s">
        <v>189</v>
      </c>
      <c r="B42" s="185"/>
      <c r="C42" s="185"/>
      <c r="D42" s="142"/>
      <c r="E42" s="197" t="s">
        <v>42</v>
      </c>
      <c r="F42" s="198">
        <v>-3.2</v>
      </c>
      <c r="G42" s="199">
        <v>-560.9</v>
      </c>
      <c r="H42" s="201">
        <v>-2.7</v>
      </c>
      <c r="I42" s="201">
        <v>-2.1</v>
      </c>
      <c r="J42" s="15"/>
    </row>
    <row r="43" spans="1:10" ht="15.75" customHeight="1" x14ac:dyDescent="0.2">
      <c r="A43" s="145" t="s">
        <v>190</v>
      </c>
      <c r="B43" s="185"/>
      <c r="C43" s="185"/>
      <c r="D43" s="142"/>
      <c r="E43" s="197" t="s">
        <v>42</v>
      </c>
      <c r="F43" s="198" t="s">
        <v>42</v>
      </c>
      <c r="G43" s="199">
        <v>-302.7</v>
      </c>
      <c r="H43" s="201" t="s">
        <v>42</v>
      </c>
      <c r="I43" s="201" t="s">
        <v>42</v>
      </c>
      <c r="J43" s="15"/>
    </row>
    <row r="44" spans="1:10" ht="15.75" customHeight="1" x14ac:dyDescent="0.2">
      <c r="A44" s="145" t="s">
        <v>191</v>
      </c>
      <c r="B44" s="185"/>
      <c r="C44" s="185"/>
      <c r="D44" s="142"/>
      <c r="E44" s="197" t="s">
        <v>42</v>
      </c>
      <c r="F44" s="198">
        <v>-58.2</v>
      </c>
      <c r="G44" s="199">
        <v>-3</v>
      </c>
      <c r="H44" s="201">
        <v>-38.6</v>
      </c>
      <c r="I44" s="201">
        <v>-13.1</v>
      </c>
      <c r="J44" s="15"/>
    </row>
    <row r="45" spans="1:10" ht="15.75" customHeight="1" x14ac:dyDescent="0.2">
      <c r="A45" s="145" t="s">
        <v>26</v>
      </c>
      <c r="B45" s="185"/>
      <c r="C45" s="185"/>
      <c r="D45" s="142"/>
      <c r="E45" s="197">
        <v>3.6</v>
      </c>
      <c r="F45" s="198">
        <v>-21.6</v>
      </c>
      <c r="G45" s="199">
        <v>-13.9</v>
      </c>
      <c r="H45" s="201">
        <v>-2.8</v>
      </c>
      <c r="I45" s="201">
        <v>-5.2</v>
      </c>
      <c r="J45" s="15"/>
    </row>
    <row r="46" spans="1:10" ht="15.75" customHeight="1" x14ac:dyDescent="0.2">
      <c r="A46" s="151" t="s">
        <v>192</v>
      </c>
      <c r="B46" s="190"/>
      <c r="C46" s="190"/>
      <c r="D46" s="152"/>
      <c r="E46" s="203">
        <v>-5860.4</v>
      </c>
      <c r="F46" s="198">
        <v>-4472</v>
      </c>
      <c r="G46" s="199">
        <v>-2380</v>
      </c>
      <c r="H46" s="201">
        <v>-1052.5999999999999</v>
      </c>
      <c r="I46" s="201">
        <v>783.1</v>
      </c>
      <c r="J46" s="15"/>
    </row>
    <row r="47" spans="1:10" ht="15.75" customHeight="1" x14ac:dyDescent="0.2">
      <c r="A47" s="145" t="s">
        <v>193</v>
      </c>
      <c r="B47" s="185"/>
      <c r="C47" s="185"/>
      <c r="D47" s="142"/>
      <c r="E47" s="197">
        <v>1688.7</v>
      </c>
      <c r="F47" s="198">
        <v>-330.6</v>
      </c>
      <c r="G47" s="199">
        <v>-792.1</v>
      </c>
      <c r="H47" s="201">
        <v>1049.8</v>
      </c>
      <c r="I47" s="201">
        <v>148.9</v>
      </c>
      <c r="J47" s="15"/>
    </row>
    <row r="48" spans="1:10" ht="15.75" customHeight="1" x14ac:dyDescent="0.2">
      <c r="A48" s="145" t="s">
        <v>194</v>
      </c>
      <c r="B48" s="185"/>
      <c r="C48" s="185"/>
      <c r="D48" s="142"/>
      <c r="E48" s="197">
        <v>0.4</v>
      </c>
      <c r="F48" s="198">
        <v>-18.600000000000001</v>
      </c>
      <c r="G48" s="199">
        <v>39.4</v>
      </c>
      <c r="H48" s="201">
        <v>-31.3</v>
      </c>
      <c r="I48" s="201">
        <v>-45.8</v>
      </c>
      <c r="J48" s="15"/>
    </row>
    <row r="49" spans="1:10" ht="15.75" customHeight="1" x14ac:dyDescent="0.2">
      <c r="A49" s="151" t="s">
        <v>195</v>
      </c>
      <c r="B49" s="190"/>
      <c r="C49" s="190"/>
      <c r="D49" s="152"/>
      <c r="E49" s="203">
        <v>1224.5999999999999</v>
      </c>
      <c r="F49" s="198">
        <v>1573.8</v>
      </c>
      <c r="G49" s="199">
        <v>2326.5</v>
      </c>
      <c r="H49" s="201">
        <v>1308</v>
      </c>
      <c r="I49" s="201">
        <v>1204.9000000000001</v>
      </c>
      <c r="J49" s="15"/>
    </row>
    <row r="50" spans="1:10" ht="15.75" customHeight="1" x14ac:dyDescent="0.2">
      <c r="A50" s="151" t="s">
        <v>199</v>
      </c>
      <c r="B50" s="190"/>
      <c r="C50" s="190"/>
      <c r="D50" s="152"/>
      <c r="E50" s="203">
        <v>2913.7</v>
      </c>
      <c r="F50" s="198">
        <v>1224.5999999999999</v>
      </c>
      <c r="G50" s="199">
        <v>1573.8</v>
      </c>
      <c r="H50" s="204" t="s">
        <v>203</v>
      </c>
      <c r="I50" s="204" t="s">
        <v>205</v>
      </c>
      <c r="J50" s="17"/>
    </row>
    <row r="51" spans="1:10" ht="15.75" customHeight="1" x14ac:dyDescent="0.2">
      <c r="A51" s="3"/>
      <c r="B51" s="3"/>
      <c r="C51" s="3"/>
      <c r="D51" s="3"/>
      <c r="E51" s="3"/>
    </row>
    <row r="52" spans="1:10" ht="15.75" customHeight="1" x14ac:dyDescent="0.2">
      <c r="A52" s="3"/>
      <c r="B52" s="3"/>
      <c r="C52" s="3"/>
      <c r="D52" s="3"/>
      <c r="E52" s="3"/>
    </row>
    <row r="53" spans="1:10" ht="15.75" customHeight="1" x14ac:dyDescent="0.2"/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1">
    <mergeCell ref="A40:D40"/>
    <mergeCell ref="A41:D41"/>
    <mergeCell ref="A49:D49"/>
    <mergeCell ref="A50:D50"/>
    <mergeCell ref="A42:D42"/>
    <mergeCell ref="A43:D43"/>
    <mergeCell ref="A44:D44"/>
    <mergeCell ref="A45:D45"/>
    <mergeCell ref="A46:D46"/>
    <mergeCell ref="A47:D47"/>
    <mergeCell ref="A48:D48"/>
    <mergeCell ref="A35:D35"/>
    <mergeCell ref="A36:D36"/>
    <mergeCell ref="A37:D37"/>
    <mergeCell ref="A38:D38"/>
    <mergeCell ref="A39:D39"/>
    <mergeCell ref="A30:D30"/>
    <mergeCell ref="A31:D31"/>
    <mergeCell ref="A32:D32"/>
    <mergeCell ref="A33:D33"/>
    <mergeCell ref="A34:D34"/>
    <mergeCell ref="A25:D25"/>
    <mergeCell ref="A26:D26"/>
    <mergeCell ref="A27:D27"/>
    <mergeCell ref="A28:D28"/>
    <mergeCell ref="A29:D29"/>
    <mergeCell ref="A20:D20"/>
    <mergeCell ref="A21:D21"/>
    <mergeCell ref="A22:D22"/>
    <mergeCell ref="A23:D23"/>
    <mergeCell ref="A24:D24"/>
    <mergeCell ref="A15:D15"/>
    <mergeCell ref="A16:D16"/>
    <mergeCell ref="A17:D17"/>
    <mergeCell ref="A18:D18"/>
    <mergeCell ref="A19:D19"/>
    <mergeCell ref="A10:D10"/>
    <mergeCell ref="A11:D11"/>
    <mergeCell ref="A12:D12"/>
    <mergeCell ref="A13:D13"/>
    <mergeCell ref="A14:D14"/>
    <mergeCell ref="A5:D5"/>
    <mergeCell ref="A6:D6"/>
    <mergeCell ref="A7:D7"/>
    <mergeCell ref="A8:D8"/>
    <mergeCell ref="A9:D9"/>
    <mergeCell ref="A1:I1"/>
    <mergeCell ref="A2:D2"/>
    <mergeCell ref="E2:I2"/>
    <mergeCell ref="A3:D3"/>
    <mergeCell ref="A4:D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K1000"/>
  <sheetViews>
    <sheetView topLeftCell="A14" workbookViewId="0">
      <selection activeCell="H22" sqref="H22"/>
    </sheetView>
  </sheetViews>
  <sheetFormatPr defaultColWidth="12.625" defaultRowHeight="15" customHeight="1" x14ac:dyDescent="0.2"/>
  <cols>
    <col min="1" max="1" width="17.5" customWidth="1"/>
    <col min="2" max="2" width="14.625" customWidth="1"/>
    <col min="3" max="3" width="7.875" customWidth="1"/>
    <col min="4" max="4" width="10" customWidth="1"/>
    <col min="5" max="5" width="18.25" customWidth="1"/>
    <col min="6" max="6" width="9.125" customWidth="1"/>
    <col min="7" max="26" width="9.625" customWidth="1"/>
  </cols>
  <sheetData>
    <row r="1" spans="1:11" ht="15" customHeight="1" x14ac:dyDescent="0.25">
      <c r="A1" s="1"/>
      <c r="B1" s="1"/>
      <c r="C1" s="1"/>
      <c r="D1" s="1"/>
      <c r="E1" s="1"/>
      <c r="F1" s="1"/>
    </row>
    <row r="2" spans="1:11" ht="15" customHeight="1" x14ac:dyDescent="0.25">
      <c r="A2" s="1"/>
      <c r="B2" s="1"/>
      <c r="C2" s="1"/>
      <c r="D2" s="1"/>
      <c r="E2" s="1"/>
      <c r="F2" s="1"/>
    </row>
    <row r="3" spans="1:11" x14ac:dyDescent="0.25">
      <c r="A3" s="217" t="s">
        <v>135</v>
      </c>
      <c r="B3" s="215">
        <v>0</v>
      </c>
      <c r="C3" s="1"/>
      <c r="D3" s="1"/>
      <c r="E3" s="1"/>
      <c r="F3" s="1"/>
    </row>
    <row r="4" spans="1:11" x14ac:dyDescent="0.25">
      <c r="A4" s="218" t="s">
        <v>136</v>
      </c>
      <c r="B4" s="216">
        <v>7.0000000000000001E-3</v>
      </c>
      <c r="C4" s="1"/>
      <c r="D4" s="1"/>
      <c r="E4" s="1"/>
      <c r="F4" s="1"/>
    </row>
    <row r="5" spans="1:11" ht="15" customHeight="1" x14ac:dyDescent="0.25">
      <c r="A5" s="1"/>
      <c r="B5" s="1"/>
      <c r="C5" s="1"/>
      <c r="D5" s="1"/>
      <c r="E5" s="1"/>
      <c r="F5" s="1"/>
    </row>
    <row r="6" spans="1:11" ht="15" customHeight="1" x14ac:dyDescent="0.25">
      <c r="A6" s="1"/>
      <c r="B6" s="1"/>
      <c r="C6" s="1"/>
      <c r="D6" s="1"/>
      <c r="E6" s="1"/>
      <c r="F6" s="1"/>
    </row>
    <row r="7" spans="1:11" ht="15" customHeight="1" x14ac:dyDescent="0.25">
      <c r="A7" s="1"/>
      <c r="B7" s="1"/>
      <c r="C7" s="1"/>
      <c r="D7" s="1"/>
      <c r="E7" s="1"/>
      <c r="F7" s="1"/>
    </row>
    <row r="8" spans="1:11" ht="15" customHeight="1" x14ac:dyDescent="0.25">
      <c r="A8" s="1"/>
      <c r="B8" s="1"/>
      <c r="C8" s="1"/>
      <c r="D8" s="1"/>
      <c r="E8" s="1"/>
      <c r="F8" s="1"/>
    </row>
    <row r="9" spans="1:11" x14ac:dyDescent="0.25">
      <c r="A9" s="219" t="s">
        <v>140</v>
      </c>
      <c r="B9" s="220">
        <v>5.1999999999999998E-2</v>
      </c>
      <c r="C9" s="1"/>
      <c r="D9" s="1"/>
      <c r="E9" s="1"/>
      <c r="F9" s="1"/>
    </row>
    <row r="10" spans="1:11" ht="15" customHeight="1" x14ac:dyDescent="0.25">
      <c r="A10" s="1"/>
      <c r="B10" s="1"/>
      <c r="C10" s="1"/>
      <c r="D10" s="1"/>
      <c r="E10" s="1"/>
      <c r="F10" s="1"/>
      <c r="K10" s="221"/>
    </row>
    <row r="11" spans="1:11" ht="15" customHeight="1" x14ac:dyDescent="0.25">
      <c r="A11" s="1"/>
      <c r="B11" s="1"/>
      <c r="C11" s="1"/>
      <c r="D11" s="1"/>
      <c r="E11" s="1"/>
    </row>
    <row r="12" spans="1:11" ht="15" customHeight="1" x14ac:dyDescent="0.25">
      <c r="A12" s="1"/>
      <c r="B12" s="1"/>
      <c r="C12" s="1"/>
      <c r="D12" s="1"/>
      <c r="E12" s="1"/>
      <c r="F12" s="222" t="s">
        <v>547</v>
      </c>
      <c r="G12" s="222"/>
      <c r="H12" s="222"/>
      <c r="I12" s="222"/>
    </row>
    <row r="13" spans="1:11" ht="15" customHeight="1" x14ac:dyDescent="0.25">
      <c r="A13" s="1"/>
      <c r="B13" s="1"/>
      <c r="C13" s="1"/>
      <c r="D13" s="1"/>
      <c r="E13" s="1"/>
      <c r="F13" s="1"/>
    </row>
    <row r="14" spans="1:11" ht="15" customHeight="1" x14ac:dyDescent="0.25">
      <c r="A14" s="1"/>
      <c r="B14" s="1"/>
      <c r="C14" s="1"/>
      <c r="D14" s="1"/>
      <c r="E14" s="1"/>
      <c r="F14" s="1"/>
    </row>
    <row r="15" spans="1:11" x14ac:dyDescent="0.25">
      <c r="A15" s="230" t="s">
        <v>144</v>
      </c>
      <c r="B15" s="230" t="s">
        <v>145</v>
      </c>
      <c r="C15" s="230" t="s">
        <v>146</v>
      </c>
      <c r="D15" s="230" t="s">
        <v>9</v>
      </c>
      <c r="E15" s="230" t="s">
        <v>147</v>
      </c>
      <c r="F15" s="1"/>
    </row>
    <row r="16" spans="1:11" x14ac:dyDescent="0.25">
      <c r="A16" s="231" t="s">
        <v>148</v>
      </c>
      <c r="B16" s="223">
        <v>6713.8</v>
      </c>
      <c r="C16" s="224">
        <f>(B16/B20)</f>
        <v>0.58997521924814145</v>
      </c>
      <c r="D16" s="225">
        <v>0</v>
      </c>
      <c r="E16" s="224">
        <f t="shared" ref="E16:E17" si="0">(D16*C16)</f>
        <v>0</v>
      </c>
      <c r="F16" s="1"/>
    </row>
    <row r="17" spans="1:6" x14ac:dyDescent="0.25">
      <c r="A17" s="232" t="s">
        <v>151</v>
      </c>
      <c r="B17" s="226">
        <v>3794.5</v>
      </c>
      <c r="C17" s="227">
        <f>(B17/B20)</f>
        <v>0.33344171250812848</v>
      </c>
      <c r="D17" s="227">
        <f>B30</f>
        <v>1.06E-2</v>
      </c>
      <c r="E17" s="227">
        <f t="shared" si="0"/>
        <v>3.5344821525861618E-3</v>
      </c>
      <c r="F17" s="1"/>
    </row>
    <row r="18" spans="1:6" x14ac:dyDescent="0.25">
      <c r="A18" s="231" t="s">
        <v>157</v>
      </c>
      <c r="B18" s="223">
        <v>320.3</v>
      </c>
      <c r="C18" s="225">
        <f>(B18/B20)</f>
        <v>2.8146364610977349E-2</v>
      </c>
      <c r="D18" s="225">
        <v>6.8999999999999999E-3</v>
      </c>
      <c r="E18" s="225">
        <f>D18*C18</f>
        <v>1.942099158157437E-4</v>
      </c>
      <c r="F18" s="1"/>
    </row>
    <row r="19" spans="1:6" x14ac:dyDescent="0.25">
      <c r="A19" s="232" t="s">
        <v>26</v>
      </c>
      <c r="B19" s="226">
        <v>551.20000000000005</v>
      </c>
      <c r="C19" s="227">
        <f>B19/B20</f>
        <v>4.8436703632752778E-2</v>
      </c>
      <c r="D19" s="227">
        <v>0</v>
      </c>
      <c r="E19" s="227">
        <f>C19*D19</f>
        <v>0</v>
      </c>
      <c r="F19" s="1"/>
    </row>
    <row r="20" spans="1:6" x14ac:dyDescent="0.25">
      <c r="A20" s="233" t="s">
        <v>165</v>
      </c>
      <c r="B20" s="228">
        <f>SUM(B16:B19)</f>
        <v>11379.8</v>
      </c>
      <c r="C20" s="241"/>
      <c r="D20" s="241"/>
      <c r="E20" s="229">
        <f>SUM(E16:E19)</f>
        <v>3.7286920684019057E-3</v>
      </c>
      <c r="F20" s="1"/>
    </row>
    <row r="21" spans="1:6" ht="15.75" customHeight="1" x14ac:dyDescent="0.2"/>
    <row r="22" spans="1:6" ht="15.75" customHeight="1" x14ac:dyDescent="0.2"/>
    <row r="23" spans="1:6" ht="15.75" customHeight="1" x14ac:dyDescent="0.25">
      <c r="A23" s="236" t="s">
        <v>151</v>
      </c>
      <c r="B23" s="237" t="s">
        <v>172</v>
      </c>
      <c r="C23" s="1"/>
      <c r="D23" s="236" t="s">
        <v>26</v>
      </c>
      <c r="E23" s="237" t="s">
        <v>172</v>
      </c>
    </row>
    <row r="24" spans="1:6" ht="15.75" customHeight="1" x14ac:dyDescent="0.25">
      <c r="A24" s="238" t="s">
        <v>174</v>
      </c>
      <c r="B24" s="234">
        <v>0</v>
      </c>
      <c r="C24" s="1"/>
      <c r="D24" s="238" t="s">
        <v>176</v>
      </c>
      <c r="E24" s="234">
        <v>0</v>
      </c>
    </row>
    <row r="25" spans="1:6" ht="15.75" customHeight="1" x14ac:dyDescent="0.25">
      <c r="A25" s="238" t="s">
        <v>177</v>
      </c>
      <c r="B25" s="234">
        <v>2.1700000000000001E-2</v>
      </c>
      <c r="C25" s="1"/>
      <c r="D25" s="238" t="s">
        <v>178</v>
      </c>
      <c r="E25" s="234">
        <v>0</v>
      </c>
    </row>
    <row r="26" spans="1:6" ht="15.75" customHeight="1" x14ac:dyDescent="0.25">
      <c r="A26" s="238" t="s">
        <v>180</v>
      </c>
      <c r="B26" s="234">
        <v>4.8999999999999998E-3</v>
      </c>
      <c r="C26" s="1"/>
      <c r="D26" s="239" t="s">
        <v>181</v>
      </c>
      <c r="E26" s="235">
        <f>AVERAGE(E24:E25)</f>
        <v>0</v>
      </c>
    </row>
    <row r="27" spans="1:6" ht="15.75" customHeight="1" x14ac:dyDescent="0.25">
      <c r="A27" s="238" t="s">
        <v>184</v>
      </c>
      <c r="B27" s="234">
        <v>2.1700000000000001E-2</v>
      </c>
      <c r="C27" s="1"/>
      <c r="D27" s="1"/>
      <c r="E27" s="1"/>
    </row>
    <row r="28" spans="1:6" ht="15.75" customHeight="1" x14ac:dyDescent="0.25">
      <c r="A28" s="238" t="s">
        <v>185</v>
      </c>
      <c r="B28" s="234">
        <v>1.5699999999999999E-2</v>
      </c>
      <c r="C28" s="1"/>
      <c r="D28" s="1"/>
      <c r="E28" s="1"/>
    </row>
    <row r="29" spans="1:6" ht="15.75" customHeight="1" x14ac:dyDescent="0.25">
      <c r="A29" s="238" t="s">
        <v>186</v>
      </c>
      <c r="B29" s="234">
        <v>0</v>
      </c>
      <c r="C29" s="1"/>
      <c r="D29" s="1"/>
      <c r="E29" s="1"/>
    </row>
    <row r="30" spans="1:6" ht="15.75" customHeight="1" x14ac:dyDescent="0.25">
      <c r="A30" s="240" t="s">
        <v>187</v>
      </c>
      <c r="B30" s="235">
        <v>1.06E-2</v>
      </c>
      <c r="C30" s="1"/>
      <c r="D30" s="1"/>
      <c r="E30" s="1"/>
    </row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C20:D20"/>
  </mergeCells>
  <conditionalFormatting sqref="C20">
    <cfRule type="notContainsBlanks" dxfId="0" priority="1">
      <formula>LEN(TRIM(C20))&gt;0</formula>
    </cfRule>
  </conditionalFormatting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X1000"/>
  <sheetViews>
    <sheetView topLeftCell="A48" workbookViewId="0">
      <selection activeCell="I56" sqref="I56"/>
    </sheetView>
  </sheetViews>
  <sheetFormatPr defaultColWidth="12.625" defaultRowHeight="15" customHeight="1" x14ac:dyDescent="0.2"/>
  <cols>
    <col min="1" max="1" width="24.625" customWidth="1"/>
    <col min="2" max="2" width="17.25" customWidth="1"/>
    <col min="3" max="3" width="9.75" customWidth="1"/>
    <col min="4" max="4" width="15.375" customWidth="1"/>
    <col min="5" max="5" width="7.75" customWidth="1"/>
    <col min="6" max="24" width="4.375" customWidth="1"/>
    <col min="25" max="26" width="9.625" customWidth="1"/>
  </cols>
  <sheetData>
    <row r="1" spans="1:24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24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24" x14ac:dyDescent="0.25">
      <c r="A3" s="249" t="s">
        <v>197</v>
      </c>
      <c r="B3" s="249" t="s">
        <v>200</v>
      </c>
      <c r="C3" s="249" t="s">
        <v>201</v>
      </c>
      <c r="D3" s="249" t="s">
        <v>202</v>
      </c>
      <c r="E3" s="1"/>
      <c r="F3" s="1"/>
      <c r="G3" s="1"/>
      <c r="H3" s="1"/>
      <c r="I3" s="1"/>
      <c r="J3" s="1"/>
      <c r="K3" s="1"/>
    </row>
    <row r="4" spans="1:24" x14ac:dyDescent="0.25">
      <c r="A4" s="250" t="s">
        <v>204</v>
      </c>
      <c r="B4" s="243">
        <v>1.1299999999999999</v>
      </c>
      <c r="C4" s="243">
        <f>14.58</f>
        <v>14.58</v>
      </c>
      <c r="D4" s="244">
        <v>0.27</v>
      </c>
      <c r="E4" s="1"/>
      <c r="F4" s="1"/>
      <c r="G4" s="1"/>
      <c r="H4" s="1"/>
      <c r="I4" s="1"/>
      <c r="J4" s="1"/>
      <c r="K4" s="1"/>
    </row>
    <row r="5" spans="1:24" x14ac:dyDescent="0.25">
      <c r="A5" s="250" t="s">
        <v>207</v>
      </c>
      <c r="B5" s="243">
        <v>0.99</v>
      </c>
      <c r="C5" s="243">
        <f t="shared" ref="C5:D5" si="0">C4</f>
        <v>14.58</v>
      </c>
      <c r="D5" s="244">
        <f t="shared" si="0"/>
        <v>0.27</v>
      </c>
      <c r="E5" s="1"/>
      <c r="F5" s="1"/>
      <c r="G5" s="1"/>
      <c r="H5" s="1"/>
      <c r="I5" s="1"/>
      <c r="J5" s="1"/>
      <c r="K5" s="1"/>
    </row>
    <row r="6" spans="1:24" x14ac:dyDescent="0.25">
      <c r="A6" s="250" t="s">
        <v>209</v>
      </c>
      <c r="B6" s="243">
        <v>0.8</v>
      </c>
      <c r="C6" s="243">
        <f t="shared" ref="C6:D6" si="1">C4</f>
        <v>14.58</v>
      </c>
      <c r="D6" s="244">
        <f t="shared" si="1"/>
        <v>0.27</v>
      </c>
      <c r="E6" s="1"/>
      <c r="F6" s="1"/>
      <c r="G6" s="1"/>
      <c r="H6" s="1"/>
      <c r="I6" s="1"/>
      <c r="J6" s="1"/>
      <c r="K6" s="1"/>
    </row>
    <row r="7" spans="1:24" x14ac:dyDescent="0.25">
      <c r="A7" s="250" t="s">
        <v>210</v>
      </c>
      <c r="B7" s="243">
        <v>1.71</v>
      </c>
      <c r="C7" s="243">
        <f t="shared" ref="C7:D7" si="2">C4</f>
        <v>14.58</v>
      </c>
      <c r="D7" s="244">
        <f t="shared" si="2"/>
        <v>0.27</v>
      </c>
      <c r="E7" s="1"/>
      <c r="F7" s="1"/>
      <c r="G7" s="1"/>
      <c r="H7" s="1"/>
      <c r="I7" s="1"/>
      <c r="J7" s="1"/>
      <c r="K7" s="1"/>
    </row>
    <row r="8" spans="1:24" x14ac:dyDescent="0.25">
      <c r="A8" s="250" t="s">
        <v>211</v>
      </c>
      <c r="B8" s="243">
        <v>1.39</v>
      </c>
      <c r="C8" s="243">
        <f t="shared" ref="C8:D8" si="3">C4</f>
        <v>14.58</v>
      </c>
      <c r="D8" s="244">
        <f t="shared" si="3"/>
        <v>0.27</v>
      </c>
      <c r="E8" s="1"/>
      <c r="F8" s="1"/>
      <c r="G8" s="1"/>
      <c r="H8" s="1"/>
      <c r="I8" s="1"/>
      <c r="J8" s="1"/>
      <c r="K8" s="1"/>
    </row>
    <row r="9" spans="1:24" x14ac:dyDescent="0.25">
      <c r="A9" s="250" t="s">
        <v>212</v>
      </c>
      <c r="B9" s="243">
        <v>1.32</v>
      </c>
      <c r="C9" s="243">
        <f t="shared" ref="C9:D9" si="4">C4</f>
        <v>14.58</v>
      </c>
      <c r="D9" s="244">
        <f t="shared" si="4"/>
        <v>0.27</v>
      </c>
      <c r="E9" s="1"/>
      <c r="F9" s="1"/>
      <c r="G9" s="1"/>
      <c r="H9" s="1"/>
      <c r="I9" s="1"/>
      <c r="J9" s="1"/>
      <c r="K9" s="1"/>
    </row>
    <row r="10" spans="1:24" x14ac:dyDescent="0.25">
      <c r="A10" s="250" t="s">
        <v>214</v>
      </c>
      <c r="B10" s="243">
        <v>2.2200000000000002</v>
      </c>
      <c r="C10" s="243">
        <f t="shared" ref="C10:D10" si="5">C4</f>
        <v>14.58</v>
      </c>
      <c r="D10" s="244">
        <f t="shared" si="5"/>
        <v>0.27</v>
      </c>
      <c r="E10" s="1"/>
      <c r="F10" s="1"/>
      <c r="G10" s="1"/>
      <c r="H10" s="1"/>
      <c r="I10" s="1"/>
      <c r="J10" s="1"/>
      <c r="K10" s="1"/>
    </row>
    <row r="11" spans="1:24" x14ac:dyDescent="0.25">
      <c r="A11" s="250" t="s">
        <v>217</v>
      </c>
      <c r="B11" s="243">
        <v>1.62</v>
      </c>
      <c r="C11" s="243">
        <f t="shared" ref="C11:D11" si="6">C4</f>
        <v>14.58</v>
      </c>
      <c r="D11" s="244">
        <f t="shared" si="6"/>
        <v>0.27</v>
      </c>
      <c r="E11" s="1"/>
      <c r="F11" s="1"/>
      <c r="G11" s="1"/>
      <c r="H11" s="1"/>
      <c r="I11" s="1"/>
      <c r="J11" s="1"/>
      <c r="K11" s="1"/>
    </row>
    <row r="12" spans="1:24" x14ac:dyDescent="0.25">
      <c r="A12" s="250" t="s">
        <v>219</v>
      </c>
      <c r="B12" s="243">
        <v>1.61</v>
      </c>
      <c r="C12" s="243">
        <f t="shared" ref="C12:D12" si="7">C4</f>
        <v>14.58</v>
      </c>
      <c r="D12" s="244">
        <f t="shared" si="7"/>
        <v>0.27</v>
      </c>
      <c r="E12" s="1"/>
      <c r="F12" s="1"/>
      <c r="G12" s="1"/>
      <c r="H12" s="1"/>
      <c r="I12" s="1"/>
      <c r="J12" s="1"/>
      <c r="K12" s="1"/>
    </row>
    <row r="13" spans="1:24" x14ac:dyDescent="0.25">
      <c r="A13" s="250" t="s">
        <v>220</v>
      </c>
      <c r="B13" s="243">
        <v>1.3</v>
      </c>
      <c r="C13" s="243">
        <f t="shared" ref="C13:D13" si="8">C4</f>
        <v>14.58</v>
      </c>
      <c r="D13" s="244">
        <f t="shared" si="8"/>
        <v>0.27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250" t="s">
        <v>222</v>
      </c>
      <c r="B14" s="243">
        <v>0.79</v>
      </c>
      <c r="C14" s="243">
        <f t="shared" ref="C14:D14" si="9">C4</f>
        <v>14.58</v>
      </c>
      <c r="D14" s="244">
        <f t="shared" si="9"/>
        <v>0.27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250" t="s">
        <v>225</v>
      </c>
      <c r="B15" s="243">
        <v>1.46</v>
      </c>
      <c r="C15" s="243">
        <f t="shared" ref="C15:D15" si="10">C4</f>
        <v>14.58</v>
      </c>
      <c r="D15" s="244">
        <f t="shared" si="10"/>
        <v>0.27</v>
      </c>
      <c r="E15" s="1"/>
      <c r="F15" s="1"/>
      <c r="G15" s="1"/>
      <c r="H15" s="1"/>
      <c r="I15" s="1"/>
      <c r="J15" s="1"/>
      <c r="K15" s="1"/>
    </row>
    <row r="16" spans="1:24" x14ac:dyDescent="0.25">
      <c r="A16" s="250" t="s">
        <v>227</v>
      </c>
      <c r="B16" s="243">
        <v>2.34</v>
      </c>
      <c r="C16" s="243">
        <f t="shared" ref="C16:D16" si="11">C4</f>
        <v>14.58</v>
      </c>
      <c r="D16" s="244">
        <f t="shared" si="11"/>
        <v>0.27</v>
      </c>
      <c r="E16" s="1"/>
      <c r="F16" s="1"/>
      <c r="G16" s="1"/>
      <c r="H16" s="1"/>
      <c r="I16" s="1"/>
      <c r="J16" s="1"/>
      <c r="K16" s="1"/>
    </row>
    <row r="17" spans="1:11" x14ac:dyDescent="0.25">
      <c r="A17" s="250" t="s">
        <v>229</v>
      </c>
      <c r="B17" s="243">
        <v>1.33</v>
      </c>
      <c r="C17" s="243">
        <f t="shared" ref="C17:D17" si="12">C4</f>
        <v>14.58</v>
      </c>
      <c r="D17" s="244">
        <f t="shared" si="12"/>
        <v>0.27</v>
      </c>
      <c r="E17" s="1"/>
      <c r="F17" s="1"/>
      <c r="G17" s="1"/>
      <c r="H17" s="1"/>
      <c r="I17" s="1"/>
      <c r="J17" s="18"/>
      <c r="K17" s="1"/>
    </row>
    <row r="18" spans="1:11" x14ac:dyDescent="0.25">
      <c r="A18" s="250" t="s">
        <v>231</v>
      </c>
      <c r="B18" s="243">
        <v>1.9</v>
      </c>
      <c r="C18" s="243">
        <f t="shared" ref="C18:D18" si="13">C4</f>
        <v>14.58</v>
      </c>
      <c r="D18" s="244">
        <f t="shared" si="13"/>
        <v>0.27</v>
      </c>
      <c r="E18" s="1"/>
      <c r="F18" s="1"/>
      <c r="G18" s="1"/>
      <c r="H18" s="1"/>
      <c r="I18" s="1"/>
      <c r="J18" s="1"/>
      <c r="K18" s="1"/>
    </row>
    <row r="19" spans="1:11" x14ac:dyDescent="0.25">
      <c r="A19" s="250" t="s">
        <v>232</v>
      </c>
      <c r="B19" s="243">
        <v>1.47</v>
      </c>
      <c r="C19" s="243">
        <f t="shared" ref="C19:D19" si="14">C4</f>
        <v>14.58</v>
      </c>
      <c r="D19" s="244">
        <f t="shared" si="14"/>
        <v>0.27</v>
      </c>
      <c r="E19" s="1"/>
      <c r="F19" s="1"/>
      <c r="G19" s="1"/>
      <c r="H19" s="1"/>
      <c r="I19" s="1"/>
      <c r="J19" s="1"/>
      <c r="K19" s="1"/>
    </row>
    <row r="20" spans="1:11" x14ac:dyDescent="0.25">
      <c r="A20" s="250" t="s">
        <v>234</v>
      </c>
      <c r="B20" s="243">
        <v>3.89</v>
      </c>
      <c r="C20" s="243">
        <f t="shared" ref="C20:D20" si="15">C4</f>
        <v>14.58</v>
      </c>
      <c r="D20" s="244">
        <f t="shared" si="15"/>
        <v>0.27</v>
      </c>
      <c r="E20" s="1"/>
      <c r="F20" s="1"/>
      <c r="G20" s="1"/>
      <c r="H20" s="1"/>
      <c r="I20" s="1"/>
      <c r="J20" s="1"/>
      <c r="K20" s="1"/>
    </row>
    <row r="21" spans="1:11" ht="15.75" customHeight="1" x14ac:dyDescent="0.25">
      <c r="A21" s="250" t="s">
        <v>235</v>
      </c>
      <c r="B21" s="243">
        <v>1.1000000000000001</v>
      </c>
      <c r="C21" s="243">
        <f t="shared" ref="C21:D21" si="16">C4</f>
        <v>14.58</v>
      </c>
      <c r="D21" s="244">
        <f t="shared" si="16"/>
        <v>0.27</v>
      </c>
      <c r="E21" s="1"/>
      <c r="F21" s="1"/>
      <c r="G21" s="1"/>
      <c r="H21" s="1"/>
      <c r="I21" s="1"/>
      <c r="J21" s="1"/>
      <c r="K21" s="1"/>
    </row>
    <row r="22" spans="1:11" ht="15.75" customHeight="1" x14ac:dyDescent="0.25">
      <c r="A22" s="250" t="s">
        <v>238</v>
      </c>
      <c r="B22" s="243">
        <v>1.03</v>
      </c>
      <c r="C22" s="243">
        <f t="shared" ref="C22:D22" si="17">C4</f>
        <v>14.58</v>
      </c>
      <c r="D22" s="244">
        <f t="shared" si="17"/>
        <v>0.27</v>
      </c>
      <c r="E22" s="1"/>
      <c r="F22" s="1"/>
      <c r="G22" s="1"/>
      <c r="H22" s="1"/>
      <c r="I22" s="1"/>
      <c r="J22" s="1"/>
      <c r="K22" s="1"/>
    </row>
    <row r="23" spans="1:11" ht="15.75" customHeight="1" x14ac:dyDescent="0.25">
      <c r="A23" s="250" t="s">
        <v>239</v>
      </c>
      <c r="B23" s="243">
        <v>2.17</v>
      </c>
      <c r="C23" s="243">
        <f t="shared" ref="C23:D23" si="18">C4</f>
        <v>14.58</v>
      </c>
      <c r="D23" s="244">
        <f t="shared" si="18"/>
        <v>0.27</v>
      </c>
      <c r="E23" s="1"/>
      <c r="F23" s="1"/>
      <c r="G23" s="1"/>
      <c r="H23" s="1"/>
      <c r="I23" s="1"/>
      <c r="J23" s="1"/>
      <c r="K23" s="1"/>
    </row>
    <row r="24" spans="1:11" ht="15.75" customHeight="1" x14ac:dyDescent="0.25">
      <c r="A24" s="250" t="s">
        <v>240</v>
      </c>
      <c r="B24" s="243">
        <v>2.5099999999999998</v>
      </c>
      <c r="C24" s="243">
        <f t="shared" ref="C24:D24" si="19">C4</f>
        <v>14.58</v>
      </c>
      <c r="D24" s="244">
        <f t="shared" si="19"/>
        <v>0.27</v>
      </c>
      <c r="E24" s="1"/>
      <c r="F24" s="1"/>
      <c r="G24" s="1"/>
      <c r="H24" s="1"/>
      <c r="I24" s="1"/>
      <c r="J24" s="1"/>
      <c r="K24" s="1"/>
    </row>
    <row r="25" spans="1:11" ht="15.75" customHeight="1" x14ac:dyDescent="0.25">
      <c r="A25" s="250" t="s">
        <v>242</v>
      </c>
      <c r="B25" s="243">
        <v>1.67</v>
      </c>
      <c r="C25" s="243">
        <f t="shared" ref="C25:D25" si="20">C4</f>
        <v>14.58</v>
      </c>
      <c r="D25" s="244">
        <f t="shared" si="20"/>
        <v>0.27</v>
      </c>
      <c r="E25" s="1"/>
      <c r="F25" s="1"/>
      <c r="G25" s="1"/>
      <c r="H25" s="1"/>
      <c r="I25" s="1"/>
      <c r="J25" s="1"/>
      <c r="K25" s="1"/>
    </row>
    <row r="26" spans="1:11" ht="15.75" customHeight="1" x14ac:dyDescent="0.25">
      <c r="A26" s="250" t="s">
        <v>243</v>
      </c>
      <c r="B26" s="243">
        <v>3.16</v>
      </c>
      <c r="C26" s="243">
        <f t="shared" ref="C26:D26" si="21">C4</f>
        <v>14.58</v>
      </c>
      <c r="D26" s="244">
        <f t="shared" si="21"/>
        <v>0.27</v>
      </c>
      <c r="E26" s="1"/>
      <c r="F26" s="1"/>
      <c r="G26" s="1"/>
      <c r="H26" s="1"/>
      <c r="I26" s="1"/>
      <c r="J26" s="1"/>
      <c r="K26" s="1"/>
    </row>
    <row r="27" spans="1:11" ht="15.75" customHeight="1" x14ac:dyDescent="0.25">
      <c r="A27" s="250" t="s">
        <v>245</v>
      </c>
      <c r="B27" s="243">
        <v>1.71</v>
      </c>
      <c r="C27" s="243">
        <f t="shared" ref="C27:D27" si="22">C4</f>
        <v>14.58</v>
      </c>
      <c r="D27" s="244">
        <f t="shared" si="22"/>
        <v>0.27</v>
      </c>
      <c r="E27" s="1"/>
      <c r="F27" s="1"/>
      <c r="G27" s="1"/>
      <c r="H27" s="1"/>
      <c r="I27" s="1"/>
      <c r="J27" s="1"/>
      <c r="K27" s="1"/>
    </row>
    <row r="28" spans="1:11" ht="15.75" customHeight="1" x14ac:dyDescent="0.25">
      <c r="A28" s="250" t="s">
        <v>246</v>
      </c>
      <c r="B28" s="243">
        <v>1.1200000000000001</v>
      </c>
      <c r="C28" s="243">
        <f t="shared" ref="C28:D28" si="23">C4</f>
        <v>14.58</v>
      </c>
      <c r="D28" s="244">
        <f t="shared" si="23"/>
        <v>0.27</v>
      </c>
      <c r="E28" s="1"/>
      <c r="F28" s="1"/>
      <c r="G28" s="1"/>
      <c r="H28" s="1"/>
      <c r="I28" s="1"/>
      <c r="J28" s="1"/>
      <c r="K28" s="1"/>
    </row>
    <row r="29" spans="1:11" ht="15.75" customHeight="1" x14ac:dyDescent="0.25">
      <c r="A29" s="250" t="s">
        <v>248</v>
      </c>
      <c r="B29" s="243">
        <v>1.87</v>
      </c>
      <c r="C29" s="243">
        <f t="shared" ref="C29:D29" si="24">C4</f>
        <v>14.58</v>
      </c>
      <c r="D29" s="244">
        <f t="shared" si="24"/>
        <v>0.27</v>
      </c>
      <c r="E29" s="1"/>
      <c r="F29" s="1"/>
      <c r="G29" s="1"/>
      <c r="H29" s="1"/>
      <c r="I29" s="1"/>
      <c r="J29" s="1"/>
      <c r="K29" s="1"/>
    </row>
    <row r="30" spans="1:11" ht="15.75" customHeight="1" x14ac:dyDescent="0.25">
      <c r="A30" s="250" t="s">
        <v>253</v>
      </c>
      <c r="B30" s="243">
        <v>1.02</v>
      </c>
      <c r="C30" s="243">
        <f t="shared" ref="C30:D30" si="25">C4</f>
        <v>14.58</v>
      </c>
      <c r="D30" s="244">
        <f t="shared" si="25"/>
        <v>0.27</v>
      </c>
      <c r="E30" s="1"/>
      <c r="F30" s="1"/>
      <c r="G30" s="1"/>
      <c r="H30" s="1"/>
      <c r="I30" s="1"/>
      <c r="J30" s="1"/>
      <c r="K30" s="1"/>
    </row>
    <row r="31" spans="1:11" ht="15.75" customHeight="1" x14ac:dyDescent="0.25">
      <c r="A31" s="250" t="s">
        <v>254</v>
      </c>
      <c r="B31" s="243">
        <v>0.88</v>
      </c>
      <c r="C31" s="243">
        <f t="shared" ref="C31:D31" si="26">C4</f>
        <v>14.58</v>
      </c>
      <c r="D31" s="244">
        <f t="shared" si="26"/>
        <v>0.27</v>
      </c>
      <c r="E31" s="1"/>
      <c r="F31" s="1"/>
      <c r="G31" s="1"/>
      <c r="H31" s="1"/>
      <c r="I31" s="1"/>
      <c r="J31" s="1"/>
      <c r="K31" s="1"/>
    </row>
    <row r="32" spans="1:11" ht="15.75" customHeight="1" x14ac:dyDescent="0.25">
      <c r="A32" s="250" t="s">
        <v>255</v>
      </c>
      <c r="B32" s="243">
        <v>0.36</v>
      </c>
      <c r="C32" s="243">
        <f t="shared" ref="C32:D32" si="27">C4</f>
        <v>14.58</v>
      </c>
      <c r="D32" s="244">
        <f t="shared" si="27"/>
        <v>0.27</v>
      </c>
      <c r="E32" s="1"/>
      <c r="F32" s="1"/>
      <c r="G32" s="1"/>
      <c r="H32" s="1"/>
      <c r="I32" s="1"/>
      <c r="J32" s="1"/>
      <c r="K32" s="1"/>
    </row>
    <row r="33" spans="1:11" ht="15.75" customHeight="1" x14ac:dyDescent="0.25">
      <c r="A33" s="250" t="s">
        <v>256</v>
      </c>
      <c r="B33" s="243">
        <v>2.94</v>
      </c>
      <c r="C33" s="243">
        <f t="shared" ref="C33:D33" si="28">C4</f>
        <v>14.58</v>
      </c>
      <c r="D33" s="244">
        <f t="shared" si="28"/>
        <v>0.27</v>
      </c>
      <c r="E33" s="1"/>
      <c r="F33" s="1"/>
      <c r="G33" s="1"/>
      <c r="H33" s="1"/>
      <c r="I33" s="1"/>
      <c r="J33" s="1"/>
      <c r="K33" s="1"/>
    </row>
    <row r="34" spans="1:11" ht="15.75" customHeight="1" x14ac:dyDescent="0.25">
      <c r="A34" s="250" t="s">
        <v>258</v>
      </c>
      <c r="B34" s="243">
        <v>1.69</v>
      </c>
      <c r="C34" s="243">
        <f t="shared" ref="C34:D34" si="29">C4</f>
        <v>14.58</v>
      </c>
      <c r="D34" s="244">
        <f t="shared" si="29"/>
        <v>0.27</v>
      </c>
      <c r="E34" s="1"/>
      <c r="F34" s="1"/>
      <c r="G34" s="1"/>
      <c r="H34" s="1"/>
      <c r="I34" s="1"/>
      <c r="J34" s="1"/>
      <c r="K34" s="1"/>
    </row>
    <row r="35" spans="1:11" ht="15.75" customHeight="1" x14ac:dyDescent="0.25">
      <c r="A35" s="250" t="s">
        <v>260</v>
      </c>
      <c r="B35" s="243">
        <v>-0.26</v>
      </c>
      <c r="C35" s="243">
        <f t="shared" ref="C35:D35" si="30">C4</f>
        <v>14.58</v>
      </c>
      <c r="D35" s="244">
        <f t="shared" si="30"/>
        <v>0.27</v>
      </c>
      <c r="E35" s="1"/>
      <c r="F35" s="1"/>
      <c r="G35" s="1"/>
      <c r="H35" s="1"/>
      <c r="I35" s="1"/>
      <c r="J35" s="1"/>
      <c r="K35" s="1"/>
    </row>
    <row r="36" spans="1:11" ht="15.75" customHeight="1" x14ac:dyDescent="0.25">
      <c r="A36" s="250" t="s">
        <v>262</v>
      </c>
      <c r="B36" s="243">
        <v>2.02</v>
      </c>
      <c r="C36" s="243">
        <f t="shared" ref="C36:D36" si="31">C4</f>
        <v>14.58</v>
      </c>
      <c r="D36" s="244">
        <f t="shared" si="31"/>
        <v>0.27</v>
      </c>
      <c r="E36" s="1"/>
      <c r="F36" s="1"/>
      <c r="G36" s="1"/>
      <c r="H36" s="1"/>
      <c r="I36" s="1"/>
      <c r="J36" s="1"/>
      <c r="K36" s="1"/>
    </row>
    <row r="37" spans="1:11" ht="15.75" customHeight="1" x14ac:dyDescent="0.25">
      <c r="A37" s="250" t="s">
        <v>265</v>
      </c>
      <c r="B37" s="243">
        <v>2.93</v>
      </c>
      <c r="C37" s="243">
        <f t="shared" ref="C37:D37" si="32">C4</f>
        <v>14.58</v>
      </c>
      <c r="D37" s="244">
        <f t="shared" si="32"/>
        <v>0.27</v>
      </c>
      <c r="E37" s="1"/>
      <c r="F37" s="1"/>
      <c r="G37" s="1"/>
      <c r="H37" s="1"/>
      <c r="I37" s="1"/>
      <c r="J37" s="1"/>
      <c r="K37" s="1"/>
    </row>
    <row r="38" spans="1:11" ht="15.75" customHeight="1" x14ac:dyDescent="0.25">
      <c r="A38" s="250" t="s">
        <v>267</v>
      </c>
      <c r="B38" s="243">
        <v>2.46</v>
      </c>
      <c r="C38" s="243">
        <f t="shared" ref="C38:D38" si="33">C4</f>
        <v>14.58</v>
      </c>
      <c r="D38" s="244">
        <f t="shared" si="33"/>
        <v>0.27</v>
      </c>
      <c r="E38" s="1"/>
      <c r="F38" s="1"/>
      <c r="G38" s="1"/>
      <c r="H38" s="1"/>
      <c r="I38" s="1"/>
      <c r="J38" s="1"/>
      <c r="K38" s="1"/>
    </row>
    <row r="39" spans="1:11" ht="15.75" customHeight="1" x14ac:dyDescent="0.25">
      <c r="A39" s="250" t="s">
        <v>271</v>
      </c>
      <c r="B39" s="243">
        <v>1.1299999999999999</v>
      </c>
      <c r="C39" s="243">
        <f t="shared" ref="C39:D39" si="34">C4</f>
        <v>14.58</v>
      </c>
      <c r="D39" s="244">
        <f t="shared" si="34"/>
        <v>0.27</v>
      </c>
      <c r="E39" s="1"/>
      <c r="F39" s="1"/>
      <c r="G39" s="1"/>
      <c r="H39" s="1"/>
      <c r="I39" s="1"/>
      <c r="J39" s="1"/>
      <c r="K39" s="1"/>
    </row>
    <row r="40" spans="1:11" ht="15.75" customHeight="1" x14ac:dyDescent="0.25">
      <c r="A40" s="250" t="s">
        <v>272</v>
      </c>
      <c r="B40" s="243">
        <v>2.2000000000000002</v>
      </c>
      <c r="C40" s="243">
        <f t="shared" ref="C40:D40" si="35">C4</f>
        <v>14.58</v>
      </c>
      <c r="D40" s="244">
        <f t="shared" si="35"/>
        <v>0.27</v>
      </c>
      <c r="E40" s="1"/>
      <c r="F40" s="1"/>
      <c r="G40" s="1"/>
      <c r="H40" s="1"/>
      <c r="I40" s="1"/>
      <c r="J40" s="1"/>
      <c r="K40" s="1"/>
    </row>
    <row r="41" spans="1:11" ht="15.75" customHeight="1" x14ac:dyDescent="0.25">
      <c r="A41" s="250" t="s">
        <v>275</v>
      </c>
      <c r="B41" s="243">
        <v>-0.31</v>
      </c>
      <c r="C41" s="243">
        <f t="shared" ref="C41:D41" si="36">C4</f>
        <v>14.58</v>
      </c>
      <c r="D41" s="244">
        <f t="shared" si="36"/>
        <v>0.27</v>
      </c>
      <c r="E41" s="1"/>
      <c r="F41" s="1"/>
      <c r="G41" s="1"/>
      <c r="H41" s="1"/>
      <c r="I41" s="1"/>
      <c r="J41" s="1"/>
      <c r="K41" s="1"/>
    </row>
    <row r="42" spans="1:11" ht="15.75" customHeight="1" x14ac:dyDescent="0.25">
      <c r="A42" s="250" t="s">
        <v>279</v>
      </c>
      <c r="B42" s="243">
        <v>1.22</v>
      </c>
      <c r="C42" s="243">
        <f t="shared" ref="C42:D42" si="37">C4</f>
        <v>14.58</v>
      </c>
      <c r="D42" s="244">
        <f t="shared" si="37"/>
        <v>0.27</v>
      </c>
      <c r="E42" s="1"/>
      <c r="F42" s="1"/>
      <c r="G42" s="1"/>
      <c r="H42" s="1"/>
      <c r="I42" s="1"/>
      <c r="J42" s="1"/>
      <c r="K42" s="1"/>
    </row>
    <row r="43" spans="1:11" ht="15.75" customHeight="1" x14ac:dyDescent="0.25">
      <c r="A43" s="250" t="s">
        <v>282</v>
      </c>
      <c r="B43" s="243">
        <v>2.17</v>
      </c>
      <c r="C43" s="243">
        <f t="shared" ref="C43:D43" si="38">C4</f>
        <v>14.58</v>
      </c>
      <c r="D43" s="244">
        <f t="shared" si="38"/>
        <v>0.27</v>
      </c>
      <c r="E43" s="1"/>
      <c r="F43" s="1"/>
      <c r="G43" s="1"/>
      <c r="H43" s="1"/>
      <c r="I43" s="1"/>
      <c r="J43" s="1"/>
      <c r="K43" s="1"/>
    </row>
    <row r="44" spans="1:11" ht="15.75" customHeight="1" x14ac:dyDescent="0.25">
      <c r="A44" s="250" t="s">
        <v>284</v>
      </c>
      <c r="B44" s="243">
        <v>0.78</v>
      </c>
      <c r="C44" s="243">
        <f t="shared" ref="C44:D44" si="39">C4</f>
        <v>14.58</v>
      </c>
      <c r="D44" s="244">
        <f t="shared" si="39"/>
        <v>0.27</v>
      </c>
      <c r="E44" s="1"/>
      <c r="F44" s="1"/>
      <c r="G44" s="1"/>
      <c r="H44" s="1"/>
      <c r="I44" s="1"/>
      <c r="J44" s="1"/>
      <c r="K44" s="1"/>
    </row>
    <row r="45" spans="1:11" ht="15.75" customHeight="1" x14ac:dyDescent="0.25">
      <c r="A45" s="250" t="s">
        <v>286</v>
      </c>
      <c r="B45" s="243">
        <v>2.09</v>
      </c>
      <c r="C45" s="243">
        <f t="shared" ref="C45:D45" si="40">C4</f>
        <v>14.58</v>
      </c>
      <c r="D45" s="244">
        <f t="shared" si="40"/>
        <v>0.27</v>
      </c>
      <c r="E45" s="1"/>
      <c r="F45" s="1"/>
      <c r="G45" s="1"/>
      <c r="H45" s="1"/>
      <c r="I45" s="1"/>
      <c r="J45" s="1"/>
      <c r="K45" s="1"/>
    </row>
    <row r="46" spans="1:11" ht="15.75" customHeight="1" x14ac:dyDescent="0.25">
      <c r="A46" s="250" t="s">
        <v>289</v>
      </c>
      <c r="B46" s="243">
        <v>1.63</v>
      </c>
      <c r="C46" s="243">
        <f t="shared" ref="C46:D46" si="41">C4</f>
        <v>14.58</v>
      </c>
      <c r="D46" s="244">
        <f t="shared" si="41"/>
        <v>0.27</v>
      </c>
      <c r="E46" s="1"/>
      <c r="F46" s="1"/>
      <c r="G46" s="1"/>
      <c r="H46" s="1"/>
      <c r="I46" s="1"/>
      <c r="J46" s="1"/>
      <c r="K46" s="1"/>
    </row>
    <row r="47" spans="1:11" ht="15.75" customHeight="1" x14ac:dyDescent="0.25">
      <c r="A47" s="250" t="s">
        <v>291</v>
      </c>
      <c r="B47" s="243">
        <v>2.59</v>
      </c>
      <c r="C47" s="243">
        <f t="shared" ref="C47:D47" si="42">C4</f>
        <v>14.58</v>
      </c>
      <c r="D47" s="244">
        <f t="shared" si="42"/>
        <v>0.27</v>
      </c>
      <c r="E47" s="1"/>
      <c r="F47" s="1"/>
      <c r="G47" s="1"/>
      <c r="H47" s="1"/>
      <c r="I47" s="1"/>
      <c r="J47" s="1"/>
      <c r="K47" s="1"/>
    </row>
    <row r="48" spans="1:11" ht="15.75" customHeight="1" x14ac:dyDescent="0.25">
      <c r="A48" s="250" t="s">
        <v>295</v>
      </c>
      <c r="B48" s="243">
        <v>2.17</v>
      </c>
      <c r="C48" s="243">
        <f t="shared" ref="C48:D48" si="43">C4</f>
        <v>14.58</v>
      </c>
      <c r="D48" s="244">
        <f t="shared" si="43"/>
        <v>0.27</v>
      </c>
      <c r="E48" s="1"/>
      <c r="F48" s="1"/>
      <c r="G48" s="1"/>
      <c r="H48" s="1"/>
      <c r="I48" s="1"/>
      <c r="J48" s="1"/>
      <c r="K48" s="1"/>
    </row>
    <row r="49" spans="1:11" ht="15.75" customHeight="1" x14ac:dyDescent="0.25">
      <c r="A49" s="250" t="s">
        <v>298</v>
      </c>
      <c r="B49" s="243">
        <v>2.2200000000000002</v>
      </c>
      <c r="C49" s="243">
        <f t="shared" ref="C49:D49" si="44">C4</f>
        <v>14.58</v>
      </c>
      <c r="D49" s="244">
        <f t="shared" si="44"/>
        <v>0.27</v>
      </c>
      <c r="E49" s="1"/>
      <c r="F49" s="1"/>
      <c r="G49" s="1"/>
      <c r="H49" s="1"/>
      <c r="I49" s="1"/>
      <c r="J49" s="1"/>
      <c r="K49" s="1"/>
    </row>
    <row r="50" spans="1:11" ht="15.75" customHeight="1" x14ac:dyDescent="0.25">
      <c r="A50" s="250" t="s">
        <v>300</v>
      </c>
      <c r="B50" s="243">
        <v>1.84</v>
      </c>
      <c r="C50" s="243">
        <f t="shared" ref="C50:D50" si="45">C4</f>
        <v>14.58</v>
      </c>
      <c r="D50" s="244">
        <f t="shared" si="45"/>
        <v>0.27</v>
      </c>
      <c r="E50" s="1"/>
      <c r="F50" s="1"/>
      <c r="G50" s="1"/>
      <c r="H50" s="1"/>
      <c r="I50" s="1"/>
      <c r="J50" s="1"/>
      <c r="K50" s="1"/>
    </row>
    <row r="51" spans="1:11" ht="15.75" customHeight="1" x14ac:dyDescent="0.25">
      <c r="A51" s="250" t="s">
        <v>304</v>
      </c>
      <c r="B51" s="243">
        <v>1.19</v>
      </c>
      <c r="C51" s="243">
        <f t="shared" ref="C51:D51" si="46">C4</f>
        <v>14.58</v>
      </c>
      <c r="D51" s="244">
        <f t="shared" si="46"/>
        <v>0.27</v>
      </c>
      <c r="E51" s="1"/>
      <c r="F51" s="1"/>
      <c r="G51" s="1"/>
      <c r="H51" s="1"/>
      <c r="I51" s="1"/>
      <c r="J51" s="1"/>
      <c r="K51" s="1"/>
    </row>
    <row r="52" spans="1:11" ht="15.75" customHeight="1" x14ac:dyDescent="0.25">
      <c r="A52" s="250" t="s">
        <v>307</v>
      </c>
      <c r="B52" s="243">
        <v>1.31</v>
      </c>
      <c r="C52" s="243">
        <f t="shared" ref="C52:D52" si="47">C4</f>
        <v>14.58</v>
      </c>
      <c r="D52" s="244">
        <f t="shared" si="47"/>
        <v>0.27</v>
      </c>
      <c r="E52" s="1"/>
      <c r="F52" s="1"/>
      <c r="G52" s="1"/>
      <c r="H52" s="1"/>
      <c r="I52" s="1"/>
      <c r="J52" s="1"/>
      <c r="K52" s="1"/>
    </row>
    <row r="53" spans="1:11" ht="15.75" customHeight="1" x14ac:dyDescent="0.25">
      <c r="A53" s="250" t="s">
        <v>308</v>
      </c>
      <c r="B53" s="243">
        <v>1.1599999999999999</v>
      </c>
      <c r="C53" s="243">
        <f t="shared" ref="C53:D53" si="48">C4</f>
        <v>14.58</v>
      </c>
      <c r="D53" s="244">
        <f t="shared" si="48"/>
        <v>0.27</v>
      </c>
      <c r="E53" s="1"/>
      <c r="F53" s="1"/>
      <c r="G53" s="1"/>
      <c r="H53" s="1"/>
      <c r="I53" s="1"/>
      <c r="J53" s="1"/>
      <c r="K53" s="1"/>
    </row>
    <row r="54" spans="1:11" ht="15.75" customHeight="1" x14ac:dyDescent="0.25">
      <c r="A54" s="250" t="s">
        <v>310</v>
      </c>
      <c r="B54" s="243">
        <v>1.06</v>
      </c>
      <c r="C54" s="243">
        <f t="shared" ref="C54:D54" si="49">C4</f>
        <v>14.58</v>
      </c>
      <c r="D54" s="244">
        <f t="shared" si="49"/>
        <v>0.27</v>
      </c>
      <c r="E54" s="1"/>
      <c r="F54" s="1"/>
      <c r="G54" s="1"/>
      <c r="H54" s="1"/>
      <c r="I54" s="1"/>
      <c r="J54" s="1"/>
      <c r="K54" s="1"/>
    </row>
    <row r="55" spans="1:11" ht="15.75" customHeight="1" x14ac:dyDescent="0.25">
      <c r="A55" s="251" t="s">
        <v>311</v>
      </c>
      <c r="B55" s="243"/>
      <c r="C55" s="243">
        <f t="shared" ref="C55:D55" si="50">AVERAGE(C4:C54)</f>
        <v>14.580000000000009</v>
      </c>
      <c r="D55" s="244">
        <f t="shared" si="50"/>
        <v>0.26999999999999974</v>
      </c>
      <c r="E55" s="1"/>
      <c r="F55" s="1"/>
      <c r="G55" s="1"/>
      <c r="H55" s="1"/>
      <c r="I55" s="1"/>
      <c r="J55" s="1"/>
      <c r="K55" s="1"/>
    </row>
    <row r="56" spans="1:11" ht="15.75" customHeight="1" x14ac:dyDescent="0.25">
      <c r="A56" s="251" t="s">
        <v>181</v>
      </c>
      <c r="B56" s="245">
        <f>AVERAGE(B4:B54)</f>
        <v>1.6098039215686277</v>
      </c>
      <c r="C56" s="243">
        <v>0.14580000000000001</v>
      </c>
      <c r="D56" s="244">
        <v>0.27</v>
      </c>
      <c r="E56" s="1"/>
      <c r="F56" s="1"/>
      <c r="G56" s="1"/>
      <c r="H56" s="1"/>
      <c r="I56" s="1"/>
      <c r="J56" s="1"/>
      <c r="K56" s="1"/>
    </row>
    <row r="57" spans="1:11" ht="15.75" customHeight="1" x14ac:dyDescent="0.25">
      <c r="A57" s="252" t="s">
        <v>314</v>
      </c>
      <c r="B57" s="246"/>
      <c r="C57" s="247">
        <f>Debt!G82/(Debt!G77+Debt!G82)</f>
        <v>0.10617178674404062</v>
      </c>
      <c r="D57" s="247">
        <v>0.27</v>
      </c>
      <c r="E57" s="1"/>
      <c r="F57" s="1"/>
      <c r="G57" s="1"/>
      <c r="H57" s="1"/>
      <c r="I57" s="1"/>
      <c r="J57" s="1"/>
      <c r="K57" s="1"/>
    </row>
    <row r="58" spans="1:11" ht="15.75" customHeight="1" x14ac:dyDescent="0.25">
      <c r="A58" s="249" t="s">
        <v>320</v>
      </c>
      <c r="B58" s="243">
        <v>0.88</v>
      </c>
      <c r="C58" s="248">
        <f>Debt!G82/(Debt!G77+Debt!G82)</f>
        <v>0.10617178674404062</v>
      </c>
      <c r="D58" s="244">
        <v>0.27</v>
      </c>
      <c r="E58" s="1"/>
      <c r="F58" s="1"/>
      <c r="G58" s="1"/>
      <c r="H58" s="1"/>
      <c r="I58" s="1"/>
      <c r="J58" s="1"/>
      <c r="K58" s="1"/>
    </row>
    <row r="59" spans="1:11" ht="15.75" customHeight="1" x14ac:dyDescent="0.25">
      <c r="A59" s="1"/>
      <c r="B59" s="1"/>
      <c r="C59" s="1"/>
      <c r="D59" s="1"/>
      <c r="E59" s="1"/>
      <c r="F59" s="1"/>
      <c r="G59" s="1"/>
      <c r="H59" s="1"/>
      <c r="I59" s="22"/>
      <c r="J59" s="1"/>
      <c r="K59" s="1"/>
    </row>
    <row r="60" spans="1:1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 x14ac:dyDescent="0.25">
      <c r="A61" s="253" t="s">
        <v>551</v>
      </c>
      <c r="B61" s="254">
        <f>B56</f>
        <v>1.6098039215686277</v>
      </c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 x14ac:dyDescent="0.25">
      <c r="A62" s="253" t="s">
        <v>550</v>
      </c>
      <c r="B62" s="254">
        <f>B56/(1+(1-D56)*C56)</f>
        <v>1.4549479874702222</v>
      </c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25">
      <c r="A63" s="253" t="s">
        <v>548</v>
      </c>
      <c r="B63" s="254">
        <f>B62</f>
        <v>1.4549479874702222</v>
      </c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25">
      <c r="A64" s="253" t="s">
        <v>549</v>
      </c>
      <c r="B64" s="255">
        <f>B63*(1+(1-D58)*C58)</f>
        <v>1.5677143195082546</v>
      </c>
      <c r="C64" s="1"/>
      <c r="D64" s="1"/>
      <c r="E64" s="1"/>
      <c r="F64" s="1"/>
      <c r="G64" s="1"/>
      <c r="H64" s="1"/>
      <c r="I64" s="1"/>
      <c r="J64" s="1"/>
      <c r="K64" s="1"/>
    </row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L1000"/>
  <sheetViews>
    <sheetView topLeftCell="A68" workbookViewId="0">
      <selection activeCell="F86" sqref="F86"/>
    </sheetView>
  </sheetViews>
  <sheetFormatPr defaultColWidth="12.625" defaultRowHeight="15" customHeight="1" x14ac:dyDescent="0.2"/>
  <cols>
    <col min="1" max="1" width="27.375" customWidth="1"/>
    <col min="2" max="2" width="26.375" customWidth="1"/>
    <col min="3" max="3" width="15.375" customWidth="1"/>
    <col min="4" max="4" width="13.5" customWidth="1"/>
    <col min="5" max="5" width="8.375" customWidth="1"/>
    <col min="6" max="6" width="21.625" customWidth="1"/>
    <col min="7" max="7" width="10.75" customWidth="1"/>
    <col min="8" max="8" width="18.125" customWidth="1"/>
    <col min="9" max="9" width="8.625" customWidth="1"/>
    <col min="10" max="10" width="13.625" customWidth="1"/>
    <col min="11" max="26" width="9.625" customWidth="1"/>
  </cols>
  <sheetData>
    <row r="1" spans="1:12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4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 x14ac:dyDescent="0.25">
      <c r="A3" s="264" t="s">
        <v>213</v>
      </c>
      <c r="B3" s="264" t="s">
        <v>215</v>
      </c>
      <c r="C3" s="1"/>
      <c r="D3" s="264" t="s">
        <v>552</v>
      </c>
      <c r="E3" s="264" t="s">
        <v>216</v>
      </c>
      <c r="F3" s="1"/>
      <c r="G3" s="1"/>
      <c r="H3" s="1"/>
      <c r="I3" s="1"/>
      <c r="J3" s="1"/>
      <c r="K3" s="1"/>
      <c r="L3" s="1"/>
    </row>
    <row r="4" spans="1:12" ht="14.25" customHeight="1" x14ac:dyDescent="0.25">
      <c r="A4" s="266" t="s">
        <v>218</v>
      </c>
      <c r="B4" s="256">
        <f>TTM!G20</f>
        <v>7359.8000000000011</v>
      </c>
      <c r="C4" s="1"/>
      <c r="D4" s="268" t="s">
        <v>7</v>
      </c>
      <c r="E4" s="262">
        <f>'ERP-CRP'!B4</f>
        <v>7.0000000000000001E-3</v>
      </c>
      <c r="F4" s="1"/>
      <c r="G4" s="1"/>
      <c r="H4" s="1"/>
      <c r="I4" s="1"/>
      <c r="J4" s="1"/>
      <c r="K4" s="1"/>
      <c r="L4" s="1"/>
    </row>
    <row r="5" spans="1:12" ht="14.25" customHeight="1" x14ac:dyDescent="0.25">
      <c r="A5" s="238" t="s">
        <v>224</v>
      </c>
      <c r="B5" s="256">
        <v>187.4</v>
      </c>
      <c r="C5" s="1"/>
      <c r="D5" s="268" t="s">
        <v>228</v>
      </c>
      <c r="E5" s="263">
        <f>Beta!D57</f>
        <v>0.27</v>
      </c>
      <c r="F5" s="1"/>
      <c r="G5" s="1"/>
      <c r="H5" s="1"/>
      <c r="I5" s="1"/>
      <c r="J5" s="1"/>
      <c r="K5" s="1"/>
      <c r="L5" s="1"/>
    </row>
    <row r="6" spans="1:12" ht="14.25" customHeight="1" x14ac:dyDescent="0.25">
      <c r="A6" s="266" t="s">
        <v>230</v>
      </c>
      <c r="B6" s="257">
        <v>0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4.25" customHeight="1" x14ac:dyDescent="0.25">
      <c r="A7" s="238" t="s">
        <v>233</v>
      </c>
      <c r="B7" s="258">
        <f>TTM!B75</f>
        <v>4459.8999999999996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4.25" customHeight="1" x14ac:dyDescent="0.25">
      <c r="A8" s="1"/>
      <c r="B8" s="19"/>
      <c r="C8" s="1"/>
      <c r="D8" s="1"/>
      <c r="E8" s="1"/>
      <c r="F8" s="1"/>
      <c r="G8" s="282" t="s">
        <v>237</v>
      </c>
      <c r="H8" s="283"/>
      <c r="I8" s="283"/>
      <c r="J8" s="284"/>
      <c r="K8" s="1"/>
      <c r="L8" s="1"/>
    </row>
    <row r="9" spans="1:12" ht="14.25" customHeight="1" x14ac:dyDescent="0.25">
      <c r="A9" s="1"/>
      <c r="B9" s="19"/>
      <c r="C9" s="1"/>
      <c r="D9" s="1"/>
      <c r="E9" s="1"/>
      <c r="F9" s="1"/>
      <c r="G9" s="285" t="s">
        <v>241</v>
      </c>
      <c r="H9" s="286"/>
      <c r="I9" s="273"/>
      <c r="J9" s="273"/>
      <c r="K9" s="1"/>
      <c r="L9" s="1"/>
    </row>
    <row r="10" spans="1:12" ht="14.25" customHeight="1" x14ac:dyDescent="0.25">
      <c r="A10" s="267" t="s">
        <v>244</v>
      </c>
      <c r="B10" s="259">
        <f>B4/B5</f>
        <v>39.27321237993597</v>
      </c>
      <c r="C10" s="1"/>
      <c r="D10" s="1"/>
      <c r="E10" s="1"/>
      <c r="F10" s="1"/>
      <c r="G10" s="287" t="s">
        <v>247</v>
      </c>
      <c r="H10" s="287" t="s">
        <v>249</v>
      </c>
      <c r="I10" s="287" t="s">
        <v>250</v>
      </c>
      <c r="J10" s="287" t="s">
        <v>251</v>
      </c>
      <c r="K10" s="1"/>
      <c r="L10" s="1"/>
    </row>
    <row r="11" spans="1:12" ht="14.25" customHeight="1" x14ac:dyDescent="0.25">
      <c r="A11" s="267" t="s">
        <v>252</v>
      </c>
      <c r="B11" s="260">
        <f>J11</f>
        <v>6.3E-3</v>
      </c>
      <c r="C11" s="1"/>
      <c r="D11" s="1"/>
      <c r="E11" s="1"/>
      <c r="F11" s="1"/>
      <c r="G11" s="274">
        <v>0.36805555555555558</v>
      </c>
      <c r="H11" s="275">
        <v>100000</v>
      </c>
      <c r="I11" s="276" t="s">
        <v>257</v>
      </c>
      <c r="J11" s="277">
        <v>6.3E-3</v>
      </c>
      <c r="K11" s="1"/>
      <c r="L11" s="1"/>
    </row>
    <row r="12" spans="1:12" ht="14.25" customHeight="1" x14ac:dyDescent="0.25">
      <c r="A12" s="270" t="s">
        <v>259</v>
      </c>
      <c r="B12" s="260">
        <f>E4+B11</f>
        <v>1.3299999999999999E-2</v>
      </c>
      <c r="C12" s="1"/>
      <c r="D12" s="1"/>
      <c r="E12" s="1"/>
      <c r="F12" s="1"/>
      <c r="G12" s="275" t="s">
        <v>261</v>
      </c>
      <c r="H12" s="278">
        <v>347.55486111111111</v>
      </c>
      <c r="I12" s="276" t="s">
        <v>263</v>
      </c>
      <c r="J12" s="279">
        <v>7.7999999999999996E-3</v>
      </c>
      <c r="K12" s="1"/>
      <c r="L12" s="1"/>
    </row>
    <row r="13" spans="1:12" ht="14.25" customHeight="1" x14ac:dyDescent="0.25">
      <c r="A13" s="270" t="s">
        <v>266</v>
      </c>
      <c r="B13" s="261">
        <f>B12*(1-E5)</f>
        <v>9.7089999999999989E-3</v>
      </c>
      <c r="C13" s="1"/>
      <c r="D13" s="1"/>
      <c r="E13" s="1"/>
      <c r="F13" s="1"/>
      <c r="G13" s="275" t="s">
        <v>269</v>
      </c>
      <c r="H13" s="278">
        <v>347.47152777777779</v>
      </c>
      <c r="I13" s="276" t="s">
        <v>270</v>
      </c>
      <c r="J13" s="279">
        <v>9.7999999999999997E-3</v>
      </c>
      <c r="K13" s="1"/>
      <c r="L13" s="1"/>
    </row>
    <row r="14" spans="1:12" ht="14.25" customHeight="1" x14ac:dyDescent="0.25">
      <c r="A14" s="1"/>
      <c r="B14" s="19"/>
      <c r="C14" s="1"/>
      <c r="D14" s="1"/>
      <c r="E14" s="1"/>
      <c r="F14" s="1"/>
      <c r="G14" s="280">
        <v>0.18402777777777779</v>
      </c>
      <c r="H14" s="278">
        <v>347.42986111111111</v>
      </c>
      <c r="I14" s="276" t="s">
        <v>273</v>
      </c>
      <c r="J14" s="279">
        <v>1.0800000000000001E-2</v>
      </c>
      <c r="K14" s="1"/>
      <c r="L14" s="1"/>
    </row>
    <row r="15" spans="1:12" ht="14.25" customHeight="1" x14ac:dyDescent="0.25">
      <c r="A15" s="1"/>
      <c r="B15" s="19"/>
      <c r="C15" s="1"/>
      <c r="D15" s="1"/>
      <c r="E15" s="1"/>
      <c r="F15" s="1"/>
      <c r="G15" s="275">
        <v>3</v>
      </c>
      <c r="H15" s="278">
        <v>173.77708333333334</v>
      </c>
      <c r="I15" s="276" t="s">
        <v>274</v>
      </c>
      <c r="J15" s="279">
        <v>1.2200000000000001E-2</v>
      </c>
      <c r="K15" s="1"/>
      <c r="L15" s="1"/>
    </row>
    <row r="16" spans="1:12" ht="14.25" customHeight="1" x14ac:dyDescent="0.25">
      <c r="A16" s="264" t="s">
        <v>276</v>
      </c>
      <c r="B16" s="265" t="s">
        <v>277</v>
      </c>
      <c r="C16" s="1"/>
      <c r="D16" s="1"/>
      <c r="E16" s="1"/>
      <c r="F16" s="1"/>
      <c r="G16" s="275" t="s">
        <v>278</v>
      </c>
      <c r="H16" s="278">
        <v>694.52708333333328</v>
      </c>
      <c r="I16" s="276" t="s">
        <v>280</v>
      </c>
      <c r="J16" s="279">
        <v>1.5599999999999999E-2</v>
      </c>
      <c r="K16" s="1"/>
      <c r="L16" s="1"/>
    </row>
    <row r="17" spans="1:12" ht="14.25" customHeight="1" x14ac:dyDescent="0.25">
      <c r="A17" s="269">
        <v>2020</v>
      </c>
      <c r="B17" s="257">
        <v>87.6</v>
      </c>
      <c r="C17" s="1"/>
      <c r="D17" s="1"/>
      <c r="E17" s="1"/>
      <c r="F17" s="1"/>
      <c r="G17" s="280">
        <v>0.10069444444444445</v>
      </c>
      <c r="H17" s="278">
        <v>173.69374999999999</v>
      </c>
      <c r="I17" s="276" t="s">
        <v>281</v>
      </c>
      <c r="J17" s="279">
        <v>0.02</v>
      </c>
      <c r="K17" s="1"/>
      <c r="L17" s="1"/>
    </row>
    <row r="18" spans="1:12" ht="14.25" customHeight="1" x14ac:dyDescent="0.25">
      <c r="A18" s="269">
        <v>2021</v>
      </c>
      <c r="B18" s="257">
        <v>81.5</v>
      </c>
      <c r="C18" s="1"/>
      <c r="D18" s="1"/>
      <c r="E18" s="1"/>
      <c r="F18" s="1"/>
      <c r="G18" s="275">
        <v>2</v>
      </c>
      <c r="H18" s="278">
        <v>1736.1937499999999</v>
      </c>
      <c r="I18" s="276" t="s">
        <v>283</v>
      </c>
      <c r="J18" s="279">
        <v>2.4E-2</v>
      </c>
      <c r="K18" s="1"/>
      <c r="L18" s="1"/>
    </row>
    <row r="19" spans="1:12" ht="14.25" customHeight="1" x14ac:dyDescent="0.25">
      <c r="A19" s="269">
        <v>2022</v>
      </c>
      <c r="B19" s="257">
        <v>75.7</v>
      </c>
      <c r="C19" s="1"/>
      <c r="D19" s="1"/>
      <c r="E19" s="1"/>
      <c r="F19" s="1"/>
      <c r="G19" s="280">
        <v>9.375E-2</v>
      </c>
      <c r="H19" s="278">
        <v>694.48541666666665</v>
      </c>
      <c r="I19" s="276" t="s">
        <v>285</v>
      </c>
      <c r="J19" s="279">
        <v>3.5099999999999999E-2</v>
      </c>
      <c r="K19" s="1"/>
      <c r="L19" s="1"/>
    </row>
    <row r="20" spans="1:12" ht="14.25" customHeight="1" x14ac:dyDescent="0.25">
      <c r="A20" s="269">
        <v>2023</v>
      </c>
      <c r="B20" s="257">
        <v>72.5</v>
      </c>
      <c r="C20" s="1"/>
      <c r="D20" s="1"/>
      <c r="E20" s="1"/>
      <c r="F20" s="1"/>
      <c r="G20" s="275" t="s">
        <v>287</v>
      </c>
      <c r="H20" s="278">
        <v>520.87430555555557</v>
      </c>
      <c r="I20" s="276" t="s">
        <v>288</v>
      </c>
      <c r="J20" s="279">
        <v>4.2099999999999999E-2</v>
      </c>
      <c r="K20" s="1"/>
      <c r="L20" s="1"/>
    </row>
    <row r="21" spans="1:12" ht="14.25" customHeight="1" x14ac:dyDescent="0.25">
      <c r="A21" s="269">
        <v>2024</v>
      </c>
      <c r="B21" s="257">
        <v>69</v>
      </c>
      <c r="C21" s="1"/>
      <c r="D21" s="1"/>
      <c r="E21" s="1"/>
      <c r="F21" s="1"/>
      <c r="G21" s="280">
        <v>5.9027777777777776E-2</v>
      </c>
      <c r="H21" s="278">
        <v>347.26319444444442</v>
      </c>
      <c r="I21" s="276" t="s">
        <v>290</v>
      </c>
      <c r="J21" s="279">
        <v>5.1499999999999997E-2</v>
      </c>
      <c r="K21" s="1"/>
      <c r="L21" s="1"/>
    </row>
    <row r="22" spans="1:12" ht="14.25" customHeight="1" x14ac:dyDescent="0.25">
      <c r="A22" s="269" t="s">
        <v>292</v>
      </c>
      <c r="B22" s="257">
        <v>158.30000000000001</v>
      </c>
      <c r="C22" s="1"/>
      <c r="D22" s="1"/>
      <c r="E22" s="1"/>
      <c r="F22" s="1"/>
      <c r="G22" s="275" t="s">
        <v>293</v>
      </c>
      <c r="H22" s="278">
        <v>173.65208333333334</v>
      </c>
      <c r="I22" s="276" t="s">
        <v>294</v>
      </c>
      <c r="J22" s="279">
        <v>8.2000000000000003E-2</v>
      </c>
      <c r="K22" s="1"/>
      <c r="L22" s="1"/>
    </row>
    <row r="23" spans="1:12" ht="14.25" customHeight="1" x14ac:dyDescent="0.25">
      <c r="A23" s="21"/>
      <c r="B23" s="1"/>
      <c r="C23" s="1"/>
      <c r="D23" s="1"/>
      <c r="E23" s="1"/>
      <c r="F23" s="1"/>
      <c r="G23" s="280">
        <v>4.5138888888888888E-2</v>
      </c>
      <c r="H23" s="278">
        <v>555.55486111111111</v>
      </c>
      <c r="I23" s="276" t="s">
        <v>296</v>
      </c>
      <c r="J23" s="281" t="s">
        <v>297</v>
      </c>
      <c r="K23" s="1"/>
      <c r="L23" s="1"/>
    </row>
    <row r="24" spans="1:12" ht="14.25" customHeight="1" x14ac:dyDescent="0.25">
      <c r="A24" s="250" t="s">
        <v>299</v>
      </c>
      <c r="B24" s="271">
        <f>(B17+B18+B19+B20+B21)/5</f>
        <v>77.260000000000005</v>
      </c>
      <c r="C24" s="242"/>
      <c r="D24" s="1"/>
      <c r="E24" s="1"/>
      <c r="F24" s="1"/>
      <c r="G24" s="275" t="s">
        <v>301</v>
      </c>
      <c r="H24" s="278">
        <v>451.38819444444442</v>
      </c>
      <c r="I24" s="276" t="s">
        <v>302</v>
      </c>
      <c r="J24" s="279">
        <v>0.1134</v>
      </c>
      <c r="K24" s="1"/>
      <c r="L24" s="1"/>
    </row>
    <row r="25" spans="1:12" ht="14.25" customHeight="1" x14ac:dyDescent="0.25">
      <c r="A25" s="242"/>
      <c r="B25" s="242"/>
      <c r="C25" s="251" t="s">
        <v>303</v>
      </c>
      <c r="D25" s="1"/>
      <c r="E25" s="1"/>
      <c r="F25" s="1"/>
      <c r="G25" s="275">
        <v>-100000</v>
      </c>
      <c r="H25" s="278">
        <v>138.88819444444445</v>
      </c>
      <c r="I25" s="276" t="s">
        <v>305</v>
      </c>
      <c r="J25" s="279">
        <v>0.1512</v>
      </c>
      <c r="K25" s="1"/>
      <c r="L25" s="1"/>
    </row>
    <row r="26" spans="1:12" ht="14.25" customHeight="1" x14ac:dyDescent="0.25">
      <c r="A26" s="334" t="s">
        <v>306</v>
      </c>
      <c r="B26" s="272"/>
      <c r="C26" s="272"/>
      <c r="D26" s="1"/>
      <c r="E26" s="1"/>
      <c r="F26" s="1"/>
      <c r="G26" s="1"/>
      <c r="H26" s="1"/>
      <c r="I26" s="1"/>
      <c r="J26" s="1"/>
      <c r="K26" s="1"/>
      <c r="L26" s="1"/>
    </row>
    <row r="27" spans="1:12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4.25" customHeight="1" x14ac:dyDescent="0.25">
      <c r="A29" s="301" t="s">
        <v>276</v>
      </c>
      <c r="B29" s="301" t="s">
        <v>277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4.25" customHeight="1" x14ac:dyDescent="0.25">
      <c r="A30" s="299">
        <v>2020</v>
      </c>
      <c r="B30" s="289">
        <v>87.6</v>
      </c>
      <c r="C30" s="1"/>
      <c r="D30" s="1"/>
      <c r="E30" s="302" t="s">
        <v>313</v>
      </c>
      <c r="F30" s="303"/>
      <c r="G30" s="301" t="s">
        <v>315</v>
      </c>
      <c r="H30" s="301" t="s">
        <v>317</v>
      </c>
      <c r="I30" s="1"/>
      <c r="J30" s="1"/>
      <c r="K30" s="1"/>
      <c r="L30" s="1"/>
    </row>
    <row r="31" spans="1:12" ht="14.25" customHeight="1" x14ac:dyDescent="0.25">
      <c r="A31" s="300">
        <v>2021</v>
      </c>
      <c r="B31" s="290">
        <v>81.5</v>
      </c>
      <c r="C31" s="1"/>
      <c r="D31" s="1"/>
      <c r="E31" s="299">
        <v>2020</v>
      </c>
      <c r="F31" s="293">
        <f t="shared" ref="F31:F37" si="0">B30</f>
        <v>87.6</v>
      </c>
      <c r="G31" s="294">
        <f>B12</f>
        <v>1.3299999999999999E-2</v>
      </c>
      <c r="H31" s="295">
        <f>F31/(1+G31)</f>
        <v>86.45021217803216</v>
      </c>
      <c r="I31" s="1"/>
      <c r="J31" s="1"/>
      <c r="K31" s="1"/>
      <c r="L31" s="1"/>
    </row>
    <row r="32" spans="1:12" ht="14.25" customHeight="1" x14ac:dyDescent="0.25">
      <c r="A32" s="299">
        <v>2022</v>
      </c>
      <c r="B32" s="289">
        <v>75.7</v>
      </c>
      <c r="C32" s="1"/>
      <c r="D32" s="1"/>
      <c r="E32" s="300">
        <v>2021</v>
      </c>
      <c r="F32" s="296">
        <f t="shared" si="0"/>
        <v>81.5</v>
      </c>
      <c r="G32" s="297">
        <f>B12</f>
        <v>1.3299999999999999E-2</v>
      </c>
      <c r="H32" s="298">
        <f>F32/(1+G32)^2</f>
        <v>79.374595195651494</v>
      </c>
      <c r="I32" s="1"/>
      <c r="J32" s="1"/>
      <c r="K32" s="1"/>
      <c r="L32" s="1"/>
    </row>
    <row r="33" spans="1:12" ht="14.25" customHeight="1" x14ac:dyDescent="0.25">
      <c r="A33" s="300">
        <v>2023</v>
      </c>
      <c r="B33" s="290">
        <v>72.5</v>
      </c>
      <c r="C33" s="1"/>
      <c r="D33" s="1"/>
      <c r="E33" s="299">
        <v>2022</v>
      </c>
      <c r="F33" s="293">
        <f t="shared" si="0"/>
        <v>75.7</v>
      </c>
      <c r="G33" s="294">
        <f>B12</f>
        <v>1.3299999999999999E-2</v>
      </c>
      <c r="H33" s="295">
        <f>F33/(1+G33)^3</f>
        <v>72.758167371635977</v>
      </c>
      <c r="I33" s="1"/>
      <c r="J33" s="1"/>
      <c r="K33" s="1"/>
      <c r="L33" s="1"/>
    </row>
    <row r="34" spans="1:12" ht="14.25" customHeight="1" x14ac:dyDescent="0.25">
      <c r="A34" s="299">
        <v>2024</v>
      </c>
      <c r="B34" s="289">
        <v>69</v>
      </c>
      <c r="C34" s="1"/>
      <c r="D34" s="1"/>
      <c r="E34" s="300">
        <v>2023</v>
      </c>
      <c r="F34" s="296">
        <f t="shared" si="0"/>
        <v>72.5</v>
      </c>
      <c r="G34" s="297">
        <f>B12</f>
        <v>1.3299999999999999E-2</v>
      </c>
      <c r="H34" s="298">
        <f>F34/(1+G34)^4</f>
        <v>68.76791166838521</v>
      </c>
      <c r="I34" s="1"/>
      <c r="J34" s="1"/>
      <c r="K34" s="1"/>
      <c r="L34" s="1"/>
    </row>
    <row r="35" spans="1:12" ht="14.25" customHeight="1" x14ac:dyDescent="0.25">
      <c r="A35" s="300">
        <v>2025</v>
      </c>
      <c r="B35" s="290">
        <v>77.260000000000005</v>
      </c>
      <c r="C35" s="1"/>
      <c r="D35" s="1"/>
      <c r="E35" s="299">
        <v>2024</v>
      </c>
      <c r="F35" s="293">
        <f t="shared" si="0"/>
        <v>69</v>
      </c>
      <c r="G35" s="294">
        <f>B12</f>
        <v>1.3299999999999999E-2</v>
      </c>
      <c r="H35" s="295">
        <f>F35/(1+G35)^5</f>
        <v>64.589047123173231</v>
      </c>
      <c r="I35" s="1"/>
      <c r="J35" s="1"/>
      <c r="K35" s="1"/>
      <c r="L35" s="1"/>
    </row>
    <row r="36" spans="1:12" ht="14.25" customHeight="1" x14ac:dyDescent="0.25">
      <c r="A36" s="299">
        <v>2026</v>
      </c>
      <c r="B36" s="289">
        <v>77.260000000000005</v>
      </c>
      <c r="C36" s="1"/>
      <c r="D36" s="1"/>
      <c r="E36" s="300">
        <v>2025</v>
      </c>
      <c r="F36" s="296">
        <f t="shared" si="0"/>
        <v>77.260000000000005</v>
      </c>
      <c r="G36" s="297">
        <f>B12</f>
        <v>1.3299999999999999E-2</v>
      </c>
      <c r="H36" s="298">
        <f>F36/(1+G36)^6</f>
        <v>71.37176681636214</v>
      </c>
      <c r="I36" s="1"/>
      <c r="J36" s="1"/>
      <c r="K36" s="1"/>
      <c r="L36" s="1"/>
    </row>
    <row r="37" spans="1:12" ht="14.25" customHeight="1" x14ac:dyDescent="0.25">
      <c r="A37" s="1"/>
      <c r="B37" s="21"/>
      <c r="C37" s="1"/>
      <c r="D37" s="1"/>
      <c r="E37" s="299">
        <v>2026</v>
      </c>
      <c r="F37" s="293">
        <f t="shared" si="0"/>
        <v>77.260000000000005</v>
      </c>
      <c r="G37" s="294">
        <f>B12</f>
        <v>1.3299999999999999E-2</v>
      </c>
      <c r="H37" s="295">
        <f>F37/(1+G37)^7</f>
        <v>70.434981561592934</v>
      </c>
      <c r="I37" s="1"/>
      <c r="J37" s="1"/>
      <c r="K37" s="1"/>
      <c r="L37" s="1"/>
    </row>
    <row r="38" spans="1:12" ht="14.25" customHeight="1" x14ac:dyDescent="0.25">
      <c r="A38" s="1"/>
      <c r="B38" s="21"/>
      <c r="C38" s="1"/>
      <c r="D38" s="1"/>
      <c r="E38" s="1"/>
      <c r="F38" s="1"/>
      <c r="G38" s="1"/>
      <c r="H38" s="305">
        <f>SUM(H31:H37)</f>
        <v>513.74668191483318</v>
      </c>
      <c r="I38" s="1"/>
      <c r="J38" s="1"/>
      <c r="K38" s="1"/>
      <c r="L38" s="1"/>
    </row>
    <row r="39" spans="1:12" ht="14.25" customHeight="1" x14ac:dyDescent="0.25">
      <c r="A39" s="304" t="s">
        <v>325</v>
      </c>
      <c r="B39" s="291">
        <f>B40+B41-B42</f>
        <v>7359.8000000000011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4.25" customHeight="1" x14ac:dyDescent="0.25">
      <c r="A40" s="300" t="s">
        <v>218</v>
      </c>
      <c r="B40" s="258">
        <f>B4</f>
        <v>7359.8000000000011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4.25" customHeight="1" x14ac:dyDescent="0.25">
      <c r="A41" s="299" t="s">
        <v>327</v>
      </c>
      <c r="B41" s="291">
        <f>B6</f>
        <v>0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4.25" customHeight="1" x14ac:dyDescent="0.25">
      <c r="A42" s="300" t="s">
        <v>328</v>
      </c>
      <c r="B42" s="258">
        <v>0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4.25" customHeight="1" x14ac:dyDescent="0.25">
      <c r="A45" s="314" t="s">
        <v>329</v>
      </c>
      <c r="B45" s="292">
        <f>D85 +H38</f>
        <v>6599.9484325541916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4.25" customHeight="1" x14ac:dyDescent="0.25">
      <c r="A46" s="1"/>
      <c r="B46" s="21"/>
      <c r="C46" s="1"/>
      <c r="D46" s="1"/>
      <c r="E46" s="1"/>
      <c r="F46" s="23"/>
      <c r="G46" s="1"/>
      <c r="H46" s="1"/>
      <c r="I46" s="1"/>
      <c r="J46" s="1"/>
      <c r="K46" s="1"/>
      <c r="L46" s="1"/>
    </row>
    <row r="47" spans="1:12" ht="14.25" customHeight="1" x14ac:dyDescent="0.25">
      <c r="A47" s="1"/>
      <c r="B47" s="2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4.25" customHeight="1" x14ac:dyDescent="0.25">
      <c r="A48" s="308" t="s">
        <v>233</v>
      </c>
      <c r="B48" s="291">
        <f>B7</f>
        <v>4459.8999999999996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4.25" customHeight="1" x14ac:dyDescent="0.25">
      <c r="A49" s="309" t="s">
        <v>331</v>
      </c>
      <c r="B49" s="258">
        <f>B5</f>
        <v>187.4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4.25" customHeight="1" x14ac:dyDescent="0.25">
      <c r="A50" s="308" t="s">
        <v>332</v>
      </c>
      <c r="B50" s="291">
        <f>D66</f>
        <v>13.740146708961142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4.25" customHeight="1" x14ac:dyDescent="0.25">
      <c r="A51" s="313" t="s">
        <v>259</v>
      </c>
      <c r="B51" s="234">
        <f>B12</f>
        <v>1.3299999999999999E-2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4.25" customHeight="1" x14ac:dyDescent="0.25">
      <c r="A54" s="302" t="s">
        <v>333</v>
      </c>
      <c r="B54" s="303"/>
      <c r="C54" s="301" t="s">
        <v>332</v>
      </c>
      <c r="D54" s="301" t="s">
        <v>276</v>
      </c>
      <c r="E54" s="1"/>
      <c r="F54" s="1"/>
      <c r="G54" s="1"/>
      <c r="H54" s="1"/>
      <c r="I54" s="1"/>
      <c r="J54" s="1"/>
      <c r="K54" s="1"/>
      <c r="L54" s="1"/>
    </row>
    <row r="55" spans="1:12" ht="14.25" customHeight="1" x14ac:dyDescent="0.25">
      <c r="A55" s="300" t="s">
        <v>334</v>
      </c>
      <c r="B55" s="306">
        <v>1038.9000000000001</v>
      </c>
      <c r="C55" s="290">
        <v>2022</v>
      </c>
      <c r="D55" s="290">
        <v>3</v>
      </c>
      <c r="E55" s="1"/>
      <c r="F55" s="1"/>
      <c r="G55" s="1"/>
      <c r="H55" s="1"/>
      <c r="I55" s="1"/>
      <c r="J55" s="1"/>
      <c r="K55" s="1"/>
      <c r="L55" s="1"/>
    </row>
    <row r="56" spans="1:12" ht="14.25" customHeight="1" x14ac:dyDescent="0.25">
      <c r="A56" s="299" t="s">
        <v>336</v>
      </c>
      <c r="B56" s="307">
        <v>1897.2</v>
      </c>
      <c r="C56" s="289">
        <v>2025</v>
      </c>
      <c r="D56" s="289">
        <v>6</v>
      </c>
      <c r="E56" s="1"/>
      <c r="F56" s="1"/>
      <c r="G56" s="1"/>
      <c r="H56" s="1"/>
      <c r="I56" s="1"/>
      <c r="J56" s="1"/>
      <c r="K56" s="1"/>
      <c r="L56" s="1"/>
    </row>
    <row r="57" spans="1:12" ht="14.25" customHeight="1" x14ac:dyDescent="0.25">
      <c r="A57" s="300" t="s">
        <v>337</v>
      </c>
      <c r="B57" s="306">
        <v>2107.9</v>
      </c>
      <c r="C57" s="290">
        <v>2045</v>
      </c>
      <c r="D57" s="290">
        <v>26</v>
      </c>
      <c r="E57" s="1"/>
      <c r="F57" s="1"/>
      <c r="G57" s="1"/>
      <c r="H57" s="1"/>
      <c r="I57" s="1"/>
      <c r="J57" s="1"/>
      <c r="K57" s="1"/>
      <c r="L57" s="1"/>
    </row>
    <row r="58" spans="1:12" ht="14.25" customHeight="1" x14ac:dyDescent="0.25">
      <c r="A58" s="1"/>
      <c r="B58" s="315">
        <f>SUM(B55:B57)</f>
        <v>5044</v>
      </c>
      <c r="C58" s="19"/>
      <c r="D58" s="19"/>
      <c r="E58" s="1"/>
      <c r="F58" s="1"/>
      <c r="G58" s="1"/>
      <c r="H58" s="1"/>
      <c r="I58" s="1"/>
      <c r="J58" s="1"/>
      <c r="K58" s="1"/>
      <c r="L58" s="1"/>
    </row>
    <row r="59" spans="1:12" ht="14.25" customHeight="1" x14ac:dyDescent="0.25">
      <c r="A59" s="1"/>
      <c r="B59" s="9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4.25" customHeight="1" x14ac:dyDescent="0.25">
      <c r="A62" s="312" t="s">
        <v>339</v>
      </c>
      <c r="B62" s="312" t="s">
        <v>341</v>
      </c>
      <c r="C62" s="312" t="s">
        <v>343</v>
      </c>
      <c r="D62" s="312" t="s">
        <v>343</v>
      </c>
      <c r="E62" s="1"/>
      <c r="F62" s="1"/>
      <c r="G62" s="1"/>
      <c r="H62" s="1"/>
      <c r="I62" s="1"/>
      <c r="J62" s="1"/>
      <c r="K62" s="1"/>
      <c r="L62" s="1"/>
    </row>
    <row r="63" spans="1:12" ht="14.25" customHeight="1" x14ac:dyDescent="0.25">
      <c r="A63" s="300">
        <f t="shared" ref="A63:A65" si="1">D55</f>
        <v>3</v>
      </c>
      <c r="B63" s="258">
        <f t="shared" ref="B63:B65" si="2">B55</f>
        <v>1038.9000000000001</v>
      </c>
      <c r="C63" s="234">
        <f>B63/B66</f>
        <v>0.20596748612212532</v>
      </c>
      <c r="D63" s="316">
        <f t="shared" ref="D63:D65" si="3">C63*A63</f>
        <v>0.61790245836637592</v>
      </c>
      <c r="E63" s="1"/>
      <c r="F63" s="1"/>
      <c r="G63" s="1"/>
      <c r="H63" s="1"/>
      <c r="I63" s="1"/>
      <c r="J63" s="1"/>
      <c r="K63" s="1"/>
      <c r="L63" s="1"/>
    </row>
    <row r="64" spans="1:12" ht="14.25" customHeight="1" x14ac:dyDescent="0.25">
      <c r="A64" s="299">
        <f t="shared" si="1"/>
        <v>6</v>
      </c>
      <c r="B64" s="291">
        <f t="shared" si="2"/>
        <v>1897.2</v>
      </c>
      <c r="C64" s="317">
        <f>B64/B66</f>
        <v>0.37613005551149881</v>
      </c>
      <c r="D64" s="318">
        <f t="shared" si="3"/>
        <v>2.2567803330689928</v>
      </c>
      <c r="E64" s="1"/>
      <c r="F64" s="1"/>
      <c r="G64" s="1"/>
      <c r="H64" s="1"/>
      <c r="I64" s="1"/>
      <c r="J64" s="1"/>
      <c r="K64" s="1"/>
      <c r="L64" s="1"/>
    </row>
    <row r="65" spans="1:12" ht="14.25" customHeight="1" x14ac:dyDescent="0.25">
      <c r="A65" s="300">
        <f t="shared" si="1"/>
        <v>26</v>
      </c>
      <c r="B65" s="258">
        <f t="shared" si="2"/>
        <v>2107.9</v>
      </c>
      <c r="C65" s="234">
        <f>B65/B66</f>
        <v>0.41790245836637591</v>
      </c>
      <c r="D65" s="316">
        <f t="shared" si="3"/>
        <v>10.865463917525773</v>
      </c>
      <c r="E65" s="1"/>
      <c r="F65" s="1"/>
      <c r="G65" s="1"/>
      <c r="H65" s="1"/>
      <c r="I65" s="1"/>
      <c r="J65" s="1"/>
      <c r="K65" s="1"/>
      <c r="L65" s="1"/>
    </row>
    <row r="66" spans="1:12" ht="14.25" customHeight="1" x14ac:dyDescent="0.25">
      <c r="A66" s="1"/>
      <c r="B66" s="320">
        <f>SUM(B63:B65)</f>
        <v>5044</v>
      </c>
      <c r="C66" s="319">
        <f>SUM(C62:C65)</f>
        <v>1</v>
      </c>
      <c r="D66" s="320">
        <f>SUM(D63:D65)</f>
        <v>13.740146708961142</v>
      </c>
      <c r="E66" s="1"/>
      <c r="F66" s="1"/>
      <c r="G66" s="1"/>
      <c r="H66" s="1"/>
      <c r="I66" s="1"/>
      <c r="J66" s="1"/>
      <c r="K66" s="1"/>
      <c r="L66" s="1"/>
    </row>
    <row r="67" spans="1:12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4.25" customHeight="1" x14ac:dyDescent="0.25">
      <c r="A69" s="301" t="s">
        <v>332</v>
      </c>
      <c r="B69" s="326" t="s">
        <v>351</v>
      </c>
      <c r="C69" s="301" t="s">
        <v>259</v>
      </c>
      <c r="D69" s="301" t="s">
        <v>353</v>
      </c>
      <c r="E69" s="1"/>
      <c r="F69" s="1"/>
      <c r="G69" s="1"/>
      <c r="H69" s="1"/>
      <c r="I69" s="1"/>
      <c r="J69" s="1"/>
      <c r="K69" s="1"/>
      <c r="L69" s="1"/>
    </row>
    <row r="70" spans="1:12" ht="14.25" customHeight="1" x14ac:dyDescent="0.25">
      <c r="A70" s="299">
        <v>1</v>
      </c>
      <c r="B70" s="318">
        <f>B5</f>
        <v>187.4</v>
      </c>
      <c r="C70" s="317">
        <f>B12</f>
        <v>1.3299999999999999E-2</v>
      </c>
      <c r="D70" s="318">
        <f>B70/(1+C70)</f>
        <v>184.94029408862133</v>
      </c>
      <c r="E70" s="1"/>
      <c r="F70" s="1"/>
      <c r="G70" s="1"/>
      <c r="H70" s="1"/>
      <c r="I70" s="1"/>
      <c r="J70" s="1"/>
      <c r="K70" s="1"/>
      <c r="L70" s="1"/>
    </row>
    <row r="71" spans="1:12" ht="14.25" customHeight="1" x14ac:dyDescent="0.25">
      <c r="A71" s="300">
        <v>2</v>
      </c>
      <c r="B71" s="316">
        <f>B5</f>
        <v>187.4</v>
      </c>
      <c r="C71" s="234">
        <f>B12</f>
        <v>1.3299999999999999E-2</v>
      </c>
      <c r="D71" s="316">
        <f>B71/(1+C71)^2</f>
        <v>182.51287287932627</v>
      </c>
      <c r="E71" s="1"/>
      <c r="F71" s="1"/>
      <c r="G71" s="1"/>
      <c r="H71" s="1"/>
      <c r="I71" s="1"/>
      <c r="J71" s="1"/>
      <c r="K71" s="1"/>
      <c r="L71" s="1"/>
    </row>
    <row r="72" spans="1:12" ht="14.25" customHeight="1" x14ac:dyDescent="0.25">
      <c r="A72" s="299">
        <v>3</v>
      </c>
      <c r="B72" s="318">
        <f>B5</f>
        <v>187.4</v>
      </c>
      <c r="C72" s="317">
        <f>B12</f>
        <v>1.3299999999999999E-2</v>
      </c>
      <c r="D72" s="318">
        <f>B72/(1+C72)^3</f>
        <v>180.1173126214608</v>
      </c>
      <c r="E72" s="1"/>
      <c r="F72" s="1"/>
      <c r="G72" s="1"/>
      <c r="H72" s="1"/>
      <c r="I72" s="1"/>
      <c r="J72" s="1"/>
      <c r="K72" s="1"/>
      <c r="L72" s="1"/>
    </row>
    <row r="73" spans="1:12" ht="14.25" customHeight="1" x14ac:dyDescent="0.25">
      <c r="A73" s="300">
        <v>4</v>
      </c>
      <c r="B73" s="316">
        <f>B5</f>
        <v>187.4</v>
      </c>
      <c r="C73" s="234">
        <f>B12</f>
        <v>1.3299999999999999E-2</v>
      </c>
      <c r="D73" s="316">
        <f>B73/(1+C73)^4</f>
        <v>177.75319512628121</v>
      </c>
      <c r="E73" s="1"/>
      <c r="F73" s="1"/>
      <c r="G73" s="1"/>
      <c r="H73" s="1"/>
      <c r="I73" s="1"/>
      <c r="J73" s="1"/>
      <c r="K73" s="1"/>
      <c r="L73" s="1"/>
    </row>
    <row r="74" spans="1:12" ht="14.25" customHeight="1" x14ac:dyDescent="0.25">
      <c r="A74" s="299">
        <v>5</v>
      </c>
      <c r="B74" s="318">
        <f>B5</f>
        <v>187.4</v>
      </c>
      <c r="C74" s="317">
        <f>B12</f>
        <v>1.3299999999999999E-2</v>
      </c>
      <c r="D74" s="318">
        <f>B74/(1+C74)^5</f>
        <v>175.42010769395162</v>
      </c>
      <c r="E74" s="1"/>
      <c r="F74" s="1"/>
      <c r="G74" s="1"/>
      <c r="H74" s="1"/>
      <c r="I74" s="1"/>
      <c r="J74" s="1"/>
      <c r="K74" s="1"/>
      <c r="L74" s="1"/>
    </row>
    <row r="75" spans="1:12" ht="14.25" customHeight="1" x14ac:dyDescent="0.25">
      <c r="A75" s="300">
        <v>6</v>
      </c>
      <c r="B75" s="316">
        <f>B5</f>
        <v>187.4</v>
      </c>
      <c r="C75" s="234">
        <f>B12</f>
        <v>1.3299999999999999E-2</v>
      </c>
      <c r="D75" s="316">
        <f>B75/(1+C75)^6</f>
        <v>173.11764304149966</v>
      </c>
      <c r="E75" s="1"/>
      <c r="F75" s="266" t="s">
        <v>553</v>
      </c>
      <c r="G75" s="321">
        <v>174.06401099999999</v>
      </c>
      <c r="H75" s="1"/>
      <c r="I75" s="1"/>
      <c r="J75" s="1"/>
      <c r="K75" s="1"/>
      <c r="L75" s="1"/>
    </row>
    <row r="76" spans="1:12" ht="14.25" customHeight="1" x14ac:dyDescent="0.25">
      <c r="A76" s="299">
        <v>7</v>
      </c>
      <c r="B76" s="318">
        <f>B5</f>
        <v>187.4</v>
      </c>
      <c r="C76" s="317">
        <f>B12</f>
        <v>1.3299999999999999E-2</v>
      </c>
      <c r="D76" s="318">
        <f>B76/(1+C76)^7</f>
        <v>170.84539923171778</v>
      </c>
      <c r="E76" s="1"/>
      <c r="F76" s="238" t="s">
        <v>525</v>
      </c>
      <c r="G76" s="322">
        <v>319.20999999999998</v>
      </c>
      <c r="H76" s="1"/>
      <c r="I76" s="1"/>
      <c r="J76" s="1"/>
      <c r="K76" s="1"/>
      <c r="L76" s="1"/>
    </row>
    <row r="77" spans="1:12" ht="14.25" customHeight="1" x14ac:dyDescent="0.25">
      <c r="A77" s="300">
        <v>8</v>
      </c>
      <c r="B77" s="316">
        <f>B5</f>
        <v>187.4</v>
      </c>
      <c r="C77" s="234">
        <f>B12</f>
        <v>1.3299999999999999E-2</v>
      </c>
      <c r="D77" s="316">
        <f>B77/(1+C77)^8</f>
        <v>168.60297960299789</v>
      </c>
      <c r="E77" s="1"/>
      <c r="F77" s="329" t="s">
        <v>359</v>
      </c>
      <c r="G77" s="323">
        <f>(G75*G76)</f>
        <v>55562.972951309996</v>
      </c>
      <c r="H77" s="9"/>
      <c r="I77" s="1"/>
      <c r="J77" s="1"/>
      <c r="K77" s="1"/>
      <c r="L77" s="1"/>
    </row>
    <row r="78" spans="1:12" ht="14.25" customHeight="1" x14ac:dyDescent="0.25">
      <c r="A78" s="299">
        <v>9</v>
      </c>
      <c r="B78" s="318">
        <f>B5</f>
        <v>187.4</v>
      </c>
      <c r="C78" s="317">
        <f>B12</f>
        <v>1.3299999999999999E-2</v>
      </c>
      <c r="D78" s="318">
        <f>B78/(1+C78)^9</f>
        <v>166.38999270008674</v>
      </c>
      <c r="E78" s="1"/>
      <c r="F78" s="1"/>
      <c r="G78" s="9"/>
      <c r="H78" s="1"/>
      <c r="I78" s="1"/>
      <c r="J78" s="1"/>
      <c r="K78" s="1"/>
      <c r="L78" s="1"/>
    </row>
    <row r="79" spans="1:12" ht="14.25" customHeight="1" x14ac:dyDescent="0.25">
      <c r="A79" s="300">
        <v>10</v>
      </c>
      <c r="B79" s="316">
        <f>B5</f>
        <v>187.4</v>
      </c>
      <c r="C79" s="234">
        <f>B12</f>
        <v>1.3299999999999999E-2</v>
      </c>
      <c r="D79" s="316">
        <f>B79/(1+C79)^10</f>
        <v>164.20605220575021</v>
      </c>
      <c r="E79" s="1"/>
      <c r="F79" s="1"/>
      <c r="G79" s="9"/>
      <c r="H79" s="1"/>
      <c r="I79" s="1"/>
      <c r="J79" s="1"/>
      <c r="K79" s="1"/>
      <c r="L79" s="1"/>
    </row>
    <row r="80" spans="1:12" ht="14.25" customHeight="1" x14ac:dyDescent="0.25">
      <c r="A80" s="299">
        <v>11</v>
      </c>
      <c r="B80" s="318">
        <f>B5</f>
        <v>187.4</v>
      </c>
      <c r="C80" s="317">
        <f>B12</f>
        <v>1.3299999999999999E-2</v>
      </c>
      <c r="D80" s="318">
        <f>B80/(1+C80)^11</f>
        <v>162.05077687333485</v>
      </c>
      <c r="E80" s="1"/>
      <c r="F80" s="327" t="s">
        <v>363</v>
      </c>
      <c r="G80" s="324">
        <f>D85</f>
        <v>6086.2017506393586</v>
      </c>
      <c r="H80" s="1"/>
      <c r="I80" s="1"/>
      <c r="J80" s="1"/>
      <c r="K80" s="1"/>
      <c r="L80" s="1"/>
    </row>
    <row r="81" spans="1:12" ht="14.25" customHeight="1" x14ac:dyDescent="0.25">
      <c r="A81" s="300">
        <v>12</v>
      </c>
      <c r="B81" s="316">
        <f>B5</f>
        <v>187.4</v>
      </c>
      <c r="C81" s="234">
        <f>B12</f>
        <v>1.3299999999999999E-2</v>
      </c>
      <c r="D81" s="316">
        <f>B81/(1+C81)^12</f>
        <v>159.92379046021395</v>
      </c>
      <c r="E81" s="1"/>
      <c r="F81" s="328" t="s">
        <v>366</v>
      </c>
      <c r="G81" s="325">
        <f>H38</f>
        <v>513.74668191483318</v>
      </c>
      <c r="H81" s="1"/>
      <c r="I81" s="1"/>
      <c r="J81" s="1"/>
      <c r="K81" s="1"/>
      <c r="L81" s="1"/>
    </row>
    <row r="82" spans="1:12" ht="14.25" customHeight="1" x14ac:dyDescent="0.25">
      <c r="A82" s="299">
        <v>13</v>
      </c>
      <c r="B82" s="318">
        <f>B5</f>
        <v>187.4</v>
      </c>
      <c r="C82" s="317">
        <f>B12</f>
        <v>1.3299999999999999E-2</v>
      </c>
      <c r="D82" s="318">
        <f>B82/(1+C82)^13</f>
        <v>157.82472166210789</v>
      </c>
      <c r="E82" s="1"/>
      <c r="F82" s="330" t="s">
        <v>369</v>
      </c>
      <c r="G82" s="324">
        <f>G80+G81</f>
        <v>6599.9484325541916</v>
      </c>
      <c r="H82" s="1"/>
      <c r="I82" s="1"/>
      <c r="J82" s="1"/>
      <c r="K82" s="1"/>
      <c r="L82" s="1"/>
    </row>
    <row r="83" spans="1:12" ht="14.25" customHeight="1" x14ac:dyDescent="0.25">
      <c r="A83" s="300">
        <v>14</v>
      </c>
      <c r="B83" s="316">
        <f>B5</f>
        <v>187.4</v>
      </c>
      <c r="C83" s="234">
        <f>B12</f>
        <v>1.3299999999999999E-2</v>
      </c>
      <c r="D83" s="316">
        <f t="shared" ref="D83:D84" si="4">B83/(1+C83)^14</f>
        <v>155.75320404826596</v>
      </c>
      <c r="E83" s="1"/>
      <c r="F83" s="1"/>
      <c r="G83" s="9"/>
      <c r="H83" s="1"/>
      <c r="I83" s="1"/>
      <c r="J83" s="1"/>
      <c r="K83" s="1"/>
      <c r="L83" s="1"/>
    </row>
    <row r="84" spans="1:12" ht="14.25" customHeight="1" x14ac:dyDescent="0.25">
      <c r="A84" s="299">
        <v>14</v>
      </c>
      <c r="B84" s="291">
        <f>B7</f>
        <v>4459.8999999999996</v>
      </c>
      <c r="C84" s="317">
        <f>B12</f>
        <v>1.3299999999999999E-2</v>
      </c>
      <c r="D84" s="318">
        <f t="shared" si="4"/>
        <v>3706.7434084037418</v>
      </c>
      <c r="E84" s="1"/>
      <c r="F84" s="1"/>
      <c r="G84" s="1"/>
      <c r="H84" s="1"/>
      <c r="I84" s="1"/>
      <c r="J84" s="1"/>
      <c r="K84" s="1"/>
      <c r="L84" s="1"/>
    </row>
    <row r="85" spans="1:12" ht="14.25" customHeight="1" x14ac:dyDescent="0.25">
      <c r="A85" s="21"/>
      <c r="B85" s="21"/>
      <c r="C85" s="21"/>
      <c r="D85" s="551">
        <f>SUM(D70:D84)</f>
        <v>6086.2017506393586</v>
      </c>
      <c r="E85" s="1"/>
      <c r="F85" s="1"/>
      <c r="G85" s="1"/>
      <c r="H85" s="1"/>
      <c r="I85" s="1"/>
      <c r="J85" s="1"/>
      <c r="K85" s="1"/>
      <c r="L85" s="1"/>
    </row>
    <row r="86" spans="1:12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4.25" customHeight="1" x14ac:dyDescent="0.25">
      <c r="A88" s="333" t="s">
        <v>554</v>
      </c>
      <c r="B88" s="332"/>
      <c r="C88" s="332"/>
      <c r="D88" s="332"/>
      <c r="E88" s="332"/>
      <c r="F88" s="552">
        <f>B5*((1-(1/(1+B12)^D66))/B12)+B7/(1+B12)^D66</f>
        <v>6058.6745662293206</v>
      </c>
      <c r="G88" s="331"/>
      <c r="I88" s="1"/>
      <c r="J88" s="1"/>
      <c r="K88" s="1"/>
      <c r="L88" s="1"/>
    </row>
    <row r="89" spans="1:12" ht="14.25" customHeight="1" x14ac:dyDescent="0.2">
      <c r="A89" s="3"/>
      <c r="B89" s="3"/>
      <c r="C89" s="3"/>
      <c r="E89" s="3"/>
      <c r="F89" s="3"/>
    </row>
    <row r="90" spans="1:12" ht="14.25" customHeight="1" x14ac:dyDescent="0.2">
      <c r="A90" s="3"/>
      <c r="B90" s="3"/>
      <c r="C90" s="3"/>
    </row>
    <row r="91" spans="1:12" ht="14.25" customHeight="1" x14ac:dyDescent="0.2">
      <c r="A91" s="3"/>
      <c r="B91" s="3"/>
      <c r="C91" s="3"/>
    </row>
    <row r="92" spans="1:12" ht="14.25" customHeight="1" x14ac:dyDescent="0.2">
      <c r="C92" s="3"/>
    </row>
    <row r="93" spans="1:12" ht="14.25" customHeight="1" x14ac:dyDescent="0.2">
      <c r="C93" s="3"/>
    </row>
    <row r="94" spans="1:12" ht="14.25" customHeight="1" x14ac:dyDescent="0.2"/>
    <row r="95" spans="1:12" ht="14.25" customHeight="1" x14ac:dyDescent="0.2"/>
    <row r="96" spans="1:12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G8:J8"/>
    <mergeCell ref="E30:F30"/>
    <mergeCell ref="A54:B54"/>
  </mergeCells>
  <pageMargins left="0.7" right="0.7" top="0.75" bottom="0.75" header="0" footer="0"/>
  <pageSetup paperSize="9" orientation="portrait"/>
  <drawing r:id="rId1"/>
  <tableParts count="4"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  <outlinePr summaryBelow="0" summaryRight="0"/>
  </sheetPr>
  <dimension ref="A3:E1000"/>
  <sheetViews>
    <sheetView workbookViewId="0">
      <selection activeCell="E12" sqref="E12"/>
    </sheetView>
  </sheetViews>
  <sheetFormatPr defaultColWidth="12.625" defaultRowHeight="15" customHeight="1" x14ac:dyDescent="0.2"/>
  <cols>
    <col min="1" max="1" width="17.375" customWidth="1"/>
    <col min="2" max="2" width="8.375" customWidth="1"/>
    <col min="3" max="3" width="17.25" customWidth="1"/>
    <col min="4" max="4" width="8.375" customWidth="1"/>
    <col min="5" max="5" width="19.875" customWidth="1"/>
    <col min="6" max="6" width="8.375" customWidth="1"/>
    <col min="7" max="26" width="9.625" customWidth="1"/>
  </cols>
  <sheetData>
    <row r="3" spans="1:5" x14ac:dyDescent="0.25">
      <c r="A3" s="266" t="s">
        <v>228</v>
      </c>
      <c r="B3" s="335">
        <f>Debt!E5</f>
        <v>0.27</v>
      </c>
      <c r="C3" s="1"/>
      <c r="D3" s="1"/>
      <c r="E3" s="1"/>
    </row>
    <row r="4" spans="1:5" x14ac:dyDescent="0.25">
      <c r="A4" s="266" t="s">
        <v>309</v>
      </c>
      <c r="B4" s="336">
        <f>Beta!B64</f>
        <v>1.5677143195082546</v>
      </c>
      <c r="C4" s="1"/>
      <c r="D4" s="1"/>
      <c r="E4" s="1"/>
    </row>
    <row r="5" spans="1:5" x14ac:dyDescent="0.25">
      <c r="A5" s="266" t="s">
        <v>140</v>
      </c>
      <c r="B5" s="337">
        <f>'ERP-CRP'!B9</f>
        <v>5.1999999999999998E-2</v>
      </c>
      <c r="C5" s="1"/>
      <c r="D5" s="1"/>
      <c r="E5" s="1"/>
    </row>
    <row r="6" spans="1:5" x14ac:dyDescent="0.25">
      <c r="A6" s="266" t="s">
        <v>9</v>
      </c>
      <c r="B6" s="337">
        <f>'ERP-CRP'!E20</f>
        <v>3.7286920684019057E-3</v>
      </c>
      <c r="C6" s="1"/>
      <c r="D6" s="1"/>
      <c r="E6" s="1"/>
    </row>
    <row r="7" spans="1:5" x14ac:dyDescent="0.25">
      <c r="A7" s="266" t="s">
        <v>7</v>
      </c>
      <c r="B7" s="337">
        <f>'ERP-CRP'!B4</f>
        <v>7.0000000000000001E-3</v>
      </c>
      <c r="C7" s="1"/>
      <c r="D7" s="1"/>
      <c r="E7" s="1"/>
    </row>
    <row r="8" spans="1:5" x14ac:dyDescent="0.25">
      <c r="A8" s="266" t="s">
        <v>312</v>
      </c>
      <c r="B8" s="337">
        <f>B7+B4*(B5+B6)</f>
        <v>9.4366668563099762E-2</v>
      </c>
      <c r="C8" s="1"/>
      <c r="D8" s="1"/>
      <c r="E8" s="1"/>
    </row>
    <row r="9" spans="1:5" x14ac:dyDescent="0.25">
      <c r="A9" s="266" t="s">
        <v>316</v>
      </c>
      <c r="B9" s="321">
        <f>Debt!G77</f>
        <v>55562.972951309996</v>
      </c>
      <c r="C9" s="1"/>
      <c r="D9" s="1"/>
      <c r="E9" s="1"/>
    </row>
    <row r="10" spans="1:5" x14ac:dyDescent="0.25">
      <c r="A10" s="266" t="s">
        <v>318</v>
      </c>
      <c r="B10" s="335">
        <f>Debt!B13</f>
        <v>9.7089999999999989E-3</v>
      </c>
      <c r="C10" s="1"/>
      <c r="D10" s="1"/>
      <c r="E10" s="1"/>
    </row>
    <row r="11" spans="1:5" x14ac:dyDescent="0.25">
      <c r="A11" s="266" t="s">
        <v>319</v>
      </c>
      <c r="B11" s="321">
        <f>Debt!G82</f>
        <v>6599.9484325541916</v>
      </c>
      <c r="C11" s="1"/>
      <c r="D11" s="1"/>
      <c r="E11" s="1"/>
    </row>
    <row r="12" spans="1:5" x14ac:dyDescent="0.25">
      <c r="A12" s="338" t="s">
        <v>20</v>
      </c>
      <c r="B12" s="550">
        <f>B8*(B9/(B9+B11))+B10*(B11/(B11+B9))</f>
        <v>8.5378412630170666E-2</v>
      </c>
      <c r="C12" s="1"/>
      <c r="D12" s="1"/>
      <c r="E12" s="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16</vt:i4>
      </vt:variant>
    </vt:vector>
  </HeadingPairs>
  <TitlesOfParts>
    <vt:vector size="16" baseType="lpstr">
      <vt:lpstr>Indexes</vt:lpstr>
      <vt:lpstr>TTM</vt:lpstr>
      <vt:lpstr>I.S.</vt:lpstr>
      <vt:lpstr>B.S.</vt:lpstr>
      <vt:lpstr>C.f.s.</vt:lpstr>
      <vt:lpstr>ERP-CRP</vt:lpstr>
      <vt:lpstr>Beta</vt:lpstr>
      <vt:lpstr>Debt</vt:lpstr>
      <vt:lpstr>WACC</vt:lpstr>
      <vt:lpstr>R&amp;D</vt:lpstr>
      <vt:lpstr>CAPEX</vt:lpstr>
      <vt:lpstr>WC</vt:lpstr>
      <vt:lpstr>FCFF</vt:lpstr>
      <vt:lpstr>FCFE</vt:lpstr>
      <vt:lpstr>Growth &amp; TV</vt:lpstr>
      <vt:lpstr>Relative 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Biogen Inc. Analysis</dc:title>
  <dc:creator>SANFILIPPO GIUSEPPE ANTONIO</dc:creator>
  <cp:lastModifiedBy>.chrno</cp:lastModifiedBy>
  <dcterms:created xsi:type="dcterms:W3CDTF">2020-03-31T20:46:32Z</dcterms:created>
  <dcterms:modified xsi:type="dcterms:W3CDTF">2022-04-01T13:32:26Z</dcterms:modified>
</cp:coreProperties>
</file>