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IUSEPPE\Desktop\"/>
    </mc:Choice>
  </mc:AlternateContent>
  <xr:revisionPtr revIDLastSave="0" documentId="13_ncr:1_{9D7D31E0-F436-48EB-B085-3CA67A566DCB}" xr6:coauthVersionLast="45" xr6:coauthVersionMax="45" xr10:uidLastSave="{00000000-0000-0000-0000-000000000000}"/>
  <bookViews>
    <workbookView xWindow="-120" yWindow="-120" windowWidth="20730" windowHeight="11160" firstSheet="3" activeTab="9" xr2:uid="{00000000-000D-0000-FFFF-FFFF00000000}"/>
  </bookViews>
  <sheets>
    <sheet name="Cost of Equity (KE)" sheetId="1" r:id="rId1"/>
    <sheet name="Cost of Debt (KD)" sheetId="3" r:id="rId2"/>
    <sheet name="Market Value of Debt" sheetId="2" r:id="rId3"/>
    <sheet name="WACC" sheetId="4" r:id="rId4"/>
    <sheet name="TTM" sheetId="5" r:id="rId5"/>
    <sheet name="R&amp;D" sheetId="8" r:id="rId6"/>
    <sheet name="Free Cash Flow To The Firm" sheetId="6" r:id="rId7"/>
    <sheet name="WACC Stable" sheetId="11" r:id="rId8"/>
    <sheet name="Growth" sheetId="7" r:id="rId9"/>
    <sheet name="Final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2" l="1"/>
  <c r="C8" i="6"/>
  <c r="C7" i="11"/>
  <c r="C5" i="11"/>
  <c r="F14" i="2" l="1"/>
  <c r="F13" i="2"/>
  <c r="F12" i="2"/>
  <c r="F11" i="2"/>
  <c r="I7" i="2"/>
  <c r="I6" i="2"/>
  <c r="C34" i="2"/>
  <c r="C9" i="12" l="1"/>
  <c r="E15" i="7" l="1"/>
  <c r="C17" i="6" l="1"/>
  <c r="I15" i="8"/>
  <c r="G15" i="8"/>
  <c r="E15" i="8"/>
  <c r="I14" i="8"/>
  <c r="G14" i="8"/>
  <c r="E14" i="8"/>
  <c r="I13" i="8"/>
  <c r="G13" i="8"/>
  <c r="E13" i="8"/>
  <c r="I12" i="8"/>
  <c r="G12" i="8"/>
  <c r="E12" i="8"/>
  <c r="I11" i="8"/>
  <c r="G11" i="8"/>
  <c r="E11" i="8"/>
  <c r="I10" i="8"/>
  <c r="G10" i="8"/>
  <c r="E10" i="8"/>
  <c r="I9" i="8"/>
  <c r="G9" i="8"/>
  <c r="E9" i="8"/>
  <c r="I8" i="8"/>
  <c r="G8" i="8"/>
  <c r="E8" i="8"/>
  <c r="I7" i="8"/>
  <c r="G7" i="8"/>
  <c r="E7" i="8"/>
  <c r="C14" i="6"/>
  <c r="H8" i="6" l="1"/>
  <c r="G8" i="6"/>
  <c r="G6" i="3" l="1"/>
  <c r="H18" i="3"/>
  <c r="C21" i="1"/>
  <c r="C22" i="1"/>
  <c r="F34" i="2"/>
  <c r="C23" i="1" l="1"/>
  <c r="D19" i="1" s="1"/>
  <c r="F19" i="1" s="1"/>
  <c r="H19" i="3"/>
  <c r="H20" i="3" s="1"/>
  <c r="F15" i="2"/>
  <c r="H11" i="2" s="1"/>
  <c r="I11" i="2" s="1"/>
  <c r="D22" i="1" l="1"/>
  <c r="F22" i="1" s="1"/>
  <c r="D23" i="1"/>
  <c r="D21" i="1"/>
  <c r="F21" i="1" s="1"/>
  <c r="D20" i="1"/>
  <c r="F20" i="1" s="1"/>
  <c r="F23" i="1" s="1"/>
  <c r="C14" i="1" s="1"/>
  <c r="C8" i="11" s="1"/>
  <c r="C9" i="11" s="1"/>
  <c r="C6" i="4"/>
  <c r="G34" i="2"/>
  <c r="H34" i="2" s="1"/>
  <c r="G24" i="2"/>
  <c r="G28" i="2"/>
  <c r="G32" i="2"/>
  <c r="G21" i="2"/>
  <c r="G25" i="2"/>
  <c r="G29" i="2"/>
  <c r="G33" i="2"/>
  <c r="G22" i="2"/>
  <c r="G26" i="2"/>
  <c r="G30" i="2"/>
  <c r="G20" i="2"/>
  <c r="G23" i="2"/>
  <c r="G27" i="2"/>
  <c r="G31" i="2"/>
  <c r="G9" i="6" l="1"/>
  <c r="D25" i="6" s="1"/>
  <c r="G8" i="5"/>
  <c r="C7" i="3" s="1"/>
  <c r="G7" i="5"/>
  <c r="F6" i="5"/>
  <c r="E6" i="5"/>
  <c r="D6" i="5"/>
  <c r="G6" i="5" l="1"/>
  <c r="C6" i="3"/>
  <c r="H17" i="3" s="1"/>
  <c r="C5" i="6"/>
  <c r="F31" i="2"/>
  <c r="H31" i="2" s="1"/>
  <c r="F27" i="2"/>
  <c r="H27" i="2" s="1"/>
  <c r="F24" i="2"/>
  <c r="H24" i="2" s="1"/>
  <c r="F33" i="2"/>
  <c r="H33" i="2" s="1"/>
  <c r="F22" i="2"/>
  <c r="H22" i="2" s="1"/>
  <c r="F26" i="2"/>
  <c r="H26" i="2" s="1"/>
  <c r="F32" i="2"/>
  <c r="H32" i="2" s="1"/>
  <c r="F23" i="2"/>
  <c r="H23" i="2" s="1"/>
  <c r="F30" i="2"/>
  <c r="H30" i="2" s="1"/>
  <c r="F21" i="2"/>
  <c r="H21" i="2" s="1"/>
  <c r="F25" i="2"/>
  <c r="H25" i="2" s="1"/>
  <c r="F29" i="2"/>
  <c r="H29" i="2" s="1"/>
  <c r="F28" i="2"/>
  <c r="H28" i="2" s="1"/>
  <c r="F20" i="2"/>
  <c r="H20" i="2" s="1"/>
  <c r="H35" i="2" l="1"/>
  <c r="C7" i="4" s="1"/>
  <c r="C9" i="4" l="1"/>
  <c r="C10" i="4" s="1"/>
  <c r="H14" i="2"/>
  <c r="I14" i="2" s="1"/>
  <c r="C11" i="4" l="1"/>
  <c r="C10" i="11"/>
  <c r="H13" i="2"/>
  <c r="I13" i="2" s="1"/>
  <c r="H12" i="2"/>
  <c r="I12" i="2" s="1"/>
  <c r="E16" i="7" l="1"/>
  <c r="E17" i="7" s="1"/>
  <c r="I15" i="2"/>
  <c r="C15" i="1" l="1"/>
  <c r="C5" i="4" s="1"/>
  <c r="C3" i="4" s="1"/>
  <c r="L9" i="7" l="1"/>
  <c r="J9" i="7"/>
  <c r="I9" i="7"/>
  <c r="K9" i="7"/>
  <c r="M9" i="7"/>
  <c r="G9" i="5" l="1"/>
  <c r="C6" i="8" s="1"/>
  <c r="E6" i="8" s="1"/>
  <c r="G6" i="8" l="1"/>
  <c r="G16" i="8" s="1"/>
  <c r="E9" i="7" s="1"/>
  <c r="C15" i="6"/>
  <c r="C6" i="6"/>
  <c r="I6" i="8"/>
  <c r="I16" i="8" s="1"/>
  <c r="C7" i="6" l="1"/>
  <c r="C9" i="6" s="1"/>
  <c r="H24" i="6" s="1"/>
  <c r="C16" i="6"/>
  <c r="C18" i="6" s="1"/>
  <c r="D24" i="6" s="1"/>
  <c r="D23" i="6" s="1"/>
  <c r="H25" i="6" s="1"/>
  <c r="H28" i="6" l="1"/>
  <c r="E11" i="7" s="1"/>
  <c r="E4" i="7"/>
  <c r="H23" i="6"/>
  <c r="H27" i="6" l="1"/>
  <c r="E8" i="7"/>
  <c r="E10" i="7"/>
  <c r="E12" i="7" s="1"/>
  <c r="M4" i="7" l="1"/>
  <c r="M6" i="7" s="1"/>
  <c r="L4" i="7"/>
  <c r="L6" i="7" s="1"/>
  <c r="L7" i="7" s="1"/>
  <c r="L8" i="7" s="1"/>
  <c r="L10" i="7" s="1"/>
  <c r="I4" i="7"/>
  <c r="I6" i="7" s="1"/>
  <c r="I7" i="7" s="1"/>
  <c r="I8" i="7" s="1"/>
  <c r="I10" i="7" s="1"/>
  <c r="K4" i="7"/>
  <c r="K6" i="7" s="1"/>
  <c r="K7" i="7" s="1"/>
  <c r="K8" i="7" s="1"/>
  <c r="K10" i="7" s="1"/>
  <c r="J4" i="7"/>
  <c r="J6" i="7" s="1"/>
  <c r="J7" i="7" s="1"/>
  <c r="J8" i="7" s="1"/>
  <c r="J10" i="7" s="1"/>
  <c r="E18" i="7" l="1"/>
  <c r="E19" i="7" s="1"/>
  <c r="E20" i="7" s="1"/>
  <c r="M7" i="7"/>
  <c r="M8" i="7" s="1"/>
  <c r="M10" i="7" s="1"/>
  <c r="I11" i="7" s="1"/>
  <c r="I12" i="7" s="1"/>
  <c r="I13" i="7" s="1"/>
  <c r="C5" i="12" s="1"/>
  <c r="C10" i="12" s="1"/>
  <c r="C12" i="12" s="1"/>
  <c r="F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.chrno</author>
  </authors>
  <commentList>
    <comment ref="B33" authorId="0" shapeId="0" xr:uid="{7B8D4A2B-493D-4F92-BC13-35A026BED95E}">
      <text>
        <r>
          <rPr>
            <sz val="9"/>
            <color indexed="81"/>
            <rFont val="Arial"/>
            <family val="2"/>
          </rPr>
          <t>This value includes 148 mln of borrowings at variable rates that resulted in effective interest rates (2019).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.chrno</author>
  </authors>
  <commentList>
    <comment ref="B17" authorId="0" shapeId="0" xr:uid="{BF6C5E69-B74D-40E4-81B3-7223F90621CA}">
      <text>
        <r>
          <rPr>
            <sz val="9"/>
            <color indexed="81"/>
            <rFont val="Arial"/>
            <family val="2"/>
          </rPr>
          <t>Given by acquisitions of Antelliq Co., Peloton Therapeutics Inc. &amp; Others.</t>
        </r>
      </text>
    </comment>
  </commentList>
</comments>
</file>

<file path=xl/sharedStrings.xml><?xml version="1.0" encoding="utf-8"?>
<sst xmlns="http://schemas.openxmlformats.org/spreadsheetml/2006/main" count="242" uniqueCount="215">
  <si>
    <t xml:space="preserve">CAPM </t>
  </si>
  <si>
    <t>β</t>
  </si>
  <si>
    <t>ERP</t>
  </si>
  <si>
    <t>CRP</t>
  </si>
  <si>
    <t>CURRENT ACCOUNTING DATA</t>
  </si>
  <si>
    <t xml:space="preserve">Book Value Of Debt </t>
  </si>
  <si>
    <t>OTHER DATA</t>
  </si>
  <si>
    <t xml:space="preserve">Risk Free Rate </t>
  </si>
  <si>
    <t>Marginal Tax Rate</t>
  </si>
  <si>
    <t xml:space="preserve">CORPORATE DEFAULT SPREAD </t>
  </si>
  <si>
    <t>For developed market firms with market cap &gt; $5 billion</t>
  </si>
  <si>
    <t>If interest coverage ratio is</t>
  </si>
  <si>
    <t>&gt;</t>
  </si>
  <si>
    <t>≤ to</t>
  </si>
  <si>
    <t>Rating is</t>
  </si>
  <si>
    <t>Spread is</t>
  </si>
  <si>
    <t>8.50</t>
  </si>
  <si>
    <t>Aaa/AAA</t>
  </si>
  <si>
    <t>6.5</t>
  </si>
  <si>
    <t>Aa2/AA</t>
  </si>
  <si>
    <t>5.5</t>
  </si>
  <si>
    <t>A1/A+</t>
  </si>
  <si>
    <t>4.25</t>
  </si>
  <si>
    <t>A2/A</t>
  </si>
  <si>
    <t>A3/A-</t>
  </si>
  <si>
    <t>2.5</t>
  </si>
  <si>
    <t>Baa2/BBB</t>
  </si>
  <si>
    <t>2.25</t>
  </si>
  <si>
    <t>Ba1/BB+</t>
  </si>
  <si>
    <t>Ba2/BB</t>
  </si>
  <si>
    <t>1.75</t>
  </si>
  <si>
    <t>B1/B+</t>
  </si>
  <si>
    <t>1.5</t>
  </si>
  <si>
    <t>B2/B</t>
  </si>
  <si>
    <t>1.25</t>
  </si>
  <si>
    <t>B3/B-</t>
  </si>
  <si>
    <t>0.8</t>
  </si>
  <si>
    <t>Caa/CCC</t>
  </si>
  <si>
    <t>0.65</t>
  </si>
  <si>
    <t>0.799999</t>
  </si>
  <si>
    <t>Ca2/CC</t>
  </si>
  <si>
    <t>0.2</t>
  </si>
  <si>
    <t>0.649999</t>
  </si>
  <si>
    <t>C2/C</t>
  </si>
  <si>
    <t>0.199999</t>
  </si>
  <si>
    <t>D2/D</t>
  </si>
  <si>
    <t>Associated Default Spread</t>
  </si>
  <si>
    <t>PreTaxKd</t>
  </si>
  <si>
    <t>AfterTaxKd</t>
  </si>
  <si>
    <t>WACC</t>
  </si>
  <si>
    <t>Cost of Equity</t>
  </si>
  <si>
    <t xml:space="preserve">Cost of Debt </t>
  </si>
  <si>
    <t xml:space="preserve">Market Value of Debt </t>
  </si>
  <si>
    <t xml:space="preserve">Market Value of Equity </t>
  </si>
  <si>
    <t>D+E</t>
  </si>
  <si>
    <t>E/(D+E)</t>
  </si>
  <si>
    <t>D/(D+E)</t>
  </si>
  <si>
    <t xml:space="preserve">CAPEX </t>
  </si>
  <si>
    <t>D&amp;A</t>
  </si>
  <si>
    <t xml:space="preserve">Acquisitions </t>
  </si>
  <si>
    <t>NET CAPEX</t>
  </si>
  <si>
    <t>Adj.CAPEX</t>
  </si>
  <si>
    <t>F. Revenues</t>
  </si>
  <si>
    <t>Δ Non-Cash Working Capital (industry)</t>
  </si>
  <si>
    <t>Adj. Reinvestment needs</t>
  </si>
  <si>
    <t>Adj. CAPEX</t>
  </si>
  <si>
    <t>Δ Non-Cash Working Capital (Industry)</t>
  </si>
  <si>
    <t>Free Cash Flow to the Firm</t>
  </si>
  <si>
    <t>Operating income*(1-t)</t>
  </si>
  <si>
    <t xml:space="preserve">Adj. Reinvestment rate </t>
  </si>
  <si>
    <t>DEBT STRUCTURE IN 2019</t>
  </si>
  <si>
    <t>Maturity</t>
  </si>
  <si>
    <t>Senior debt</t>
  </si>
  <si>
    <t>Years</t>
  </si>
  <si>
    <t xml:space="preserve">%Debt </t>
  </si>
  <si>
    <t>W.A. Maturity</t>
  </si>
  <si>
    <t>2026-30</t>
  </si>
  <si>
    <t>2030-40</t>
  </si>
  <si>
    <t>Present Value of Debt</t>
  </si>
  <si>
    <t>Notes due 2021</t>
  </si>
  <si>
    <t>Notes due 2022</t>
  </si>
  <si>
    <t>Notes due 2023</t>
  </si>
  <si>
    <t>Notes due 2024</t>
  </si>
  <si>
    <t>Notes due 2025</t>
  </si>
  <si>
    <t>Notes due 2026</t>
  </si>
  <si>
    <t>Notes due 2028</t>
  </si>
  <si>
    <t>Notes due 2029</t>
  </si>
  <si>
    <t>Notes due 2033</t>
  </si>
  <si>
    <t>Notes due 2034</t>
  </si>
  <si>
    <t>Notes due 2036</t>
  </si>
  <si>
    <t>Notes due 2037</t>
  </si>
  <si>
    <t>Notes due 2039</t>
  </si>
  <si>
    <t>Notes due 2042</t>
  </si>
  <si>
    <t>Notes due 2043</t>
  </si>
  <si>
    <t>Notes due 2045</t>
  </si>
  <si>
    <t>Total</t>
  </si>
  <si>
    <t>TTM</t>
  </si>
  <si>
    <t>Date</t>
  </si>
  <si>
    <t>Valori TTM</t>
  </si>
  <si>
    <t xml:space="preserve">EBIT </t>
  </si>
  <si>
    <t>Income before taxes</t>
  </si>
  <si>
    <t>Interest expense</t>
  </si>
  <si>
    <t>Country</t>
  </si>
  <si>
    <t>%</t>
  </si>
  <si>
    <t>Asia &amp; Pacific</t>
  </si>
  <si>
    <t>Latin America &amp; Others</t>
  </si>
  <si>
    <t>United States</t>
  </si>
  <si>
    <t>Europe, Middle East and Africa</t>
  </si>
  <si>
    <t>COUNTRY RISK PREMIUM (CRP)</t>
  </si>
  <si>
    <t>Risk-free</t>
  </si>
  <si>
    <r>
      <rPr>
        <sz val="11"/>
        <rFont val="Calibri"/>
        <family val="2"/>
        <scheme val="minor"/>
      </rPr>
      <t>E</t>
    </r>
    <r>
      <rPr>
        <b/>
        <sz val="11"/>
        <rFont val="Calibri"/>
        <family val="2"/>
        <scheme val="minor"/>
      </rPr>
      <t>xpected Return (KE)</t>
    </r>
  </si>
  <si>
    <t>Pv Debt</t>
  </si>
  <si>
    <t>Pre-Tax Kd</t>
  </si>
  <si>
    <t>Interest Expense</t>
  </si>
  <si>
    <t xml:space="preserve">Years </t>
  </si>
  <si>
    <t>MARKET VALUE OF DEBT</t>
  </si>
  <si>
    <t>2040-45</t>
  </si>
  <si>
    <t>2020-26</t>
  </si>
  <si>
    <t>HIGH GROWTH</t>
  </si>
  <si>
    <t>HIGH-GROWTH PERIOD</t>
  </si>
  <si>
    <t>Book Value of Equity</t>
  </si>
  <si>
    <t xml:space="preserve">STABLE GROWTH </t>
  </si>
  <si>
    <t>TERMINAL VALUE</t>
  </si>
  <si>
    <t>Interest Coverage Ratio</t>
  </si>
  <si>
    <t>Amortization of R&amp;D</t>
  </si>
  <si>
    <t>Operating Income*(1-Tax Rate)</t>
  </si>
  <si>
    <t>Op. Income * (1-Tax Rate)</t>
  </si>
  <si>
    <t>Book Value of Debt</t>
  </si>
  <si>
    <t>Cash</t>
  </si>
  <si>
    <t>ROIC</t>
  </si>
  <si>
    <t>FCFF</t>
  </si>
  <si>
    <t>R&amp;D Assets</t>
  </si>
  <si>
    <t>Adj. ROIC</t>
  </si>
  <si>
    <t>Year</t>
  </si>
  <si>
    <t>Accumulated Dep. 31/12/19</t>
  </si>
  <si>
    <t>Unamortized Portion 31/12/2019</t>
  </si>
  <si>
    <t>Amortization 31/12/19</t>
  </si>
  <si>
    <t>2019 (TTM)</t>
  </si>
  <si>
    <t>R&amp;D Expenses</t>
  </si>
  <si>
    <t>VALUE OF RESEARCH ASSET</t>
  </si>
  <si>
    <t>AMORTIZATION OF R&amp;D</t>
  </si>
  <si>
    <t xml:space="preserve">Adjusted Non-Cash Working Capital </t>
  </si>
  <si>
    <t>Adjusted FCFF</t>
  </si>
  <si>
    <t>Adjusted CAPEX</t>
  </si>
  <si>
    <t>Exp. Growth</t>
  </si>
  <si>
    <t>EBIT (1-tax rate)</t>
  </si>
  <si>
    <t>Reinvestment Needs</t>
  </si>
  <si>
    <t>PV FCFF</t>
  </si>
  <si>
    <t>Sum of PV FCFF</t>
  </si>
  <si>
    <t>Reinvestment Rate</t>
  </si>
  <si>
    <t>High Growth</t>
  </si>
  <si>
    <t>WACC STABLE</t>
  </si>
  <si>
    <r>
      <t xml:space="preserve">ROIC </t>
    </r>
    <r>
      <rPr>
        <sz val="8"/>
        <color theme="1"/>
        <rFont val="Calibri"/>
        <family val="2"/>
        <scheme val="minor"/>
      </rPr>
      <t>STABLE</t>
    </r>
    <r>
      <rPr>
        <sz val="11"/>
        <color theme="1"/>
        <rFont val="Calibri"/>
        <family val="2"/>
        <scheme val="minor"/>
      </rPr>
      <t xml:space="preserve"> = WACC </t>
    </r>
    <r>
      <rPr>
        <sz val="8"/>
        <color theme="1"/>
        <rFont val="Calibri"/>
        <family val="2"/>
        <scheme val="minor"/>
      </rPr>
      <t>STABLE</t>
    </r>
  </si>
  <si>
    <r>
      <t xml:space="preserve">Reinvestment Rate </t>
    </r>
    <r>
      <rPr>
        <sz val="8"/>
        <color theme="1"/>
        <rFont val="Calibri"/>
        <family val="2"/>
        <scheme val="minor"/>
      </rPr>
      <t>STABLE</t>
    </r>
  </si>
  <si>
    <r>
      <t xml:space="preserve">Growth rate </t>
    </r>
    <r>
      <rPr>
        <sz val="8"/>
        <color theme="1"/>
        <rFont val="Calibri"/>
        <family val="2"/>
        <scheme val="minor"/>
      </rPr>
      <t>STABLE</t>
    </r>
  </si>
  <si>
    <t>New β</t>
  </si>
  <si>
    <t>KE STABLE</t>
  </si>
  <si>
    <t xml:space="preserve">EBIT (1-tax rate) 6th year </t>
  </si>
  <si>
    <t>FCFF 6th year</t>
  </si>
  <si>
    <t>PV Terminal Value</t>
  </si>
  <si>
    <t>/ #share</t>
  </si>
  <si>
    <t>Value per share</t>
  </si>
  <si>
    <t>Enterprise Value</t>
  </si>
  <si>
    <t>Intrinsic Value of Firm</t>
  </si>
  <si>
    <t>Investments</t>
  </si>
  <si>
    <t>P/BV Ratio</t>
  </si>
  <si>
    <t>Market Value of Investments</t>
  </si>
  <si>
    <t>Value per Share</t>
  </si>
  <si>
    <t>Current Stock Price</t>
  </si>
  <si>
    <t>&lt;</t>
  </si>
  <si>
    <t>SELL</t>
  </si>
  <si>
    <t>Weighed CRP</t>
  </si>
  <si>
    <t>For example, I have combined the revenues of Japan and China with those of Asia &amp; Pacific, and South America with Others.</t>
  </si>
  <si>
    <t>To estimate the CRP, I aggregated and averaged some consolidates sales, taken from annual report (2019).</t>
  </si>
  <si>
    <t>Of course, I also averaged the CRPs of each countries, taken from the table on the Damodaran website.</t>
  </si>
  <si>
    <t>Other*</t>
  </si>
  <si>
    <t xml:space="preserve"> *I have preferred to distribute value of "OTHER" over the years 'cause </t>
  </si>
  <si>
    <t>the effective debt date is not specified, and is a fairly low value.</t>
  </si>
  <si>
    <t>Other (each of 4 periods)</t>
  </si>
  <si>
    <t>Other (total value)</t>
  </si>
  <si>
    <t>Current EBIT (TTM)</t>
  </si>
  <si>
    <t>Current Interest Expense (TTM)</t>
  </si>
  <si>
    <t>SENIOR NOTES</t>
  </si>
  <si>
    <t>Cost of Debt (KD)</t>
  </si>
  <si>
    <t>R&amp;D Exp.</t>
  </si>
  <si>
    <t>RESEARCH AND DEVELOPMENT</t>
  </si>
  <si>
    <t>WC as % of revenues (average)</t>
  </si>
  <si>
    <t>Value of Operating Assets</t>
  </si>
  <si>
    <t>EQUITY SIDE VALUATION</t>
  </si>
  <si>
    <t>Sector</t>
  </si>
  <si>
    <t>Securities exchange</t>
  </si>
  <si>
    <t>Website</t>
  </si>
  <si>
    <t>merck.com</t>
  </si>
  <si>
    <t>NYSE:MRK</t>
  </si>
  <si>
    <t>Quartier 31/03/2020</t>
  </si>
  <si>
    <t>Drugs (Pharmaceutical)</t>
  </si>
  <si>
    <t>I preferred not to normalize the values of CAPEX and D&amp;A to reduce the gap in the calculation of Net Capex.</t>
  </si>
  <si>
    <t>In fact, during the last years, D&amp;A values always exceed those of the Capital Expenditure.</t>
  </si>
  <si>
    <t>I take in consideration only the acquisition of 2019 because there is a big gap compared to previous years</t>
  </si>
  <si>
    <t>due to the important acquisitions made during the last year.</t>
  </si>
  <si>
    <t>I set a new beta of 0,8 in relation to the fact that the forecast of future growth of this value is very unlikely and, usually,</t>
  </si>
  <si>
    <t>during this operation is taken into consideration a value between 0.8 and 1.2 (so I preferred the least).</t>
  </si>
  <si>
    <t>To determine the Terminal Value, I re-estimated WACC, starting from the CAPM formula to find the new cost of equity (KE).</t>
  </si>
  <si>
    <t>a period of high growth followed by one of perpetual stable growth.</t>
  </si>
  <si>
    <r>
      <t xml:space="preserve">As growth pattern, I use </t>
    </r>
    <r>
      <rPr>
        <b/>
        <sz val="10"/>
        <color theme="1"/>
        <rFont val="Calibri"/>
        <family val="2"/>
        <scheme val="minor"/>
      </rPr>
      <t>Two-Stage Model</t>
    </r>
    <r>
      <rPr>
        <sz val="10"/>
        <color theme="1"/>
        <rFont val="Calibri"/>
        <family val="2"/>
        <scheme val="minor"/>
      </rPr>
      <t xml:space="preserve">: </t>
    </r>
  </si>
  <si>
    <t>Book Value per Share</t>
  </si>
  <si>
    <t>It's highly recommended to sell.</t>
  </si>
  <si>
    <r>
      <t xml:space="preserve">In fact, using </t>
    </r>
    <r>
      <rPr>
        <i/>
        <sz val="10"/>
        <color theme="1"/>
        <rFont val="Calibri"/>
        <family val="2"/>
        <scheme val="minor"/>
      </rPr>
      <t>Bottom Up Method</t>
    </r>
    <r>
      <rPr>
        <sz val="10"/>
        <color theme="1"/>
        <rFont val="Calibri"/>
        <family val="2"/>
        <scheme val="minor"/>
      </rPr>
      <t xml:space="preserve">, the value of Levered Beta results too high if compared to values of </t>
    </r>
  </si>
  <si>
    <t>historical betas of Merck&amp;Co. and KE it may look different than it actually is.</t>
  </si>
  <si>
    <t xml:space="preserve">Source: DAMODARAN </t>
  </si>
  <si>
    <t>Quartier 31/03/2019</t>
  </si>
  <si>
    <t>Annual 31/12/2019</t>
  </si>
  <si>
    <t>To calculate the cost of equity I preferred to set the β (5Y Monthly) taken from the Yahoo! Finance.</t>
  </si>
  <si>
    <t>EBIT (TTM)</t>
  </si>
  <si>
    <t>R&amp;D Expenses (TTM)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</si>
</sst>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rgb="FFDEEAF6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rgb="FFBDD6EE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rgb="FF2473B9"/>
      </patternFill>
    </fill>
    <fill>
      <patternFill patternType="solid">
        <fgColor theme="4" tint="0.39997558519241921"/>
        <bgColor rgb="FF2E75B5"/>
      </patternFill>
    </fill>
    <fill>
      <patternFill patternType="solid">
        <fgColor theme="4"/>
        <bgColor rgb="FFD8D8D8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2E75B5"/>
      </patternFill>
    </fill>
    <fill>
      <patternFill patternType="solid">
        <fgColor theme="8" tint="0.59999389629810485"/>
        <bgColor rgb="FF2E75B5"/>
      </patternFill>
    </fill>
    <fill>
      <patternFill patternType="solid">
        <fgColor theme="8" tint="0.59999389629810485"/>
        <bgColor rgb="FFDEEAF6"/>
      </patternFill>
    </fill>
    <fill>
      <patternFill patternType="solid">
        <fgColor theme="8" tint="0.59999389629810485"/>
        <bgColor rgb="FFBDD6EE"/>
      </patternFill>
    </fill>
    <fill>
      <patternFill patternType="solid">
        <fgColor theme="8" tint="0.39997558519241921"/>
        <bgColor rgb="FF2E75B5"/>
      </patternFill>
    </fill>
    <fill>
      <patternFill patternType="solid">
        <fgColor theme="4"/>
        <bgColor rgb="FF2E75B5"/>
      </patternFill>
    </fill>
    <fill>
      <patternFill patternType="solid">
        <fgColor theme="4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/>
    <xf numFmtId="2" fontId="0" fillId="3" borderId="47" xfId="0" applyNumberForma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3" xfId="0" applyNumberFormat="1" applyFill="1" applyBorder="1"/>
    <xf numFmtId="0" fontId="0" fillId="4" borderId="3" xfId="0" applyNumberFormat="1" applyFill="1" applyBorder="1"/>
    <xf numFmtId="0" fontId="0" fillId="6" borderId="41" xfId="0" applyFill="1" applyBorder="1"/>
    <xf numFmtId="0" fontId="10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7" borderId="17" xfId="0" applyNumberFormat="1" applyFont="1" applyFill="1" applyBorder="1" applyAlignment="1">
      <alignment horizontal="center"/>
    </xf>
    <xf numFmtId="0" fontId="9" fillId="7" borderId="46" xfId="0" applyNumberFormat="1" applyFont="1" applyFill="1" applyBorder="1" applyAlignment="1">
      <alignment horizontal="center"/>
    </xf>
    <xf numFmtId="0" fontId="9" fillId="7" borderId="5" xfId="0" applyNumberFormat="1" applyFont="1" applyFill="1" applyBorder="1" applyAlignment="1">
      <alignment horizontal="center" vertical="center"/>
    </xf>
    <xf numFmtId="0" fontId="9" fillId="7" borderId="34" xfId="0" applyNumberFormat="1" applyFont="1" applyFill="1" applyBorder="1" applyAlignment="1">
      <alignment horizontal="center"/>
    </xf>
    <xf numFmtId="0" fontId="9" fillId="7" borderId="42" xfId="0" applyNumberFormat="1" applyFont="1" applyFill="1" applyBorder="1" applyAlignment="1">
      <alignment horizontal="center"/>
    </xf>
    <xf numFmtId="0" fontId="0" fillId="4" borderId="52" xfId="0" applyNumberFormat="1" applyFill="1" applyBorder="1"/>
    <xf numFmtId="10" fontId="4" fillId="7" borderId="15" xfId="0" applyNumberFormat="1" applyFont="1" applyFill="1" applyBorder="1"/>
    <xf numFmtId="0" fontId="0" fillId="7" borderId="6" xfId="0" applyNumberFormat="1" applyFill="1" applyBorder="1"/>
    <xf numFmtId="0" fontId="0" fillId="8" borderId="8" xfId="0" applyFill="1" applyBorder="1"/>
    <xf numFmtId="0" fontId="0" fillId="8" borderId="10" xfId="0" applyFill="1" applyBorder="1"/>
    <xf numFmtId="0" fontId="10" fillId="5" borderId="5" xfId="0" applyFont="1" applyFill="1" applyBorder="1" applyAlignment="1">
      <alignment vertical="center"/>
    </xf>
    <xf numFmtId="164" fontId="0" fillId="6" borderId="11" xfId="0" applyNumberFormat="1" applyFill="1" applyBorder="1"/>
    <xf numFmtId="164" fontId="0" fillId="6" borderId="13" xfId="0" applyNumberFormat="1" applyFill="1" applyBorder="1"/>
    <xf numFmtId="0" fontId="0" fillId="9" borderId="0" xfId="0" applyFill="1" applyBorder="1"/>
    <xf numFmtId="17" fontId="7" fillId="0" borderId="0" xfId="0" applyNumberFormat="1" applyFont="1" applyAlignment="1">
      <alignment horizontal="left"/>
    </xf>
    <xf numFmtId="10" fontId="0" fillId="0" borderId="0" xfId="0" applyNumberFormat="1"/>
    <xf numFmtId="10" fontId="0" fillId="3" borderId="40" xfId="0" applyNumberFormat="1" applyFill="1" applyBorder="1"/>
    <xf numFmtId="3" fontId="0" fillId="0" borderId="0" xfId="0" applyNumberFormat="1"/>
    <xf numFmtId="0" fontId="11" fillId="5" borderId="6" xfId="0" applyFont="1" applyFill="1" applyBorder="1" applyAlignment="1">
      <alignment horizontal="left"/>
    </xf>
    <xf numFmtId="0" fontId="0" fillId="5" borderId="17" xfId="0" applyFill="1" applyBorder="1"/>
    <xf numFmtId="164" fontId="0" fillId="6" borderId="31" xfId="0" applyNumberFormat="1" applyFill="1" applyBorder="1"/>
    <xf numFmtId="10" fontId="0" fillId="6" borderId="22" xfId="0" applyNumberFormat="1" applyFill="1" applyBorder="1"/>
    <xf numFmtId="10" fontId="0" fillId="6" borderId="47" xfId="0" applyNumberForma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  <xf numFmtId="10" fontId="0" fillId="3" borderId="47" xfId="0" applyNumberFormat="1" applyFill="1" applyBorder="1"/>
    <xf numFmtId="10" fontId="3" fillId="7" borderId="5" xfId="2" applyNumberFormat="1" applyFont="1" applyFill="1" applyBorder="1" applyAlignment="1">
      <alignment vertical="center"/>
    </xf>
    <xf numFmtId="10" fontId="0" fillId="3" borderId="47" xfId="1" applyNumberFormat="1" applyFont="1" applyFill="1" applyBorder="1"/>
    <xf numFmtId="10" fontId="9" fillId="3" borderId="41" xfId="1" applyNumberFormat="1" applyFont="1" applyFill="1" applyBorder="1"/>
    <xf numFmtId="0" fontId="2" fillId="5" borderId="5" xfId="0" applyFont="1" applyFill="1" applyBorder="1" applyAlignment="1">
      <alignment horizontal="center" vertical="center"/>
    </xf>
    <xf numFmtId="164" fontId="0" fillId="6" borderId="40" xfId="0" applyNumberFormat="1" applyFill="1" applyBorder="1"/>
    <xf numFmtId="164" fontId="0" fillId="6" borderId="47" xfId="0" applyNumberFormat="1" applyFill="1" applyBorder="1"/>
    <xf numFmtId="164" fontId="0" fillId="6" borderId="9" xfId="0" applyNumberFormat="1" applyFont="1" applyFill="1" applyBorder="1"/>
    <xf numFmtId="164" fontId="0" fillId="6" borderId="11" xfId="0" applyNumberFormat="1" applyFont="1" applyFill="1" applyBorder="1"/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0" xfId="0" applyFill="1"/>
    <xf numFmtId="164" fontId="4" fillId="6" borderId="25" xfId="0" applyNumberFormat="1" applyFont="1" applyFill="1" applyBorder="1"/>
    <xf numFmtId="10" fontId="4" fillId="6" borderId="50" xfId="0" applyNumberFormat="1" applyFont="1" applyFill="1" applyBorder="1"/>
    <xf numFmtId="10" fontId="4" fillId="6" borderId="19" xfId="0" applyNumberFormat="1" applyFont="1" applyFill="1" applyBorder="1"/>
    <xf numFmtId="0" fontId="4" fillId="6" borderId="19" xfId="0" applyNumberFormat="1" applyFont="1" applyFill="1" applyBorder="1"/>
    <xf numFmtId="164" fontId="4" fillId="6" borderId="19" xfId="0" applyNumberFormat="1" applyFont="1" applyFill="1" applyBorder="1"/>
    <xf numFmtId="10" fontId="4" fillId="6" borderId="51" xfId="0" applyNumberFormat="1" applyFont="1" applyFill="1" applyBorder="1"/>
    <xf numFmtId="164" fontId="4" fillId="6" borderId="35" xfId="0" applyNumberFormat="1" applyFont="1" applyFill="1" applyBorder="1"/>
    <xf numFmtId="10" fontId="4" fillId="6" borderId="48" xfId="0" applyNumberFormat="1" applyFont="1" applyFill="1" applyBorder="1"/>
    <xf numFmtId="0" fontId="4" fillId="6" borderId="35" xfId="0" applyNumberFormat="1" applyFont="1" applyFill="1" applyBorder="1"/>
    <xf numFmtId="164" fontId="9" fillId="7" borderId="14" xfId="0" applyNumberFormat="1" applyFont="1" applyFill="1" applyBorder="1"/>
    <xf numFmtId="0" fontId="0" fillId="10" borderId="6" xfId="0" applyFill="1" applyBorder="1"/>
    <xf numFmtId="0" fontId="0" fillId="10" borderId="53" xfId="0" applyFill="1" applyBorder="1"/>
    <xf numFmtId="0" fontId="0" fillId="10" borderId="7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4" xfId="0" applyFill="1" applyBorder="1"/>
    <xf numFmtId="0" fontId="0" fillId="10" borderId="15" xfId="0" applyFill="1" applyBorder="1"/>
    <xf numFmtId="0" fontId="11" fillId="5" borderId="1" xfId="0" applyFont="1" applyFill="1" applyBorder="1"/>
    <xf numFmtId="0" fontId="10" fillId="5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164" fontId="0" fillId="6" borderId="16" xfId="0" applyNumberFormat="1" applyFill="1" applyBorder="1"/>
    <xf numFmtId="10" fontId="0" fillId="6" borderId="11" xfId="0" applyNumberFormat="1" applyFill="1" applyBorder="1"/>
    <xf numFmtId="10" fontId="0" fillId="6" borderId="13" xfId="0" applyNumberFormat="1" applyFill="1" applyBorder="1"/>
    <xf numFmtId="0" fontId="9" fillId="4" borderId="8" xfId="0" applyFont="1" applyFill="1" applyBorder="1"/>
    <xf numFmtId="0" fontId="0" fillId="4" borderId="21" xfId="0" applyFill="1" applyBorder="1"/>
    <xf numFmtId="0" fontId="0" fillId="4" borderId="12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10" xfId="0" applyFill="1" applyBorder="1"/>
    <xf numFmtId="3" fontId="0" fillId="4" borderId="19" xfId="0" applyNumberFormat="1" applyFill="1" applyBorder="1"/>
    <xf numFmtId="0" fontId="0" fillId="4" borderId="19" xfId="0" applyFill="1" applyBorder="1"/>
    <xf numFmtId="0" fontId="0" fillId="4" borderId="10" xfId="0" applyFill="1" applyBorder="1" applyAlignment="1">
      <alignment horizontal="left"/>
    </xf>
    <xf numFmtId="0" fontId="0" fillId="4" borderId="19" xfId="0" applyFill="1" applyBorder="1" applyAlignment="1">
      <alignment horizontal="right"/>
    </xf>
    <xf numFmtId="0" fontId="0" fillId="4" borderId="12" xfId="0" applyFill="1" applyBorder="1" applyAlignment="1">
      <alignment horizontal="left"/>
    </xf>
    <xf numFmtId="0" fontId="0" fillId="4" borderId="20" xfId="0" applyFill="1" applyBorder="1" applyAlignment="1">
      <alignment horizontal="right"/>
    </xf>
    <xf numFmtId="0" fontId="0" fillId="4" borderId="20" xfId="0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12" xfId="0" applyFont="1" applyFill="1" applyBorder="1"/>
    <xf numFmtId="10" fontId="4" fillId="6" borderId="11" xfId="2" applyNumberFormat="1" applyFont="1" applyFill="1" applyBorder="1"/>
    <xf numFmtId="10" fontId="1" fillId="6" borderId="11" xfId="2" applyNumberFormat="1" applyFont="1" applyFill="1" applyBorder="1"/>
    <xf numFmtId="0" fontId="0" fillId="6" borderId="0" xfId="0" applyFill="1"/>
    <xf numFmtId="0" fontId="0" fillId="6" borderId="19" xfId="0" applyFill="1" applyBorder="1"/>
    <xf numFmtId="0" fontId="20" fillId="6" borderId="0" xfId="0" applyFont="1" applyFill="1"/>
    <xf numFmtId="0" fontId="0" fillId="9" borderId="0" xfId="0" applyFill="1"/>
    <xf numFmtId="164" fontId="0" fillId="6" borderId="19" xfId="0" applyNumberFormat="1" applyFill="1" applyBorder="1"/>
    <xf numFmtId="164" fontId="9" fillId="6" borderId="15" xfId="0" applyNumberFormat="1" applyFont="1" applyFill="1" applyBorder="1"/>
    <xf numFmtId="44" fontId="9" fillId="8" borderId="17" xfId="0" applyNumberFormat="1" applyFont="1" applyFill="1" applyBorder="1"/>
    <xf numFmtId="0" fontId="5" fillId="5" borderId="1" xfId="0" applyFont="1" applyFill="1" applyBorder="1" applyAlignment="1">
      <alignment vertical="center"/>
    </xf>
    <xf numFmtId="0" fontId="0" fillId="8" borderId="49" xfId="0" applyFill="1" applyBorder="1"/>
    <xf numFmtId="0" fontId="0" fillId="8" borderId="47" xfId="0" applyFill="1" applyBorder="1"/>
    <xf numFmtId="0" fontId="0" fillId="8" borderId="41" xfId="0" applyFill="1" applyBorder="1"/>
    <xf numFmtId="0" fontId="0" fillId="7" borderId="5" xfId="0" applyFill="1" applyBorder="1"/>
    <xf numFmtId="0" fontId="0" fillId="7" borderId="17" xfId="0" applyFill="1" applyBorder="1"/>
    <xf numFmtId="0" fontId="0" fillId="7" borderId="14" xfId="0" applyFill="1" applyBorder="1"/>
    <xf numFmtId="0" fontId="0" fillId="7" borderId="15" xfId="0" applyFill="1" applyBorder="1"/>
    <xf numFmtId="164" fontId="0" fillId="6" borderId="21" xfId="0" applyNumberFormat="1" applyFill="1" applyBorder="1"/>
    <xf numFmtId="0" fontId="0" fillId="6" borderId="25" xfId="0" applyFill="1" applyBorder="1"/>
    <xf numFmtId="10" fontId="0" fillId="6" borderId="25" xfId="0" applyNumberFormat="1" applyFill="1" applyBorder="1"/>
    <xf numFmtId="0" fontId="0" fillId="6" borderId="22" xfId="0" applyFill="1" applyBorder="1"/>
    <xf numFmtId="164" fontId="0" fillId="6" borderId="10" xfId="0" applyNumberFormat="1" applyFill="1" applyBorder="1"/>
    <xf numFmtId="10" fontId="0" fillId="6" borderId="19" xfId="0" applyNumberFormat="1" applyFill="1" applyBorder="1"/>
    <xf numFmtId="0" fontId="0" fillId="6" borderId="11" xfId="0" applyFill="1" applyBorder="1"/>
    <xf numFmtId="0" fontId="0" fillId="6" borderId="35" xfId="0" applyFill="1" applyBorder="1"/>
    <xf numFmtId="10" fontId="0" fillId="6" borderId="35" xfId="0" applyNumberFormat="1" applyFill="1" applyBorder="1"/>
    <xf numFmtId="0" fontId="0" fillId="6" borderId="30" xfId="0" applyFill="1" applyBorder="1"/>
    <xf numFmtId="164" fontId="0" fillId="6" borderId="4" xfId="0" applyNumberFormat="1" applyFill="1" applyBorder="1"/>
    <xf numFmtId="0" fontId="0" fillId="6" borderId="20" xfId="0" applyFill="1" applyBorder="1"/>
    <xf numFmtId="10" fontId="0" fillId="6" borderId="20" xfId="0" applyNumberFormat="1" applyFill="1" applyBorder="1"/>
    <xf numFmtId="0" fontId="0" fillId="6" borderId="13" xfId="0" applyFill="1" applyBorder="1"/>
    <xf numFmtId="164" fontId="0" fillId="6" borderId="25" xfId="0" applyNumberFormat="1" applyFill="1" applyBorder="1"/>
    <xf numFmtId="164" fontId="0" fillId="6" borderId="22" xfId="0" applyNumberFormat="1" applyFill="1" applyBorder="1"/>
    <xf numFmtId="0" fontId="0" fillId="8" borderId="21" xfId="0" applyFill="1" applyBorder="1"/>
    <xf numFmtId="164" fontId="11" fillId="7" borderId="5" xfId="2" applyNumberFormat="1" applyFont="1" applyFill="1" applyBorder="1"/>
    <xf numFmtId="164" fontId="0" fillId="7" borderId="5" xfId="0" applyNumberFormat="1" applyFill="1" applyBorder="1"/>
    <xf numFmtId="0" fontId="3" fillId="7" borderId="5" xfId="2" applyFont="1" applyFill="1" applyBorder="1"/>
    <xf numFmtId="164" fontId="0" fillId="6" borderId="9" xfId="0" applyNumberFormat="1" applyFill="1" applyBorder="1"/>
    <xf numFmtId="0" fontId="0" fillId="4" borderId="43" xfId="0" applyFill="1" applyBorder="1"/>
    <xf numFmtId="10" fontId="0" fillId="6" borderId="40" xfId="1" applyNumberFormat="1" applyFont="1" applyFill="1" applyBorder="1"/>
    <xf numFmtId="0" fontId="0" fillId="6" borderId="47" xfId="0" applyFill="1" applyBorder="1"/>
    <xf numFmtId="164" fontId="0" fillId="6" borderId="35" xfId="0" applyNumberFormat="1" applyFill="1" applyBorder="1"/>
    <xf numFmtId="164" fontId="0" fillId="6" borderId="20" xfId="0" applyNumberFormat="1" applyFill="1" applyBorder="1"/>
    <xf numFmtId="0" fontId="9" fillId="4" borderId="17" xfId="0" applyFont="1" applyFill="1" applyBorder="1"/>
    <xf numFmtId="0" fontId="0" fillId="4" borderId="29" xfId="0" applyFill="1" applyBorder="1"/>
    <xf numFmtId="0" fontId="9" fillId="7" borderId="17" xfId="0" applyFont="1" applyFill="1" applyBorder="1"/>
    <xf numFmtId="16" fontId="9" fillId="7" borderId="14" xfId="0" applyNumberFormat="1" applyFont="1" applyFill="1" applyBorder="1"/>
    <xf numFmtId="14" fontId="9" fillId="7" borderId="46" xfId="0" applyNumberFormat="1" applyFont="1" applyFill="1" applyBorder="1"/>
    <xf numFmtId="0" fontId="9" fillId="10" borderId="5" xfId="0" applyFont="1" applyFill="1" applyBorder="1"/>
    <xf numFmtId="164" fontId="0" fillId="6" borderId="50" xfId="0" applyNumberFormat="1" applyFill="1" applyBorder="1"/>
    <xf numFmtId="164" fontId="0" fillId="6" borderId="51" xfId="0" applyNumberFormat="1" applyFill="1" applyBorder="1"/>
    <xf numFmtId="164" fontId="0" fillId="6" borderId="61" xfId="0" applyNumberFormat="1" applyFill="1" applyBorder="1"/>
    <xf numFmtId="164" fontId="9" fillId="8" borderId="49" xfId="0" applyNumberFormat="1" applyFont="1" applyFill="1" applyBorder="1"/>
    <xf numFmtId="164" fontId="9" fillId="8" borderId="62" xfId="0" applyNumberFormat="1" applyFont="1" applyFill="1" applyBorder="1"/>
    <xf numFmtId="164" fontId="9" fillId="8" borderId="41" xfId="0" applyNumberFormat="1" applyFont="1" applyFill="1" applyBorder="1"/>
    <xf numFmtId="10" fontId="9" fillId="4" borderId="9" xfId="0" applyNumberFormat="1" applyFont="1" applyFill="1" applyBorder="1"/>
    <xf numFmtId="0" fontId="0" fillId="4" borderId="10" xfId="0" applyFont="1" applyFill="1" applyBorder="1"/>
    <xf numFmtId="0" fontId="0" fillId="4" borderId="8" xfId="0" applyFont="1" applyFill="1" applyBorder="1"/>
    <xf numFmtId="0" fontId="20" fillId="4" borderId="0" xfId="0" applyFont="1" applyFill="1"/>
    <xf numFmtId="0" fontId="13" fillId="4" borderId="0" xfId="0" applyFont="1" applyFill="1"/>
    <xf numFmtId="0" fontId="20" fillId="4" borderId="0" xfId="0" quotePrefix="1" applyFont="1" applyFill="1"/>
    <xf numFmtId="10" fontId="6" fillId="14" borderId="19" xfId="0" applyNumberFormat="1" applyFont="1" applyFill="1" applyBorder="1" applyAlignment="1">
      <alignment horizontal="center"/>
    </xf>
    <xf numFmtId="10" fontId="6" fillId="15" borderId="19" xfId="0" applyNumberFormat="1" applyFont="1" applyFill="1" applyBorder="1" applyAlignment="1">
      <alignment horizontal="center"/>
    </xf>
    <xf numFmtId="0" fontId="16" fillId="16" borderId="19" xfId="0" applyFont="1" applyFill="1" applyBorder="1" applyAlignment="1">
      <alignment horizontal="center"/>
    </xf>
    <xf numFmtId="164" fontId="16" fillId="17" borderId="16" xfId="0" applyNumberFormat="1" applyFont="1" applyFill="1" applyBorder="1" applyAlignment="1">
      <alignment horizontal="center"/>
    </xf>
    <xf numFmtId="164" fontId="16" fillId="18" borderId="16" xfId="0" applyNumberFormat="1" applyFont="1" applyFill="1" applyBorder="1" applyAlignment="1">
      <alignment horizontal="center"/>
    </xf>
    <xf numFmtId="0" fontId="16" fillId="16" borderId="10" xfId="0" applyFont="1" applyFill="1" applyBorder="1"/>
    <xf numFmtId="0" fontId="16" fillId="16" borderId="11" xfId="0" applyFont="1" applyFill="1" applyBorder="1" applyAlignment="1">
      <alignment horizontal="center"/>
    </xf>
    <xf numFmtId="164" fontId="6" fillId="14" borderId="11" xfId="0" applyNumberFormat="1" applyFont="1" applyFill="1" applyBorder="1" applyAlignment="1">
      <alignment horizontal="center"/>
    </xf>
    <xf numFmtId="164" fontId="6" fillId="15" borderId="11" xfId="0" applyNumberFormat="1" applyFont="1" applyFill="1" applyBorder="1" applyAlignment="1">
      <alignment horizontal="center"/>
    </xf>
    <xf numFmtId="10" fontId="6" fillId="15" borderId="20" xfId="0" applyNumberFormat="1" applyFont="1" applyFill="1" applyBorder="1" applyAlignment="1">
      <alignment horizontal="center"/>
    </xf>
    <xf numFmtId="164" fontId="6" fillId="15" borderId="13" xfId="0" applyNumberFormat="1" applyFont="1" applyFill="1" applyBorder="1" applyAlignment="1">
      <alignment horizontal="center"/>
    </xf>
    <xf numFmtId="0" fontId="16" fillId="16" borderId="10" xfId="0" applyFont="1" applyFill="1" applyBorder="1" applyAlignment="1">
      <alignment horizontal="center"/>
    </xf>
    <xf numFmtId="10" fontId="6" fillId="14" borderId="10" xfId="0" applyNumberFormat="1" applyFont="1" applyFill="1" applyBorder="1" applyAlignment="1">
      <alignment horizontal="center"/>
    </xf>
    <xf numFmtId="10" fontId="6" fillId="15" borderId="10" xfId="0" applyNumberFormat="1" applyFont="1" applyFill="1" applyBorder="1" applyAlignment="1">
      <alignment horizontal="center"/>
    </xf>
    <xf numFmtId="10" fontId="6" fillId="15" borderId="12" xfId="0" applyNumberFormat="1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6" borderId="3" xfId="0" applyFont="1" applyFill="1" applyBorder="1"/>
    <xf numFmtId="0" fontId="15" fillId="12" borderId="3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16" fillId="11" borderId="8" xfId="0" applyFont="1" applyFill="1" applyBorder="1"/>
    <xf numFmtId="164" fontId="6" fillId="14" borderId="10" xfId="0" applyNumberFormat="1" applyFont="1" applyFill="1" applyBorder="1" applyAlignment="1">
      <alignment horizontal="center"/>
    </xf>
    <xf numFmtId="164" fontId="6" fillId="15" borderId="10" xfId="0" applyNumberFormat="1" applyFont="1" applyFill="1" applyBorder="1" applyAlignment="1">
      <alignment horizontal="center"/>
    </xf>
    <xf numFmtId="164" fontId="6" fillId="15" borderId="12" xfId="0" applyNumberFormat="1" applyFont="1" applyFill="1" applyBorder="1" applyAlignment="1">
      <alignment horizontal="center"/>
    </xf>
    <xf numFmtId="0" fontId="11" fillId="5" borderId="5" xfId="0" applyFont="1" applyFill="1" applyBorder="1"/>
    <xf numFmtId="0" fontId="11" fillId="5" borderId="5" xfId="0" applyFont="1" applyFill="1" applyBorder="1" applyAlignment="1">
      <alignment horizontal="left"/>
    </xf>
    <xf numFmtId="0" fontId="0" fillId="5" borderId="15" xfId="0" applyFill="1" applyBorder="1"/>
    <xf numFmtId="164" fontId="0" fillId="6" borderId="63" xfId="0" applyNumberFormat="1" applyFill="1" applyBorder="1"/>
    <xf numFmtId="0" fontId="11" fillId="5" borderId="6" xfId="0" applyFont="1" applyFill="1" applyBorder="1"/>
    <xf numFmtId="10" fontId="0" fillId="6" borderId="44" xfId="0" applyNumberFormat="1" applyFill="1" applyBorder="1"/>
    <xf numFmtId="164" fontId="0" fillId="6" borderId="45" xfId="0" applyNumberFormat="1" applyFill="1" applyBorder="1"/>
    <xf numFmtId="0" fontId="9" fillId="7" borderId="31" xfId="0" applyFont="1" applyFill="1" applyBorder="1" applyAlignment="1">
      <alignment horizontal="left" vertical="center"/>
    </xf>
    <xf numFmtId="0" fontId="9" fillId="7" borderId="63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10" xfId="0" applyFill="1" applyBorder="1"/>
    <xf numFmtId="0" fontId="0" fillId="7" borderId="12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52" xfId="0" applyFill="1" applyBorder="1"/>
    <xf numFmtId="0" fontId="9" fillId="7" borderId="4" xfId="0" applyFont="1" applyFill="1" applyBorder="1" applyAlignment="1">
      <alignment horizontal="left" vertical="center"/>
    </xf>
    <xf numFmtId="0" fontId="9" fillId="7" borderId="36" xfId="0" applyFont="1" applyFill="1" applyBorder="1" applyAlignment="1">
      <alignment horizontal="left" vertical="center"/>
    </xf>
    <xf numFmtId="0" fontId="9" fillId="7" borderId="42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/>
    </xf>
    <xf numFmtId="0" fontId="0" fillId="7" borderId="24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45" xfId="0" applyFill="1" applyBorder="1" applyAlignment="1">
      <alignment horizontal="left"/>
    </xf>
    <xf numFmtId="0" fontId="0" fillId="7" borderId="27" xfId="0" applyFill="1" applyBorder="1" applyAlignment="1">
      <alignment horizontal="left"/>
    </xf>
    <xf numFmtId="0" fontId="0" fillId="7" borderId="37" xfId="0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2" fillId="5" borderId="3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/>
    </xf>
    <xf numFmtId="0" fontId="0" fillId="7" borderId="26" xfId="0" applyFill="1" applyBorder="1" applyAlignment="1">
      <alignment horizontal="left"/>
    </xf>
    <xf numFmtId="0" fontId="0" fillId="7" borderId="37" xfId="0" applyFill="1" applyBorder="1" applyAlignment="1">
      <alignment horizontal="left"/>
    </xf>
    <xf numFmtId="164" fontId="0" fillId="6" borderId="9" xfId="0" applyNumberFormat="1" applyFill="1" applyBorder="1" applyAlignment="1">
      <alignment horizontal="left"/>
    </xf>
    <xf numFmtId="9" fontId="0" fillId="6" borderId="11" xfId="1" applyFont="1" applyFill="1" applyBorder="1" applyAlignment="1">
      <alignment horizontal="right"/>
    </xf>
    <xf numFmtId="164" fontId="0" fillId="6" borderId="62" xfId="0" applyNumberFormat="1" applyFill="1" applyBorder="1"/>
    <xf numFmtId="164" fontId="9" fillId="6" borderId="41" xfId="0" applyNumberFormat="1" applyFont="1" applyFill="1" applyBorder="1" applyAlignment="1">
      <alignment vertical="center"/>
    </xf>
    <xf numFmtId="164" fontId="9" fillId="4" borderId="5" xfId="0" applyNumberFormat="1" applyFont="1" applyFill="1" applyBorder="1" applyAlignment="1">
      <alignment horizontal="center" vertical="center"/>
    </xf>
    <xf numFmtId="164" fontId="0" fillId="6" borderId="26" xfId="0" applyNumberFormat="1" applyFill="1" applyBorder="1"/>
    <xf numFmtId="164" fontId="0" fillId="6" borderId="28" xfId="0" applyNumberFormat="1" applyFill="1" applyBorder="1"/>
    <xf numFmtId="9" fontId="0" fillId="6" borderId="37" xfId="1" applyFont="1" applyFill="1" applyBorder="1"/>
    <xf numFmtId="164" fontId="9" fillId="6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10" fontId="0" fillId="7" borderId="5" xfId="0" applyNumberFormat="1" applyFill="1" applyBorder="1"/>
    <xf numFmtId="0" fontId="6" fillId="20" borderId="8" xfId="0" applyFont="1" applyFill="1" applyBorder="1" applyAlignment="1">
      <alignment horizontal="left"/>
    </xf>
    <xf numFmtId="0" fontId="6" fillId="20" borderId="10" xfId="0" applyFont="1" applyFill="1" applyBorder="1"/>
    <xf numFmtId="0" fontId="6" fillId="21" borderId="10" xfId="0" applyFont="1" applyFill="1" applyBorder="1"/>
    <xf numFmtId="0" fontId="23" fillId="20" borderId="17" xfId="0" applyFont="1" applyFill="1" applyBorder="1"/>
    <xf numFmtId="0" fontId="22" fillId="22" borderId="31" xfId="0" applyFont="1" applyFill="1" applyBorder="1"/>
    <xf numFmtId="164" fontId="0" fillId="6" borderId="55" xfId="0" applyNumberFormat="1" applyFill="1" applyBorder="1"/>
    <xf numFmtId="164" fontId="0" fillId="6" borderId="11" xfId="1" applyNumberFormat="1" applyFont="1" applyFill="1" applyBorder="1"/>
    <xf numFmtId="9" fontId="0" fillId="6" borderId="13" xfId="1" applyFont="1" applyFill="1" applyBorder="1"/>
    <xf numFmtId="9" fontId="0" fillId="6" borderId="11" xfId="1" applyNumberFormat="1" applyFont="1" applyFill="1" applyBorder="1"/>
    <xf numFmtId="165" fontId="0" fillId="6" borderId="13" xfId="1" applyNumberFormat="1" applyFont="1" applyFill="1" applyBorder="1"/>
    <xf numFmtId="10" fontId="0" fillId="6" borderId="9" xfId="0" applyNumberFormat="1" applyFill="1" applyBorder="1"/>
    <xf numFmtId="10" fontId="0" fillId="6" borderId="11" xfId="1" applyNumberFormat="1" applyFont="1" applyFill="1" applyBorder="1"/>
    <xf numFmtId="165" fontId="6" fillId="14" borderId="18" xfId="0" applyNumberFormat="1" applyFont="1" applyFill="1" applyBorder="1" applyAlignment="1">
      <alignment horizontal="center"/>
    </xf>
    <xf numFmtId="165" fontId="6" fillId="14" borderId="9" xfId="0" applyNumberFormat="1" applyFont="1" applyFill="1" applyBorder="1" applyAlignment="1">
      <alignment horizontal="center"/>
    </xf>
    <xf numFmtId="0" fontId="16" fillId="15" borderId="19" xfId="0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/>
    </xf>
    <xf numFmtId="164" fontId="6" fillId="14" borderId="19" xfId="0" applyNumberFormat="1" applyFont="1" applyFill="1" applyBorder="1"/>
    <xf numFmtId="164" fontId="6" fillId="14" borderId="11" xfId="0" applyNumberFormat="1" applyFont="1" applyFill="1" applyBorder="1"/>
    <xf numFmtId="164" fontId="6" fillId="15" borderId="19" xfId="0" applyNumberFormat="1" applyFont="1" applyFill="1" applyBorder="1"/>
    <xf numFmtId="164" fontId="6" fillId="15" borderId="11" xfId="0" applyNumberFormat="1" applyFont="1" applyFill="1" applyBorder="1"/>
    <xf numFmtId="10" fontId="6" fillId="15" borderId="19" xfId="0" applyNumberFormat="1" applyFont="1" applyFill="1" applyBorder="1"/>
    <xf numFmtId="10" fontId="6" fillId="15" borderId="11" xfId="0" applyNumberFormat="1" applyFont="1" applyFill="1" applyBorder="1"/>
    <xf numFmtId="164" fontId="6" fillId="14" borderId="20" xfId="0" applyNumberFormat="1" applyFont="1" applyFill="1" applyBorder="1"/>
    <xf numFmtId="164" fontId="6" fillId="14" borderId="13" xfId="0" applyNumberFormat="1" applyFont="1" applyFill="1" applyBorder="1"/>
    <xf numFmtId="164" fontId="23" fillId="23" borderId="15" xfId="0" applyNumberFormat="1" applyFont="1" applyFill="1" applyBorder="1" applyAlignment="1">
      <alignment horizontal="right"/>
    </xf>
    <xf numFmtId="164" fontId="23" fillId="24" borderId="15" xfId="0" applyNumberFormat="1" applyFont="1" applyFill="1" applyBorder="1" applyAlignment="1">
      <alignment horizontal="center"/>
    </xf>
    <xf numFmtId="164" fontId="23" fillId="23" borderId="15" xfId="0" applyNumberFormat="1" applyFont="1" applyFill="1" applyBorder="1" applyAlignment="1">
      <alignment horizontal="center"/>
    </xf>
    <xf numFmtId="0" fontId="23" fillId="22" borderId="17" xfId="0" applyFont="1" applyFill="1" applyBorder="1"/>
    <xf numFmtId="0" fontId="6" fillId="20" borderId="12" xfId="0" applyFont="1" applyFill="1" applyBorder="1"/>
    <xf numFmtId="164" fontId="0" fillId="6" borderId="30" xfId="0" applyNumberFormat="1" applyFill="1" applyBorder="1"/>
    <xf numFmtId="0" fontId="6" fillId="24" borderId="10" xfId="0" applyFont="1" applyFill="1" applyBorder="1" applyAlignment="1">
      <alignment wrapText="1"/>
    </xf>
    <xf numFmtId="0" fontId="6" fillId="24" borderId="10" xfId="0" quotePrefix="1" applyFont="1" applyFill="1" applyBorder="1"/>
    <xf numFmtId="0" fontId="22" fillId="26" borderId="17" xfId="0" applyFont="1" applyFill="1" applyBorder="1"/>
    <xf numFmtId="2" fontId="23" fillId="18" borderId="7" xfId="0" applyNumberFormat="1" applyFont="1" applyFill="1" applyBorder="1"/>
    <xf numFmtId="0" fontId="6" fillId="25" borderId="29" xfId="0" applyFont="1" applyFill="1" applyBorder="1"/>
    <xf numFmtId="164" fontId="6" fillId="15" borderId="30" xfId="0" applyNumberFormat="1" applyFont="1" applyFill="1" applyBorder="1"/>
    <xf numFmtId="0" fontId="6" fillId="24" borderId="31" xfId="0" quotePrefix="1" applyFont="1" applyFill="1" applyBorder="1"/>
    <xf numFmtId="2" fontId="6" fillId="14" borderId="63" xfId="0" applyNumberFormat="1" applyFont="1" applyFill="1" applyBorder="1"/>
    <xf numFmtId="0" fontId="16" fillId="25" borderId="17" xfId="0" applyFont="1" applyFill="1" applyBorder="1"/>
    <xf numFmtId="164" fontId="6" fillId="15" borderId="15" xfId="0" applyNumberFormat="1" applyFont="1" applyFill="1" applyBorder="1"/>
    <xf numFmtId="0" fontId="22" fillId="27" borderId="60" xfId="0" applyFont="1" applyFill="1" applyBorder="1"/>
    <xf numFmtId="0" fontId="0" fillId="4" borderId="9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9" fillId="10" borderId="10" xfId="0" applyFont="1" applyFill="1" applyBorder="1"/>
    <xf numFmtId="0" fontId="9" fillId="10" borderId="8" xfId="0" applyFont="1" applyFill="1" applyBorder="1"/>
    <xf numFmtId="0" fontId="9" fillId="10" borderId="12" xfId="0" applyFont="1" applyFill="1" applyBorder="1"/>
    <xf numFmtId="164" fontId="24" fillId="6" borderId="33" xfId="2" applyNumberFormat="1" applyFont="1" applyFill="1" applyBorder="1" applyAlignment="1">
      <alignment horizontal="center" vertical="center"/>
    </xf>
    <xf numFmtId="164" fontId="0" fillId="6" borderId="25" xfId="0" applyNumberFormat="1" applyFont="1" applyFill="1" applyBorder="1"/>
    <xf numFmtId="164" fontId="0" fillId="6" borderId="14" xfId="0" applyNumberFormat="1" applyFill="1" applyBorder="1"/>
    <xf numFmtId="164" fontId="0" fillId="6" borderId="46" xfId="0" applyNumberFormat="1" applyFill="1" applyBorder="1"/>
    <xf numFmtId="164" fontId="9" fillId="8" borderId="5" xfId="0" applyNumberFormat="1" applyFont="1" applyFill="1" applyBorder="1"/>
    <xf numFmtId="10" fontId="0" fillId="6" borderId="9" xfId="1" applyNumberFormat="1" applyFont="1" applyFill="1" applyBorder="1"/>
    <xf numFmtId="9" fontId="0" fillId="6" borderId="13" xfId="0" applyNumberFormat="1" applyFill="1" applyBorder="1"/>
    <xf numFmtId="0" fontId="20" fillId="0" borderId="0" xfId="0" applyFont="1"/>
    <xf numFmtId="0" fontId="4" fillId="6" borderId="5" xfId="0" applyFont="1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20" fillId="4" borderId="0" xfId="0" applyNumberFormat="1" applyFont="1" applyFill="1" applyBorder="1"/>
    <xf numFmtId="0" fontId="7" fillId="6" borderId="0" xfId="0" applyFont="1" applyFill="1"/>
    <xf numFmtId="2" fontId="0" fillId="6" borderId="11" xfId="0" applyNumberFormat="1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left" vertical="center"/>
    </xf>
    <xf numFmtId="0" fontId="0" fillId="5" borderId="38" xfId="0" applyFill="1" applyBorder="1" applyAlignment="1">
      <alignment horizontal="left" vertical="center"/>
    </xf>
    <xf numFmtId="0" fontId="0" fillId="5" borderId="32" xfId="0" applyFill="1" applyBorder="1" applyAlignment="1">
      <alignment horizontal="left" vertical="center"/>
    </xf>
    <xf numFmtId="10" fontId="11" fillId="6" borderId="1" xfId="2" applyNumberFormat="1" applyFont="1" applyFill="1" applyBorder="1" applyAlignment="1">
      <alignment horizontal="center" vertical="center"/>
    </xf>
    <xf numFmtId="10" fontId="11" fillId="6" borderId="16" xfId="2" applyNumberFormat="1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/>
    </xf>
    <xf numFmtId="0" fontId="21" fillId="0" borderId="9" xfId="0" applyFont="1" applyBorder="1"/>
    <xf numFmtId="0" fontId="16" fillId="11" borderId="8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10" fillId="5" borderId="54" xfId="0" applyFont="1" applyFill="1" applyBorder="1" applyAlignment="1">
      <alignment horizontal="center" vertical="center"/>
    </xf>
    <xf numFmtId="0" fontId="0" fillId="7" borderId="36" xfId="0" applyFill="1" applyBorder="1" applyAlignment="1">
      <alignment horizontal="left"/>
    </xf>
    <xf numFmtId="0" fontId="0" fillId="7" borderId="32" xfId="0" applyFill="1" applyBorder="1" applyAlignment="1">
      <alignment horizontal="left"/>
    </xf>
    <xf numFmtId="0" fontId="0" fillId="7" borderId="36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7" borderId="37" xfId="0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0" fillId="4" borderId="58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11" fillId="5" borderId="6" xfId="0" applyFont="1" applyFill="1" applyBorder="1" applyAlignment="1">
      <alignment horizontal="center"/>
    </xf>
    <xf numFmtId="0" fontId="11" fillId="5" borderId="53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9" fillId="4" borderId="17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left"/>
    </xf>
    <xf numFmtId="0" fontId="16" fillId="19" borderId="6" xfId="0" applyFont="1" applyFill="1" applyBorder="1" applyAlignment="1">
      <alignment horizontal="center"/>
    </xf>
    <xf numFmtId="0" fontId="14" fillId="5" borderId="53" xfId="0" applyFont="1" applyFill="1" applyBorder="1"/>
    <xf numFmtId="0" fontId="14" fillId="5" borderId="7" xfId="0" applyFont="1" applyFill="1" applyBorder="1"/>
    <xf numFmtId="0" fontId="0" fillId="4" borderId="3" xfId="0" applyFill="1" applyBorder="1" applyAlignment="1">
      <alignment horizontal="left"/>
    </xf>
    <xf numFmtId="0" fontId="0" fillId="4" borderId="57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52" xfId="0" applyFill="1" applyBorder="1" applyAlignment="1">
      <alignment horizontal="left"/>
    </xf>
    <xf numFmtId="0" fontId="0" fillId="4" borderId="64" xfId="0" applyFill="1" applyBorder="1" applyAlignment="1">
      <alignment horizontal="left"/>
    </xf>
    <xf numFmtId="0" fontId="0" fillId="4" borderId="65" xfId="0" applyFill="1" applyBorder="1" applyAlignment="1">
      <alignment horizontal="left"/>
    </xf>
    <xf numFmtId="0" fontId="16" fillId="19" borderId="8" xfId="0" applyFont="1" applyFill="1" applyBorder="1" applyAlignment="1">
      <alignment horizontal="center"/>
    </xf>
    <xf numFmtId="0" fontId="16" fillId="19" borderId="9" xfId="0" applyFont="1" applyFill="1" applyBorder="1" applyAlignment="1">
      <alignment horizontal="center"/>
    </xf>
    <xf numFmtId="0" fontId="18" fillId="28" borderId="36" xfId="0" applyFont="1" applyFill="1" applyBorder="1" applyAlignment="1">
      <alignment horizontal="center" vertical="center"/>
    </xf>
    <xf numFmtId="0" fontId="18" fillId="28" borderId="38" xfId="0" applyFont="1" applyFill="1" applyBorder="1" applyAlignment="1">
      <alignment horizontal="center" vertical="center"/>
    </xf>
    <xf numFmtId="0" fontId="18" fillId="28" borderId="32" xfId="0" applyFont="1" applyFill="1" applyBorder="1" applyAlignment="1">
      <alignment horizontal="center" vertical="center"/>
    </xf>
    <xf numFmtId="0" fontId="18" fillId="28" borderId="39" xfId="0" applyFont="1" applyFill="1" applyBorder="1" applyAlignment="1">
      <alignment horizontal="center" vertical="center"/>
    </xf>
    <xf numFmtId="0" fontId="18" fillId="28" borderId="0" xfId="0" applyFont="1" applyFill="1" applyBorder="1" applyAlignment="1">
      <alignment horizontal="center" vertical="center"/>
    </xf>
    <xf numFmtId="0" fontId="18" fillId="28" borderId="55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59" xfId="0" applyFont="1" applyFill="1" applyBorder="1" applyAlignment="1">
      <alignment horizontal="center" vertical="center"/>
    </xf>
    <xf numFmtId="0" fontId="18" fillId="28" borderId="37" xfId="0" applyFont="1" applyFill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2" fontId="0" fillId="6" borderId="9" xfId="0" applyNumberFormat="1" applyFill="1" applyBorder="1"/>
  </cellXfs>
  <cellStyles count="3">
    <cellStyle name="Normale" xfId="0" builtinId="0"/>
    <cellStyle name="Percentuale" xfId="1" builtinId="5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190499</xdr:rowOff>
    </xdr:from>
    <xdr:to>
      <xdr:col>3</xdr:col>
      <xdr:colOff>0</xdr:colOff>
      <xdr:row>7</xdr:row>
      <xdr:rowOff>9525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E309535-0969-46D0-9FB6-C3BB6A6C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90499"/>
          <a:ext cx="4000500" cy="1171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590551</xdr:colOff>
      <xdr:row>5</xdr:row>
      <xdr:rowOff>85725</xdr:rowOff>
    </xdr:from>
    <xdr:to>
      <xdr:col>10</xdr:col>
      <xdr:colOff>409576</xdr:colOff>
      <xdr:row>10</xdr:row>
      <xdr:rowOff>142875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4167C41-3CBC-45E7-AC27-15938A75E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1" y="1057275"/>
          <a:ext cx="1038225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K60"/>
  <sheetViews>
    <sheetView topLeftCell="A3" workbookViewId="0">
      <selection activeCell="D31" sqref="D31"/>
    </sheetView>
  </sheetViews>
  <sheetFormatPr defaultRowHeight="15" x14ac:dyDescent="0.25"/>
  <cols>
    <col min="2" max="2" width="39.5703125" customWidth="1"/>
    <col min="3" max="3" width="20.7109375" customWidth="1"/>
    <col min="4" max="4" width="17.140625" customWidth="1"/>
    <col min="5" max="5" width="23" customWidth="1"/>
    <col min="6" max="6" width="25.5703125" customWidth="1"/>
    <col min="7" max="7" width="31" customWidth="1"/>
    <col min="8" max="8" width="12" bestFit="1" customWidth="1"/>
    <col min="9" max="9" width="25.140625" customWidth="1"/>
    <col min="10" max="10" width="25" customWidth="1"/>
    <col min="11" max="11" width="16.85546875" customWidth="1"/>
  </cols>
  <sheetData>
    <row r="2" spans="2:11" ht="15.75" thickBot="1" x14ac:dyDescent="0.3"/>
    <row r="3" spans="2:11" x14ac:dyDescent="0.25">
      <c r="E3" s="268" t="s">
        <v>102</v>
      </c>
      <c r="F3" s="264" t="s">
        <v>106</v>
      </c>
    </row>
    <row r="4" spans="2:11" x14ac:dyDescent="0.25">
      <c r="E4" s="267" t="s">
        <v>190</v>
      </c>
      <c r="F4" s="265" t="s">
        <v>193</v>
      </c>
    </row>
    <row r="5" spans="2:11" x14ac:dyDescent="0.25">
      <c r="E5" s="267" t="s">
        <v>189</v>
      </c>
      <c r="F5" s="265" t="s">
        <v>195</v>
      </c>
    </row>
    <row r="6" spans="2:11" ht="15.75" thickBot="1" x14ac:dyDescent="0.3">
      <c r="E6" s="269" t="s">
        <v>191</v>
      </c>
      <c r="F6" s="266" t="s">
        <v>192</v>
      </c>
    </row>
    <row r="9" spans="2:11" ht="15.75" thickBot="1" x14ac:dyDescent="0.3"/>
    <row r="10" spans="2:11" ht="21.75" thickBot="1" x14ac:dyDescent="0.3">
      <c r="B10" s="14" t="s">
        <v>0</v>
      </c>
    </row>
    <row r="11" spans="2:11" x14ac:dyDescent="0.25">
      <c r="B11" s="5" t="s">
        <v>109</v>
      </c>
      <c r="C11" s="31">
        <v>7.1000000000000004E-3</v>
      </c>
      <c r="E11" s="98" t="s">
        <v>212</v>
      </c>
      <c r="F11" s="96"/>
      <c r="G11" s="96"/>
      <c r="K11" s="99"/>
    </row>
    <row r="12" spans="2:11" x14ac:dyDescent="0.25">
      <c r="B12" s="6" t="s">
        <v>1</v>
      </c>
      <c r="C12" s="4">
        <v>0.5</v>
      </c>
      <c r="E12" s="98" t="s">
        <v>207</v>
      </c>
      <c r="F12" s="96"/>
      <c r="G12" s="96"/>
      <c r="K12" s="99"/>
    </row>
    <row r="13" spans="2:11" x14ac:dyDescent="0.25">
      <c r="B13" s="6" t="s">
        <v>2</v>
      </c>
      <c r="C13" s="41">
        <v>6.0100000000000001E-2</v>
      </c>
      <c r="D13" s="3"/>
      <c r="E13" s="98" t="s">
        <v>208</v>
      </c>
      <c r="F13" s="96"/>
      <c r="G13" s="96"/>
    </row>
    <row r="14" spans="2:11" x14ac:dyDescent="0.25">
      <c r="B14" s="6" t="s">
        <v>3</v>
      </c>
      <c r="C14" s="43">
        <f>F23</f>
        <v>1.3787459436379164E-2</v>
      </c>
    </row>
    <row r="15" spans="2:11" ht="15.75" thickBot="1" x14ac:dyDescent="0.3">
      <c r="B15" s="7" t="s">
        <v>110</v>
      </c>
      <c r="C15" s="44">
        <f>C11+C12*(C13)+C14</f>
        <v>5.0937459436379166E-2</v>
      </c>
    </row>
    <row r="16" spans="2:11" ht="15.75" thickBot="1" x14ac:dyDescent="0.3"/>
    <row r="17" spans="2:6" ht="19.5" thickBot="1" x14ac:dyDescent="0.3">
      <c r="B17" s="13" t="s">
        <v>108</v>
      </c>
    </row>
    <row r="18" spans="2:6" ht="15.75" thickBot="1" x14ac:dyDescent="0.3">
      <c r="B18" s="15" t="s">
        <v>102</v>
      </c>
      <c r="C18" s="16">
        <v>2019</v>
      </c>
      <c r="D18" s="17" t="s">
        <v>103</v>
      </c>
      <c r="E18" s="19" t="s">
        <v>3</v>
      </c>
      <c r="F18" s="18" t="s">
        <v>171</v>
      </c>
    </row>
    <row r="19" spans="2:6" x14ac:dyDescent="0.25">
      <c r="B19" s="10" t="s">
        <v>106</v>
      </c>
      <c r="C19" s="53">
        <v>20325</v>
      </c>
      <c r="D19" s="54">
        <f>C19/$C$23</f>
        <v>0.43392399658411612</v>
      </c>
      <c r="E19" s="55">
        <v>0</v>
      </c>
      <c r="F19" s="56">
        <f>E19*D19</f>
        <v>0</v>
      </c>
    </row>
    <row r="20" spans="2:6" x14ac:dyDescent="0.25">
      <c r="B20" s="11" t="s">
        <v>107</v>
      </c>
      <c r="C20" s="57">
        <v>12707</v>
      </c>
      <c r="D20" s="58">
        <f>C20/$C$23</f>
        <v>0.27128522630230573</v>
      </c>
      <c r="E20" s="55">
        <v>2.6800000000000001E-2</v>
      </c>
      <c r="F20" s="56">
        <f>E20*D20</f>
        <v>7.270444064901794E-3</v>
      </c>
    </row>
    <row r="21" spans="2:6" x14ac:dyDescent="0.25">
      <c r="B21" s="11" t="s">
        <v>104</v>
      </c>
      <c r="C21" s="57">
        <f>2943+3583+3207</f>
        <v>9733</v>
      </c>
      <c r="D21" s="58">
        <f>C21/$C$23</f>
        <v>0.20779248505550812</v>
      </c>
      <c r="E21" s="55">
        <v>1.6500000000000001E-2</v>
      </c>
      <c r="F21" s="56">
        <f>E21*D21</f>
        <v>3.4285760034158843E-3</v>
      </c>
    </row>
    <row r="22" spans="2:6" ht="15.75" thickBot="1" x14ac:dyDescent="0.3">
      <c r="B22" s="20" t="s">
        <v>105</v>
      </c>
      <c r="C22" s="59">
        <f>2469+1606</f>
        <v>4075</v>
      </c>
      <c r="D22" s="60">
        <f>C22/$C$23</f>
        <v>8.6998292058070026E-2</v>
      </c>
      <c r="E22" s="55">
        <v>3.5499999999999997E-2</v>
      </c>
      <c r="F22" s="61">
        <f>E22*D22</f>
        <v>3.0884393680614855E-3</v>
      </c>
    </row>
    <row r="23" spans="2:6" ht="15.75" thickBot="1" x14ac:dyDescent="0.3">
      <c r="B23" s="22" t="s">
        <v>95</v>
      </c>
      <c r="C23" s="62">
        <f>SUM(C19:C22)</f>
        <v>46840</v>
      </c>
      <c r="D23" s="21">
        <f>C23/$C$23</f>
        <v>1</v>
      </c>
      <c r="E23" s="2"/>
      <c r="F23" s="42">
        <f>SUM(F19:F22)</f>
        <v>1.3787459436379164E-2</v>
      </c>
    </row>
    <row r="25" spans="2:6" x14ac:dyDescent="0.25">
      <c r="B25" s="281" t="s">
        <v>173</v>
      </c>
      <c r="C25" s="152"/>
      <c r="D25" s="152"/>
      <c r="E25" s="152"/>
    </row>
    <row r="26" spans="2:6" x14ac:dyDescent="0.25">
      <c r="B26" s="281" t="s">
        <v>172</v>
      </c>
      <c r="C26" s="152"/>
      <c r="D26" s="152"/>
      <c r="E26" s="152"/>
      <c r="F26" s="3"/>
    </row>
    <row r="27" spans="2:6" x14ac:dyDescent="0.25">
      <c r="B27" s="152" t="s">
        <v>174</v>
      </c>
      <c r="C27" s="152"/>
      <c r="D27" s="152"/>
      <c r="E27" s="152"/>
    </row>
    <row r="59" ht="15" customHeight="1" x14ac:dyDescent="0.25"/>
    <row r="60" ht="15.75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9220-8086-43A4-8F4A-42ED8636493F}">
  <sheetPr>
    <tabColor theme="4" tint="0.59999389629810485"/>
  </sheetPr>
  <dimension ref="B3:H12"/>
  <sheetViews>
    <sheetView tabSelected="1" workbookViewId="0">
      <selection activeCell="G16" sqref="G16"/>
    </sheetView>
  </sheetViews>
  <sheetFormatPr defaultRowHeight="15" x14ac:dyDescent="0.25"/>
  <cols>
    <col min="2" max="2" width="37.5703125" customWidth="1"/>
    <col min="3" max="3" width="29.28515625" customWidth="1"/>
    <col min="6" max="6" width="20.5703125" customWidth="1"/>
    <col min="8" max="8" width="20" customWidth="1"/>
  </cols>
  <sheetData>
    <row r="3" spans="2:8" ht="15.75" thickBot="1" x14ac:dyDescent="0.3"/>
    <row r="4" spans="2:8" x14ac:dyDescent="0.25">
      <c r="B4" s="326" t="s">
        <v>188</v>
      </c>
      <c r="C4" s="327"/>
      <c r="F4" s="263" t="s">
        <v>167</v>
      </c>
      <c r="G4" s="337" t="s">
        <v>169</v>
      </c>
      <c r="H4" s="263" t="s">
        <v>168</v>
      </c>
    </row>
    <row r="5" spans="2:8" ht="15.75" thickBot="1" x14ac:dyDescent="0.3">
      <c r="B5" s="253" t="s">
        <v>162</v>
      </c>
      <c r="C5" s="240">
        <f>Growth!I13</f>
        <v>38019.126213842537</v>
      </c>
      <c r="F5" s="50">
        <f>C12</f>
        <v>19.314021487390033</v>
      </c>
      <c r="G5" s="337"/>
      <c r="H5" s="51">
        <v>76.22</v>
      </c>
    </row>
    <row r="6" spans="2:8" ht="15.75" thickBot="1" x14ac:dyDescent="0.3">
      <c r="B6" s="254" t="s">
        <v>164</v>
      </c>
      <c r="C6" s="240">
        <v>1469</v>
      </c>
    </row>
    <row r="7" spans="2:8" x14ac:dyDescent="0.25">
      <c r="B7" s="254" t="s">
        <v>205</v>
      </c>
      <c r="C7" s="117">
        <v>10.210000000000001</v>
      </c>
      <c r="F7" s="328" t="s">
        <v>170</v>
      </c>
      <c r="G7" s="329"/>
      <c r="H7" s="330"/>
    </row>
    <row r="8" spans="2:8" x14ac:dyDescent="0.25">
      <c r="B8" s="254" t="s">
        <v>165</v>
      </c>
      <c r="C8" s="283">
        <f>H5/C7</f>
        <v>7.4652301665034271</v>
      </c>
      <c r="F8" s="331"/>
      <c r="G8" s="332"/>
      <c r="H8" s="333"/>
    </row>
    <row r="9" spans="2:8" ht="15.75" thickBot="1" x14ac:dyDescent="0.3">
      <c r="B9" s="257" t="s">
        <v>166</v>
      </c>
      <c r="C9" s="258">
        <f>C6*C8</f>
        <v>10966.423114593534</v>
      </c>
      <c r="F9" s="334"/>
      <c r="G9" s="335"/>
      <c r="H9" s="336"/>
    </row>
    <row r="10" spans="2:8" ht="15.75" thickBot="1" x14ac:dyDescent="0.3">
      <c r="B10" s="261" t="s">
        <v>163</v>
      </c>
      <c r="C10" s="262">
        <f>C5+C9</f>
        <v>48985.549328436071</v>
      </c>
    </row>
    <row r="11" spans="2:8" ht="15.75" customHeight="1" thickBot="1" x14ac:dyDescent="0.3">
      <c r="B11" s="259" t="s">
        <v>160</v>
      </c>
      <c r="C11" s="260">
        <v>2536.2687599999999</v>
      </c>
      <c r="F11" s="280" t="s">
        <v>206</v>
      </c>
      <c r="G11" s="279"/>
      <c r="H11" s="279"/>
    </row>
    <row r="12" spans="2:8" ht="15.75" thickBot="1" x14ac:dyDescent="0.3">
      <c r="B12" s="255" t="s">
        <v>161</v>
      </c>
      <c r="C12" s="256">
        <f>C10/C11</f>
        <v>19.314021487390033</v>
      </c>
    </row>
  </sheetData>
  <mergeCells count="3">
    <mergeCell ref="B4:C4"/>
    <mergeCell ref="F7:H9"/>
    <mergeCell ref="G4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74AF-9805-4657-B79D-3CBDA19EF0E5}">
  <sheetPr>
    <tabColor theme="4" tint="0.59999389629810485"/>
  </sheetPr>
  <dimension ref="B4:I28"/>
  <sheetViews>
    <sheetView topLeftCell="A2" workbookViewId="0">
      <selection activeCell="F15" sqref="F15"/>
    </sheetView>
  </sheetViews>
  <sheetFormatPr defaultRowHeight="15" x14ac:dyDescent="0.25"/>
  <cols>
    <col min="2" max="2" width="41.28515625" customWidth="1"/>
    <col min="3" max="3" width="16.42578125" customWidth="1"/>
    <col min="4" max="4" width="19.7109375" customWidth="1"/>
    <col min="6" max="6" width="33.42578125" customWidth="1"/>
    <col min="7" max="7" width="24" customWidth="1"/>
    <col min="8" max="8" width="13.28515625" customWidth="1"/>
    <col min="9" max="9" width="25.28515625" customWidth="1"/>
  </cols>
  <sheetData>
    <row r="4" spans="2:8" ht="15.75" thickBot="1" x14ac:dyDescent="0.3"/>
    <row r="5" spans="2:8" ht="19.5" thickBot="1" x14ac:dyDescent="0.3">
      <c r="B5" s="72" t="s">
        <v>4</v>
      </c>
      <c r="C5" s="71"/>
      <c r="F5" s="73" t="s">
        <v>6</v>
      </c>
    </row>
    <row r="6" spans="2:8" x14ac:dyDescent="0.25">
      <c r="B6" s="90" t="s">
        <v>180</v>
      </c>
      <c r="C6" s="46">
        <f>TTM!G6</f>
        <v>13131</v>
      </c>
      <c r="F6" s="77" t="s">
        <v>7</v>
      </c>
      <c r="G6" s="275">
        <f>'Cost of Equity (KE)'!C11</f>
        <v>7.1000000000000004E-3</v>
      </c>
      <c r="H6" s="3"/>
    </row>
    <row r="7" spans="2:8" ht="15.75" thickBot="1" x14ac:dyDescent="0.3">
      <c r="B7" s="91" t="s">
        <v>181</v>
      </c>
      <c r="C7" s="47">
        <f>TTM!G8</f>
        <v>896</v>
      </c>
      <c r="D7" s="3"/>
      <c r="F7" s="93" t="s">
        <v>8</v>
      </c>
      <c r="G7" s="276">
        <v>0.27</v>
      </c>
    </row>
    <row r="8" spans="2:8" ht="15.75" thickBot="1" x14ac:dyDescent="0.3">
      <c r="B8" s="92" t="s">
        <v>5</v>
      </c>
      <c r="C8" s="74">
        <v>21637</v>
      </c>
      <c r="D8" s="3"/>
    </row>
    <row r="9" spans="2:8" ht="15.75" thickBot="1" x14ac:dyDescent="0.3">
      <c r="G9" s="32"/>
    </row>
    <row r="10" spans="2:8" ht="16.5" thickBot="1" x14ac:dyDescent="0.3">
      <c r="B10" s="70" t="s">
        <v>9</v>
      </c>
    </row>
    <row r="11" spans="2:8" ht="15.75" thickBot="1" x14ac:dyDescent="0.3">
      <c r="B11" s="63" t="s">
        <v>10</v>
      </c>
      <c r="C11" s="64"/>
      <c r="D11" s="65"/>
    </row>
    <row r="12" spans="2:8" ht="15.75" thickBot="1" x14ac:dyDescent="0.3">
      <c r="B12" s="66" t="s">
        <v>11</v>
      </c>
      <c r="G12" s="3"/>
    </row>
    <row r="13" spans="2:8" ht="15.75" thickBot="1" x14ac:dyDescent="0.3">
      <c r="B13" s="67" t="s">
        <v>12</v>
      </c>
      <c r="C13" s="68" t="s">
        <v>13</v>
      </c>
      <c r="D13" s="68" t="s">
        <v>14</v>
      </c>
      <c r="E13" s="69" t="s">
        <v>15</v>
      </c>
    </row>
    <row r="14" spans="2:8" x14ac:dyDescent="0.25">
      <c r="B14" s="80" t="s">
        <v>16</v>
      </c>
      <c r="C14" s="81">
        <v>100000</v>
      </c>
      <c r="D14" s="81" t="s">
        <v>17</v>
      </c>
      <c r="E14" s="149">
        <v>6.3E-3</v>
      </c>
      <c r="G14" s="284" t="s">
        <v>183</v>
      </c>
    </row>
    <row r="15" spans="2:8" ht="15.75" thickBot="1" x14ac:dyDescent="0.3">
      <c r="B15" s="82" t="s">
        <v>18</v>
      </c>
      <c r="C15" s="83">
        <v>8499999</v>
      </c>
      <c r="D15" s="84" t="s">
        <v>19</v>
      </c>
      <c r="E15" s="94">
        <v>7.7999999999999996E-3</v>
      </c>
      <c r="G15" s="285"/>
    </row>
    <row r="16" spans="2:8" ht="15.75" thickBot="1" x14ac:dyDescent="0.3">
      <c r="B16" s="82" t="s">
        <v>20</v>
      </c>
      <c r="C16" s="83">
        <v>6499999</v>
      </c>
      <c r="D16" s="84" t="s">
        <v>21</v>
      </c>
      <c r="E16" s="95">
        <v>9.7999999999999997E-3</v>
      </c>
    </row>
    <row r="17" spans="2:9" x14ac:dyDescent="0.25">
      <c r="B17" s="82" t="s">
        <v>22</v>
      </c>
      <c r="C17" s="83">
        <v>5499999</v>
      </c>
      <c r="D17" s="84" t="s">
        <v>23</v>
      </c>
      <c r="E17" s="75">
        <v>1.0800000000000001E-2</v>
      </c>
      <c r="G17" s="151" t="s">
        <v>123</v>
      </c>
      <c r="H17" s="338">
        <f>C6/C7</f>
        <v>14.655133928571429</v>
      </c>
      <c r="I17" s="3"/>
    </row>
    <row r="18" spans="2:9" x14ac:dyDescent="0.25">
      <c r="B18" s="85">
        <v>3</v>
      </c>
      <c r="C18" s="83">
        <v>4249999</v>
      </c>
      <c r="D18" s="84" t="s">
        <v>24</v>
      </c>
      <c r="E18" s="75">
        <v>1.2200000000000001E-2</v>
      </c>
      <c r="G18" s="78" t="s">
        <v>46</v>
      </c>
      <c r="H18" s="36">
        <f>E14</f>
        <v>6.3E-3</v>
      </c>
    </row>
    <row r="19" spans="2:9" x14ac:dyDescent="0.25">
      <c r="B19" s="82" t="s">
        <v>25</v>
      </c>
      <c r="C19" s="83">
        <v>2999999</v>
      </c>
      <c r="D19" s="84" t="s">
        <v>26</v>
      </c>
      <c r="E19" s="75">
        <v>1.5599999999999999E-2</v>
      </c>
      <c r="G19" s="150" t="s">
        <v>47</v>
      </c>
      <c r="H19" s="75">
        <f>G6+H18</f>
        <v>1.34E-2</v>
      </c>
    </row>
    <row r="20" spans="2:9" ht="15.75" thickBot="1" x14ac:dyDescent="0.3">
      <c r="B20" s="82" t="s">
        <v>27</v>
      </c>
      <c r="C20" s="83">
        <v>2249999</v>
      </c>
      <c r="D20" s="84" t="s">
        <v>28</v>
      </c>
      <c r="E20" s="75">
        <v>0.02</v>
      </c>
      <c r="G20" s="79" t="s">
        <v>48</v>
      </c>
      <c r="H20" s="76">
        <f>H19*(1-G7)</f>
        <v>9.7820000000000008E-3</v>
      </c>
    </row>
    <row r="21" spans="2:9" x14ac:dyDescent="0.25">
      <c r="B21" s="85">
        <v>2</v>
      </c>
      <c r="C21" s="83">
        <v>22499999</v>
      </c>
      <c r="D21" s="84" t="s">
        <v>29</v>
      </c>
      <c r="E21" s="75">
        <v>2.4E-2</v>
      </c>
    </row>
    <row r="22" spans="2:9" x14ac:dyDescent="0.25">
      <c r="B22" s="82" t="s">
        <v>30</v>
      </c>
      <c r="C22" s="83">
        <v>1999999</v>
      </c>
      <c r="D22" s="84" t="s">
        <v>31</v>
      </c>
      <c r="E22" s="75">
        <v>3.5099999999999999E-2</v>
      </c>
    </row>
    <row r="23" spans="2:9" x14ac:dyDescent="0.25">
      <c r="B23" s="82" t="s">
        <v>32</v>
      </c>
      <c r="C23" s="83">
        <v>1749999</v>
      </c>
      <c r="D23" s="84" t="s">
        <v>33</v>
      </c>
      <c r="E23" s="75">
        <v>4.2099999999999999E-2</v>
      </c>
    </row>
    <row r="24" spans="2:9" x14ac:dyDescent="0.25">
      <c r="B24" s="82" t="s">
        <v>34</v>
      </c>
      <c r="C24" s="83">
        <v>1499999</v>
      </c>
      <c r="D24" s="84" t="s">
        <v>35</v>
      </c>
      <c r="E24" s="75">
        <v>5.1499999999999997E-2</v>
      </c>
    </row>
    <row r="25" spans="2:9" x14ac:dyDescent="0.25">
      <c r="B25" s="82" t="s">
        <v>36</v>
      </c>
      <c r="C25" s="83">
        <v>1249999</v>
      </c>
      <c r="D25" s="84" t="s">
        <v>37</v>
      </c>
      <c r="E25" s="75">
        <v>8.2000000000000003E-2</v>
      </c>
    </row>
    <row r="26" spans="2:9" x14ac:dyDescent="0.25">
      <c r="B26" s="82" t="s">
        <v>38</v>
      </c>
      <c r="C26" s="86" t="s">
        <v>39</v>
      </c>
      <c r="D26" s="84" t="s">
        <v>40</v>
      </c>
      <c r="E26" s="75">
        <v>8.6400000000000005E-2</v>
      </c>
    </row>
    <row r="27" spans="2:9" x14ac:dyDescent="0.25">
      <c r="B27" s="82" t="s">
        <v>41</v>
      </c>
      <c r="C27" s="86" t="s">
        <v>42</v>
      </c>
      <c r="D27" s="84" t="s">
        <v>43</v>
      </c>
      <c r="E27" s="75">
        <v>0.1134</v>
      </c>
    </row>
    <row r="28" spans="2:9" ht="15.75" thickBot="1" x14ac:dyDescent="0.3">
      <c r="B28" s="87">
        <v>-100000</v>
      </c>
      <c r="C28" s="88" t="s">
        <v>44</v>
      </c>
      <c r="D28" s="89" t="s">
        <v>45</v>
      </c>
      <c r="E28" s="76">
        <v>0.1512</v>
      </c>
    </row>
  </sheetData>
  <mergeCells count="1">
    <mergeCell ref="G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1451-29AA-4F97-9922-6B9A93EFA0E9}">
  <sheetPr>
    <tabColor theme="4" tint="0.59999389629810485"/>
  </sheetPr>
  <dimension ref="B4:I35"/>
  <sheetViews>
    <sheetView topLeftCell="A15" workbookViewId="0">
      <selection activeCell="B7" sqref="B7:B8"/>
    </sheetView>
  </sheetViews>
  <sheetFormatPr defaultRowHeight="15" x14ac:dyDescent="0.25"/>
  <cols>
    <col min="2" max="2" width="32" customWidth="1"/>
    <col min="3" max="3" width="12" bestFit="1" customWidth="1"/>
    <col min="5" max="5" width="32.140625" customWidth="1"/>
    <col min="6" max="6" width="29.140625" customWidth="1"/>
    <col min="7" max="7" width="15.28515625" customWidth="1"/>
    <col min="8" max="8" width="25" customWidth="1"/>
    <col min="9" max="9" width="18.140625" customWidth="1"/>
    <col min="11" max="11" width="24.42578125" customWidth="1"/>
  </cols>
  <sheetData>
    <row r="4" spans="2:9" ht="15.75" thickBot="1" x14ac:dyDescent="0.3"/>
    <row r="5" spans="2:9" ht="19.5" thickBot="1" x14ac:dyDescent="0.3">
      <c r="B5" s="25" t="s">
        <v>78</v>
      </c>
    </row>
    <row r="6" spans="2:9" ht="15.75" thickBot="1" x14ac:dyDescent="0.3">
      <c r="E6" s="152" t="s">
        <v>176</v>
      </c>
      <c r="F6" s="153"/>
      <c r="H6" s="80" t="s">
        <v>179</v>
      </c>
      <c r="I6" s="131">
        <f>C33</f>
        <v>148</v>
      </c>
    </row>
    <row r="7" spans="2:9" ht="15.75" thickBot="1" x14ac:dyDescent="0.3">
      <c r="B7" s="286" t="s">
        <v>182</v>
      </c>
      <c r="E7" s="154" t="s">
        <v>177</v>
      </c>
      <c r="F7" s="52"/>
      <c r="H7" s="79" t="s">
        <v>178</v>
      </c>
      <c r="I7" s="27">
        <f>C33/4</f>
        <v>37</v>
      </c>
    </row>
    <row r="8" spans="2:9" ht="15.75" thickBot="1" x14ac:dyDescent="0.3">
      <c r="B8" s="287"/>
    </row>
    <row r="9" spans="2:9" ht="15.75" thickBot="1" x14ac:dyDescent="0.3">
      <c r="B9" s="23" t="s">
        <v>79</v>
      </c>
      <c r="C9" s="48">
        <v>1151</v>
      </c>
      <c r="E9" s="103" t="s">
        <v>70</v>
      </c>
    </row>
    <row r="10" spans="2:9" ht="15.75" thickBot="1" x14ac:dyDescent="0.3">
      <c r="B10" s="24" t="s">
        <v>79</v>
      </c>
      <c r="C10" s="49">
        <v>1113</v>
      </c>
      <c r="E10" s="107" t="s">
        <v>71</v>
      </c>
      <c r="F10" s="108" t="s">
        <v>72</v>
      </c>
      <c r="G10" s="109" t="s">
        <v>73</v>
      </c>
      <c r="H10" s="109" t="s">
        <v>74</v>
      </c>
      <c r="I10" s="110" t="s">
        <v>75</v>
      </c>
    </row>
    <row r="11" spans="2:9" x14ac:dyDescent="0.25">
      <c r="B11" s="24" t="s">
        <v>80</v>
      </c>
      <c r="C11" s="49">
        <v>1248</v>
      </c>
      <c r="E11" s="104" t="s">
        <v>117</v>
      </c>
      <c r="F11" s="111">
        <f>SUM(C9:C18)+I7</f>
        <v>11340</v>
      </c>
      <c r="G11" s="112">
        <v>7</v>
      </c>
      <c r="H11" s="113">
        <f>F11/F15</f>
        <v>0.49876847290640391</v>
      </c>
      <c r="I11" s="114">
        <f>G11*H11</f>
        <v>3.4913793103448274</v>
      </c>
    </row>
    <row r="12" spans="2:9" x14ac:dyDescent="0.25">
      <c r="B12" s="24" t="s">
        <v>80</v>
      </c>
      <c r="C12" s="49">
        <v>1010</v>
      </c>
      <c r="E12" s="105" t="s">
        <v>76</v>
      </c>
      <c r="F12" s="115">
        <f>SUM(C19:C21)+I7</f>
        <v>2325</v>
      </c>
      <c r="G12" s="97">
        <v>11</v>
      </c>
      <c r="H12" s="116">
        <f>F12/F15</f>
        <v>0.10226073187895848</v>
      </c>
      <c r="I12" s="117">
        <f>H12*G12</f>
        <v>1.1248680506685433</v>
      </c>
    </row>
    <row r="13" spans="2:9" x14ac:dyDescent="0.25">
      <c r="B13" s="24" t="s">
        <v>81</v>
      </c>
      <c r="C13" s="49">
        <v>1747</v>
      </c>
      <c r="E13" s="105" t="s">
        <v>77</v>
      </c>
      <c r="F13" s="115">
        <f>SUM(C22:C28)+I7</f>
        <v>3863</v>
      </c>
      <c r="G13" s="118">
        <v>21</v>
      </c>
      <c r="H13" s="119">
        <f>F13/F15</f>
        <v>0.16990675580577058</v>
      </c>
      <c r="I13" s="120">
        <f>H13*G13</f>
        <v>3.5680418719211824</v>
      </c>
    </row>
    <row r="14" spans="2:9" ht="15.75" thickBot="1" x14ac:dyDescent="0.3">
      <c r="B14" s="24" t="s">
        <v>82</v>
      </c>
      <c r="C14" s="49">
        <v>745</v>
      </c>
      <c r="E14" s="106" t="s">
        <v>116</v>
      </c>
      <c r="F14" s="121">
        <f>SUM(C29:C32)+I7</f>
        <v>5208</v>
      </c>
      <c r="G14" s="122">
        <v>26</v>
      </c>
      <c r="H14" s="123">
        <f>F14/F15</f>
        <v>0.22906403940886699</v>
      </c>
      <c r="I14" s="124">
        <f>H14*G14</f>
        <v>5.9556650246305418</v>
      </c>
    </row>
    <row r="15" spans="2:9" ht="15.75" thickBot="1" x14ac:dyDescent="0.3">
      <c r="B15" s="24" t="s">
        <v>82</v>
      </c>
      <c r="C15" s="49">
        <v>555</v>
      </c>
      <c r="E15" s="28"/>
      <c r="F15" s="129">
        <f>SUM(F11:F14)</f>
        <v>22736</v>
      </c>
      <c r="I15" s="130">
        <f>SUM(I11:I14)</f>
        <v>14.139954257565094</v>
      </c>
    </row>
    <row r="16" spans="2:9" x14ac:dyDescent="0.25">
      <c r="B16" s="24" t="s">
        <v>83</v>
      </c>
      <c r="C16" s="49">
        <v>2492</v>
      </c>
    </row>
    <row r="17" spans="2:8" ht="15.75" thickBot="1" x14ac:dyDescent="0.3">
      <c r="B17" s="24" t="s">
        <v>84</v>
      </c>
      <c r="C17" s="49">
        <v>1107</v>
      </c>
    </row>
    <row r="18" spans="2:8" ht="15.75" thickBot="1" x14ac:dyDescent="0.3">
      <c r="B18" s="24" t="s">
        <v>84</v>
      </c>
      <c r="C18" s="49">
        <v>135</v>
      </c>
      <c r="E18" s="288" t="s">
        <v>115</v>
      </c>
      <c r="F18" s="289"/>
      <c r="G18" s="289"/>
      <c r="H18" s="290"/>
    </row>
    <row r="19" spans="2:8" ht="15.75" thickBot="1" x14ac:dyDescent="0.3">
      <c r="B19" s="24" t="s">
        <v>85</v>
      </c>
      <c r="C19" s="49">
        <v>306</v>
      </c>
      <c r="E19" s="108" t="s">
        <v>114</v>
      </c>
      <c r="F19" s="109" t="s">
        <v>113</v>
      </c>
      <c r="G19" s="109" t="s">
        <v>112</v>
      </c>
      <c r="H19" s="110" t="s">
        <v>111</v>
      </c>
    </row>
    <row r="20" spans="2:8" x14ac:dyDescent="0.25">
      <c r="B20" s="24" t="s">
        <v>85</v>
      </c>
      <c r="C20" s="49">
        <v>250</v>
      </c>
      <c r="E20" s="127">
        <v>1</v>
      </c>
      <c r="F20" s="125">
        <f>'Cost of Debt (KD)'!C$7</f>
        <v>896</v>
      </c>
      <c r="G20" s="113">
        <f>'Cost of Debt (KD)'!H$19</f>
        <v>1.34E-2</v>
      </c>
      <c r="H20" s="126">
        <f t="shared" ref="H20:H34" si="0">F20/(1+G20)^E20</f>
        <v>884.15235839747379</v>
      </c>
    </row>
    <row r="21" spans="2:8" x14ac:dyDescent="0.25">
      <c r="B21" s="24" t="s">
        <v>86</v>
      </c>
      <c r="C21" s="49">
        <v>1732</v>
      </c>
      <c r="E21" s="24">
        <v>2</v>
      </c>
      <c r="F21" s="125">
        <f>'Cost of Debt (KD)'!C$7</f>
        <v>896</v>
      </c>
      <c r="G21" s="113">
        <f>'Cost of Debt (KD)'!H$19</f>
        <v>1.34E-2</v>
      </c>
      <c r="H21" s="26">
        <f t="shared" si="0"/>
        <v>872.46137595961477</v>
      </c>
    </row>
    <row r="22" spans="2:8" x14ac:dyDescent="0.25">
      <c r="B22" s="24" t="s">
        <v>87</v>
      </c>
      <c r="C22" s="49">
        <v>722</v>
      </c>
      <c r="E22" s="24">
        <v>3</v>
      </c>
      <c r="F22" s="125">
        <f>'Cost of Debt (KD)'!C$7</f>
        <v>896</v>
      </c>
      <c r="G22" s="113">
        <f>'Cost of Debt (KD)'!H$19</f>
        <v>1.34E-2</v>
      </c>
      <c r="H22" s="26">
        <f t="shared" si="0"/>
        <v>860.92498121138226</v>
      </c>
    </row>
    <row r="23" spans="2:8" x14ac:dyDescent="0.25">
      <c r="B23" s="24" t="s">
        <v>88</v>
      </c>
      <c r="C23" s="49">
        <v>550</v>
      </c>
      <c r="E23" s="24">
        <v>4</v>
      </c>
      <c r="F23" s="125">
        <f>'Cost of Debt (KD)'!C$7</f>
        <v>896</v>
      </c>
      <c r="G23" s="113">
        <f>'Cost of Debt (KD)'!H$19</f>
        <v>1.34E-2</v>
      </c>
      <c r="H23" s="26">
        <f t="shared" si="0"/>
        <v>849.54113006846455</v>
      </c>
    </row>
    <row r="24" spans="2:8" x14ac:dyDescent="0.25">
      <c r="B24" s="24" t="s">
        <v>89</v>
      </c>
      <c r="C24" s="49">
        <v>551</v>
      </c>
      <c r="E24" s="24">
        <v>5</v>
      </c>
      <c r="F24" s="125">
        <f>'Cost of Debt (KD)'!C$7</f>
        <v>896</v>
      </c>
      <c r="G24" s="113">
        <f>'Cost of Debt (KD)'!H$19</f>
        <v>1.34E-2</v>
      </c>
      <c r="H24" s="26">
        <f t="shared" si="0"/>
        <v>838.30780547509823</v>
      </c>
    </row>
    <row r="25" spans="2:8" x14ac:dyDescent="0.25">
      <c r="B25" s="24" t="s">
        <v>89</v>
      </c>
      <c r="C25" s="49">
        <v>338</v>
      </c>
      <c r="E25" s="24">
        <v>6</v>
      </c>
      <c r="F25" s="125">
        <f>'Cost of Debt (KD)'!C$7</f>
        <v>896</v>
      </c>
      <c r="G25" s="113">
        <f>'Cost of Debt (KD)'!H$19</f>
        <v>1.34E-2</v>
      </c>
      <c r="H25" s="26">
        <f t="shared" si="0"/>
        <v>827.22301704667268</v>
      </c>
    </row>
    <row r="26" spans="2:8" x14ac:dyDescent="0.25">
      <c r="B26" s="24" t="s">
        <v>90</v>
      </c>
      <c r="C26" s="49">
        <v>412</v>
      </c>
      <c r="E26" s="24">
        <v>7</v>
      </c>
      <c r="F26" s="125">
        <f>'Cost of Debt (KD)'!C$7</f>
        <v>896</v>
      </c>
      <c r="G26" s="113">
        <f>'Cost of Debt (KD)'!H$19</f>
        <v>1.34E-2</v>
      </c>
      <c r="H26" s="26">
        <f t="shared" si="0"/>
        <v>816.28480071706394</v>
      </c>
    </row>
    <row r="27" spans="2:8" x14ac:dyDescent="0.25">
      <c r="B27" s="24" t="s">
        <v>91</v>
      </c>
      <c r="C27" s="49">
        <v>982</v>
      </c>
      <c r="E27" s="127">
        <v>8</v>
      </c>
      <c r="F27" s="125">
        <f>'Cost of Debt (KD)'!C$7</f>
        <v>896</v>
      </c>
      <c r="G27" s="113">
        <f>'Cost of Debt (KD)'!H$19</f>
        <v>1.34E-2</v>
      </c>
      <c r="H27" s="126">
        <f t="shared" si="0"/>
        <v>805.49121839062934</v>
      </c>
    </row>
    <row r="28" spans="2:8" x14ac:dyDescent="0.25">
      <c r="B28" s="24" t="s">
        <v>91</v>
      </c>
      <c r="C28" s="26">
        <v>271</v>
      </c>
      <c r="E28" s="24">
        <v>9</v>
      </c>
      <c r="F28" s="125">
        <f>'Cost of Debt (KD)'!C$7</f>
        <v>896</v>
      </c>
      <c r="G28" s="113">
        <f>'Cost of Debt (KD)'!H$19</f>
        <v>1.34E-2</v>
      </c>
      <c r="H28" s="26">
        <f t="shared" si="0"/>
        <v>794.84035759880521</v>
      </c>
    </row>
    <row r="29" spans="2:8" x14ac:dyDescent="0.25">
      <c r="B29" s="24" t="s">
        <v>92</v>
      </c>
      <c r="C29" s="49">
        <v>490</v>
      </c>
      <c r="E29" s="24">
        <v>10</v>
      </c>
      <c r="F29" s="125">
        <f>'Cost of Debt (KD)'!C$7</f>
        <v>896</v>
      </c>
      <c r="G29" s="113">
        <f>'Cost of Debt (KD)'!H$19</f>
        <v>1.34E-2</v>
      </c>
      <c r="H29" s="26">
        <f t="shared" si="0"/>
        <v>784.33033116124443</v>
      </c>
    </row>
    <row r="30" spans="2:8" x14ac:dyDescent="0.25">
      <c r="B30" s="24" t="s">
        <v>93</v>
      </c>
      <c r="C30" s="49">
        <v>1238</v>
      </c>
      <c r="E30" s="24">
        <v>11</v>
      </c>
      <c r="F30" s="125">
        <f>'Cost of Debt (KD)'!C$7</f>
        <v>896</v>
      </c>
      <c r="G30" s="113">
        <f>'Cost of Debt (KD)'!H$19</f>
        <v>1.34E-2</v>
      </c>
      <c r="H30" s="26">
        <f t="shared" si="0"/>
        <v>773.95927685143511</v>
      </c>
    </row>
    <row r="31" spans="2:8" x14ac:dyDescent="0.25">
      <c r="B31" s="24" t="s">
        <v>94</v>
      </c>
      <c r="C31" s="49">
        <v>1975</v>
      </c>
      <c r="E31" s="24">
        <v>12</v>
      </c>
      <c r="F31" s="125">
        <f>'Cost of Debt (KD)'!C$7</f>
        <v>896</v>
      </c>
      <c r="G31" s="113">
        <f>'Cost of Debt (KD)'!H$19</f>
        <v>1.34E-2</v>
      </c>
      <c r="H31" s="26">
        <f t="shared" si="0"/>
        <v>763.72535706674057</v>
      </c>
    </row>
    <row r="32" spans="2:8" x14ac:dyDescent="0.25">
      <c r="B32" s="24" t="s">
        <v>94</v>
      </c>
      <c r="C32" s="49">
        <v>1468</v>
      </c>
      <c r="E32" s="24">
        <v>13</v>
      </c>
      <c r="F32" s="125">
        <f>'Cost of Debt (KD)'!C$7</f>
        <v>896</v>
      </c>
      <c r="G32" s="113">
        <f>'Cost of Debt (KD)'!H$19</f>
        <v>1.34E-2</v>
      </c>
      <c r="H32" s="26">
        <f t="shared" si="0"/>
        <v>753.62675850280311</v>
      </c>
    </row>
    <row r="33" spans="2:8" ht="15.75" thickBot="1" x14ac:dyDescent="0.3">
      <c r="B33" s="24" t="s">
        <v>175</v>
      </c>
      <c r="C33" s="49">
        <v>148</v>
      </c>
      <c r="E33" s="24">
        <v>14</v>
      </c>
      <c r="F33" s="125">
        <f>'Cost of Debt (KD)'!C$7</f>
        <v>896</v>
      </c>
      <c r="G33" s="113">
        <f>'Cost of Debt (KD)'!H$19</f>
        <v>1.34E-2</v>
      </c>
      <c r="H33" s="26">
        <f t="shared" si="0"/>
        <v>743.66169183225077</v>
      </c>
    </row>
    <row r="34" spans="2:8" ht="15.75" thickBot="1" x14ac:dyDescent="0.3">
      <c r="B34" s="102" t="s">
        <v>95</v>
      </c>
      <c r="C34" s="101">
        <f>SUM(C9:C33)</f>
        <v>22736</v>
      </c>
      <c r="E34" s="24">
        <v>14</v>
      </c>
      <c r="F34" s="125">
        <f>'Cost of Debt (KD)'!C8</f>
        <v>21637</v>
      </c>
      <c r="G34" s="113">
        <f>'Cost of Debt (KD)'!H$19</f>
        <v>1.34E-2</v>
      </c>
      <c r="H34" s="26">
        <f t="shared" si="0"/>
        <v>17958.267886355366</v>
      </c>
    </row>
    <row r="35" spans="2:8" ht="16.5" thickBot="1" x14ac:dyDescent="0.3">
      <c r="H35" s="128">
        <f>SUM(H20:H34)</f>
        <v>29326.798346635045</v>
      </c>
    </row>
  </sheetData>
  <mergeCells count="2">
    <mergeCell ref="B7:B8"/>
    <mergeCell ref="E18:H18"/>
  </mergeCells>
  <pageMargins left="0.7" right="0.7" top="0.75" bottom="0.75" header="0.3" footer="0.3"/>
  <pageSetup paperSize="9" orientation="portrait" horizontalDpi="0" verticalDpi="0" r:id="rId1"/>
  <ignoredErrors>
    <ignoredError sqref="F11:F1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8F83-7D80-41BB-BB39-2F45A37BDA18}">
  <sheetPr>
    <tabColor theme="4" tint="0.59999389629810485"/>
  </sheetPr>
  <dimension ref="B2:C11"/>
  <sheetViews>
    <sheetView workbookViewId="0">
      <selection activeCell="D21" sqref="D21"/>
    </sheetView>
  </sheetViews>
  <sheetFormatPr defaultRowHeight="15" x14ac:dyDescent="0.25"/>
  <cols>
    <col min="2" max="2" width="41.85546875" customWidth="1"/>
    <col min="3" max="3" width="18.5703125" customWidth="1"/>
  </cols>
  <sheetData>
    <row r="2" spans="2:3" ht="15.75" thickBot="1" x14ac:dyDescent="0.3"/>
    <row r="3" spans="2:3" x14ac:dyDescent="0.25">
      <c r="B3" s="284" t="s">
        <v>49</v>
      </c>
      <c r="C3" s="291">
        <f>C5*C10+C6*C11</f>
        <v>4.5539779810007591E-2</v>
      </c>
    </row>
    <row r="4" spans="2:3" ht="15.75" thickBot="1" x14ac:dyDescent="0.3">
      <c r="B4" s="285"/>
      <c r="C4" s="292"/>
    </row>
    <row r="5" spans="2:3" x14ac:dyDescent="0.25">
      <c r="B5" s="132" t="s">
        <v>50</v>
      </c>
      <c r="C5" s="133">
        <f>'Cost of Equity (KE)'!C15</f>
        <v>5.0937459436379166E-2</v>
      </c>
    </row>
    <row r="6" spans="2:3" x14ac:dyDescent="0.25">
      <c r="B6" s="8" t="s">
        <v>51</v>
      </c>
      <c r="C6" s="37">
        <f>'Cost of Debt (KD)'!H20</f>
        <v>9.7820000000000008E-3</v>
      </c>
    </row>
    <row r="7" spans="2:3" x14ac:dyDescent="0.25">
      <c r="B7" s="8" t="s">
        <v>52</v>
      </c>
      <c r="C7" s="47">
        <f>'Market Value of Debt'!H35</f>
        <v>29326.798346635045</v>
      </c>
    </row>
    <row r="8" spans="2:3" x14ac:dyDescent="0.25">
      <c r="B8" s="8" t="s">
        <v>53</v>
      </c>
      <c r="C8" s="47">
        <v>194280</v>
      </c>
    </row>
    <row r="9" spans="2:3" x14ac:dyDescent="0.25">
      <c r="B9" s="8" t="s">
        <v>54</v>
      </c>
      <c r="C9" s="47">
        <f>SUM(C7:C8)</f>
        <v>223606.79834663504</v>
      </c>
    </row>
    <row r="10" spans="2:3" x14ac:dyDescent="0.25">
      <c r="B10" s="8" t="s">
        <v>55</v>
      </c>
      <c r="C10" s="134">
        <f>C8/C9</f>
        <v>0.86884657101895146</v>
      </c>
    </row>
    <row r="11" spans="2:3" ht="15.75" thickBot="1" x14ac:dyDescent="0.3">
      <c r="B11" s="9" t="s">
        <v>56</v>
      </c>
      <c r="C11" s="12">
        <f>C7/C9</f>
        <v>0.13115342898104856</v>
      </c>
    </row>
  </sheetData>
  <mergeCells count="2">
    <mergeCell ref="B3:B4"/>
    <mergeCell ref="C3:C4"/>
  </mergeCells>
  <pageMargins left="0.7" right="0.7" top="0.75" bottom="0.75" header="0.3" footer="0.3"/>
  <ignoredErrors>
    <ignoredError xmlns:x16r3="http://schemas.microsoft.com/office/spreadsheetml/2018/08/main" sqref="C7" x16r3:misleadingForma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0150-403A-4B7F-AD44-208DEE9D0405}">
  <sheetPr>
    <tabColor theme="4" tint="0.59999389629810485"/>
  </sheetPr>
  <dimension ref="C2:I17"/>
  <sheetViews>
    <sheetView workbookViewId="0">
      <selection activeCell="D14" sqref="D14"/>
    </sheetView>
  </sheetViews>
  <sheetFormatPr defaultRowHeight="15" x14ac:dyDescent="0.25"/>
  <cols>
    <col min="3" max="3" width="30.140625" customWidth="1"/>
    <col min="4" max="4" width="22.140625" customWidth="1"/>
    <col min="5" max="5" width="20" customWidth="1"/>
    <col min="6" max="6" width="20.5703125" customWidth="1"/>
    <col min="7" max="7" width="20.140625" customWidth="1"/>
  </cols>
  <sheetData>
    <row r="2" spans="3:9" ht="15.75" thickBot="1" x14ac:dyDescent="0.3"/>
    <row r="3" spans="3:9" x14ac:dyDescent="0.25">
      <c r="C3" s="284" t="s">
        <v>96</v>
      </c>
      <c r="E3" s="3"/>
    </row>
    <row r="4" spans="3:9" ht="15.75" thickBot="1" x14ac:dyDescent="0.3">
      <c r="C4" s="285"/>
    </row>
    <row r="5" spans="3:9" ht="15.75" thickBot="1" x14ac:dyDescent="0.3">
      <c r="C5" s="139" t="s">
        <v>97</v>
      </c>
      <c r="D5" s="140" t="s">
        <v>211</v>
      </c>
      <c r="E5" s="140" t="s">
        <v>194</v>
      </c>
      <c r="F5" s="141" t="s">
        <v>210</v>
      </c>
      <c r="G5" s="142" t="s">
        <v>98</v>
      </c>
    </row>
    <row r="6" spans="3:9" ht="15.75" thickBot="1" x14ac:dyDescent="0.3">
      <c r="C6" s="137" t="s">
        <v>99</v>
      </c>
      <c r="D6" s="272">
        <f>D7+D8</f>
        <v>12357</v>
      </c>
      <c r="E6" s="272">
        <f>E7+E8</f>
        <v>4050</v>
      </c>
      <c r="F6" s="273">
        <f>F7+F8</f>
        <v>3276</v>
      </c>
      <c r="G6" s="274">
        <f>D6+E6-F6</f>
        <v>13131</v>
      </c>
    </row>
    <row r="7" spans="3:9" x14ac:dyDescent="0.25">
      <c r="C7" s="78" t="s">
        <v>100</v>
      </c>
      <c r="D7" s="125">
        <v>11464</v>
      </c>
      <c r="E7" s="271">
        <v>3838</v>
      </c>
      <c r="F7" s="143">
        <v>3067</v>
      </c>
      <c r="G7" s="146">
        <f>D7+E7-F7</f>
        <v>12235</v>
      </c>
    </row>
    <row r="8" spans="3:9" ht="15" customHeight="1" x14ac:dyDescent="0.25">
      <c r="C8" s="138" t="s">
        <v>101</v>
      </c>
      <c r="D8" s="135">
        <v>893</v>
      </c>
      <c r="E8" s="100">
        <v>212</v>
      </c>
      <c r="F8" s="144">
        <v>209</v>
      </c>
      <c r="G8" s="147">
        <f>D8+E8-F8</f>
        <v>896</v>
      </c>
    </row>
    <row r="9" spans="3:9" ht="15.75" customHeight="1" thickBot="1" x14ac:dyDescent="0.3">
      <c r="C9" s="79" t="s">
        <v>138</v>
      </c>
      <c r="D9" s="136">
        <v>9872</v>
      </c>
      <c r="E9" s="136">
        <v>2209</v>
      </c>
      <c r="F9" s="145">
        <v>3196</v>
      </c>
      <c r="G9" s="148">
        <f>D9+E9-F9</f>
        <v>8885</v>
      </c>
    </row>
    <row r="14" spans="3:9" x14ac:dyDescent="0.25">
      <c r="I14" s="3"/>
    </row>
    <row r="17" spans="9:9" x14ac:dyDescent="0.25">
      <c r="I17" s="3"/>
    </row>
  </sheetData>
  <mergeCells count="1">
    <mergeCell ref="C3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8457-935F-44E9-8293-FEFA95D2DA1F}">
  <sheetPr>
    <tabColor theme="4" tint="0.59999389629810485"/>
  </sheetPr>
  <dimension ref="B2:I17"/>
  <sheetViews>
    <sheetView workbookViewId="0">
      <selection activeCell="L14" sqref="L14"/>
    </sheetView>
  </sheetViews>
  <sheetFormatPr defaultRowHeight="15" x14ac:dyDescent="0.25"/>
  <cols>
    <col min="2" max="2" width="12.7109375" customWidth="1"/>
    <col min="3" max="3" width="12.28515625" customWidth="1"/>
    <col min="5" max="5" width="16.5703125" customWidth="1"/>
    <col min="7" max="7" width="25.85546875" customWidth="1"/>
    <col min="9" max="9" width="23.42578125" customWidth="1"/>
  </cols>
  <sheetData>
    <row r="2" spans="2:9" ht="15.75" thickBot="1" x14ac:dyDescent="0.3"/>
    <row r="3" spans="2:9" ht="15" customHeight="1" thickBot="1" x14ac:dyDescent="0.3">
      <c r="B3" s="296" t="s">
        <v>185</v>
      </c>
      <c r="C3" s="297"/>
      <c r="D3" s="297"/>
      <c r="E3" s="298"/>
    </row>
    <row r="4" spans="2:9" ht="15.75" customHeight="1" x14ac:dyDescent="0.25">
      <c r="B4" s="170" t="s">
        <v>133</v>
      </c>
      <c r="C4" s="176" t="s">
        <v>184</v>
      </c>
      <c r="D4" s="293" t="s">
        <v>134</v>
      </c>
      <c r="E4" s="294"/>
      <c r="F4" s="295" t="s">
        <v>135</v>
      </c>
      <c r="G4" s="294"/>
      <c r="H4" s="295" t="s">
        <v>136</v>
      </c>
      <c r="I4" s="294"/>
    </row>
    <row r="5" spans="2:9" x14ac:dyDescent="0.25">
      <c r="B5" s="171"/>
      <c r="C5" s="160"/>
      <c r="D5" s="157" t="s">
        <v>103</v>
      </c>
      <c r="E5" s="161"/>
      <c r="F5" s="166" t="s">
        <v>103</v>
      </c>
      <c r="G5" s="161"/>
      <c r="H5" s="166" t="s">
        <v>103</v>
      </c>
      <c r="I5" s="161"/>
    </row>
    <row r="6" spans="2:9" x14ac:dyDescent="0.25">
      <c r="B6" s="172" t="s">
        <v>137</v>
      </c>
      <c r="C6" s="177">
        <f>TTM!G9</f>
        <v>8885</v>
      </c>
      <c r="D6" s="155">
        <v>0.1</v>
      </c>
      <c r="E6" s="162">
        <f t="shared" ref="E6:E15" si="0">C6*D6</f>
        <v>888.5</v>
      </c>
      <c r="F6" s="167">
        <v>0.9</v>
      </c>
      <c r="G6" s="162">
        <f t="shared" ref="G6:G15" si="1">C6*F6</f>
        <v>7996.5</v>
      </c>
      <c r="H6" s="167">
        <v>0.1</v>
      </c>
      <c r="I6" s="162">
        <f>C6*H6</f>
        <v>888.5</v>
      </c>
    </row>
    <row r="7" spans="2:9" x14ac:dyDescent="0.25">
      <c r="B7" s="173">
        <v>2018</v>
      </c>
      <c r="C7" s="178">
        <v>9752</v>
      </c>
      <c r="D7" s="156">
        <v>0.2</v>
      </c>
      <c r="E7" s="163">
        <f t="shared" si="0"/>
        <v>1950.4</v>
      </c>
      <c r="F7" s="168">
        <v>0.8</v>
      </c>
      <c r="G7" s="163">
        <f t="shared" si="1"/>
        <v>7801.6</v>
      </c>
      <c r="H7" s="168">
        <v>0.1</v>
      </c>
      <c r="I7" s="163">
        <f t="shared" ref="I7:I15" si="2">C7*H7</f>
        <v>975.2</v>
      </c>
    </row>
    <row r="8" spans="2:9" x14ac:dyDescent="0.25">
      <c r="B8" s="174">
        <v>2017</v>
      </c>
      <c r="C8" s="177">
        <v>10339</v>
      </c>
      <c r="D8" s="155">
        <v>0.3</v>
      </c>
      <c r="E8" s="162">
        <f t="shared" si="0"/>
        <v>3101.7</v>
      </c>
      <c r="F8" s="167">
        <v>0.7</v>
      </c>
      <c r="G8" s="162">
        <f t="shared" si="1"/>
        <v>7237.2999999999993</v>
      </c>
      <c r="H8" s="167">
        <v>0.1</v>
      </c>
      <c r="I8" s="162">
        <f t="shared" si="2"/>
        <v>1033.9000000000001</v>
      </c>
    </row>
    <row r="9" spans="2:9" x14ac:dyDescent="0.25">
      <c r="B9" s="173">
        <v>2016</v>
      </c>
      <c r="C9" s="178">
        <v>10261</v>
      </c>
      <c r="D9" s="156">
        <v>0.4</v>
      </c>
      <c r="E9" s="163">
        <f t="shared" si="0"/>
        <v>4104.4000000000005</v>
      </c>
      <c r="F9" s="168">
        <v>0.6</v>
      </c>
      <c r="G9" s="163">
        <f t="shared" si="1"/>
        <v>6156.5999999999995</v>
      </c>
      <c r="H9" s="168">
        <v>0.1</v>
      </c>
      <c r="I9" s="163">
        <f t="shared" si="2"/>
        <v>1026.1000000000001</v>
      </c>
    </row>
    <row r="10" spans="2:9" x14ac:dyDescent="0.25">
      <c r="B10" s="174">
        <v>2015</v>
      </c>
      <c r="C10" s="177">
        <v>6704</v>
      </c>
      <c r="D10" s="155">
        <v>0.5</v>
      </c>
      <c r="E10" s="162">
        <f t="shared" si="0"/>
        <v>3352</v>
      </c>
      <c r="F10" s="167">
        <v>0.5</v>
      </c>
      <c r="G10" s="162">
        <f t="shared" si="1"/>
        <v>3352</v>
      </c>
      <c r="H10" s="167">
        <v>0.1</v>
      </c>
      <c r="I10" s="162">
        <f t="shared" si="2"/>
        <v>670.40000000000009</v>
      </c>
    </row>
    <row r="11" spans="2:9" x14ac:dyDescent="0.25">
      <c r="B11" s="173">
        <v>2014</v>
      </c>
      <c r="C11" s="178">
        <v>7180</v>
      </c>
      <c r="D11" s="156">
        <v>0.6</v>
      </c>
      <c r="E11" s="163">
        <f t="shared" si="0"/>
        <v>4308</v>
      </c>
      <c r="F11" s="168">
        <v>0.4</v>
      </c>
      <c r="G11" s="163">
        <f t="shared" si="1"/>
        <v>2872</v>
      </c>
      <c r="H11" s="168">
        <v>0.1</v>
      </c>
      <c r="I11" s="163">
        <f t="shared" si="2"/>
        <v>718</v>
      </c>
    </row>
    <row r="12" spans="2:9" x14ac:dyDescent="0.25">
      <c r="B12" s="174">
        <v>2013</v>
      </c>
      <c r="C12" s="177">
        <v>7503</v>
      </c>
      <c r="D12" s="155">
        <v>0.7</v>
      </c>
      <c r="E12" s="162">
        <f t="shared" si="0"/>
        <v>5252.0999999999995</v>
      </c>
      <c r="F12" s="167">
        <v>0.3</v>
      </c>
      <c r="G12" s="162">
        <f t="shared" si="1"/>
        <v>2250.9</v>
      </c>
      <c r="H12" s="167">
        <v>0.1</v>
      </c>
      <c r="I12" s="162">
        <f t="shared" si="2"/>
        <v>750.30000000000007</v>
      </c>
    </row>
    <row r="13" spans="2:9" x14ac:dyDescent="0.25">
      <c r="B13" s="173">
        <v>2012</v>
      </c>
      <c r="C13" s="178">
        <v>8168</v>
      </c>
      <c r="D13" s="156">
        <v>0.8</v>
      </c>
      <c r="E13" s="163">
        <f t="shared" si="0"/>
        <v>6534.4000000000005</v>
      </c>
      <c r="F13" s="168">
        <v>0.2</v>
      </c>
      <c r="G13" s="163">
        <f t="shared" si="1"/>
        <v>1633.6000000000001</v>
      </c>
      <c r="H13" s="168">
        <v>0.1</v>
      </c>
      <c r="I13" s="163">
        <f t="shared" si="2"/>
        <v>816.80000000000007</v>
      </c>
    </row>
    <row r="14" spans="2:9" x14ac:dyDescent="0.25">
      <c r="B14" s="174">
        <v>2011</v>
      </c>
      <c r="C14" s="177">
        <v>8467</v>
      </c>
      <c r="D14" s="155">
        <v>0.9</v>
      </c>
      <c r="E14" s="162">
        <f t="shared" si="0"/>
        <v>7620.3</v>
      </c>
      <c r="F14" s="167">
        <v>0.1</v>
      </c>
      <c r="G14" s="162">
        <f t="shared" si="1"/>
        <v>846.7</v>
      </c>
      <c r="H14" s="167">
        <v>0.1</v>
      </c>
      <c r="I14" s="162">
        <f t="shared" si="2"/>
        <v>846.7</v>
      </c>
    </row>
    <row r="15" spans="2:9" ht="15.75" thickBot="1" x14ac:dyDescent="0.3">
      <c r="B15" s="175">
        <v>2010</v>
      </c>
      <c r="C15" s="179">
        <v>11111</v>
      </c>
      <c r="D15" s="164">
        <v>1</v>
      </c>
      <c r="E15" s="165">
        <f t="shared" si="0"/>
        <v>11111</v>
      </c>
      <c r="F15" s="169">
        <v>0</v>
      </c>
      <c r="G15" s="165">
        <f t="shared" si="1"/>
        <v>0</v>
      </c>
      <c r="H15" s="169">
        <v>0.1</v>
      </c>
      <c r="I15" s="165">
        <f t="shared" si="2"/>
        <v>1111.1000000000001</v>
      </c>
    </row>
    <row r="16" spans="2:9" ht="15.75" thickBot="1" x14ac:dyDescent="0.3">
      <c r="B16" s="38"/>
      <c r="C16" s="38"/>
      <c r="D16" s="38"/>
      <c r="E16" s="38"/>
      <c r="F16" s="38"/>
      <c r="G16" s="158">
        <f>SUM(G6:G15)</f>
        <v>40147.199999999997</v>
      </c>
      <c r="H16" s="39"/>
      <c r="I16" s="159">
        <f>SUM(I6:I15)</f>
        <v>8837</v>
      </c>
    </row>
    <row r="17" spans="7:9" ht="15.75" thickBot="1" x14ac:dyDescent="0.3">
      <c r="G17" s="278" t="s">
        <v>139</v>
      </c>
      <c r="I17" s="278" t="s">
        <v>140</v>
      </c>
    </row>
  </sheetData>
  <mergeCells count="4">
    <mergeCell ref="D4:E4"/>
    <mergeCell ref="F4:G4"/>
    <mergeCell ref="H4:I4"/>
    <mergeCell ref="B3:E3"/>
  </mergeCells>
  <pageMargins left="0.7" right="0.7" top="0.75" bottom="0.75" header="0.3" footer="0.3"/>
  <ignoredErrors>
    <ignoredError xmlns:x16r3="http://schemas.microsoft.com/office/spreadsheetml/2018/08/main" sqref="C6" x16r3:misleadingForma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2AFC-32F4-4051-AAAF-F3CCF2C63B27}">
  <sheetPr>
    <tabColor theme="4" tint="0.59999389629810485"/>
  </sheetPr>
  <dimension ref="B2:K28"/>
  <sheetViews>
    <sheetView topLeftCell="A4" workbookViewId="0">
      <selection activeCell="H21" sqref="H21"/>
    </sheetView>
  </sheetViews>
  <sheetFormatPr defaultRowHeight="15" x14ac:dyDescent="0.25"/>
  <cols>
    <col min="2" max="2" width="30.5703125" customWidth="1"/>
    <col min="3" max="3" width="25.42578125" customWidth="1"/>
    <col min="4" max="4" width="11.28515625" customWidth="1"/>
    <col min="5" max="5" width="12.42578125" customWidth="1"/>
    <col min="6" max="6" width="33" customWidth="1"/>
    <col min="7" max="7" width="17.7109375" customWidth="1"/>
    <col min="8" max="8" width="15.28515625" customWidth="1"/>
    <col min="9" max="9" width="4.42578125" customWidth="1"/>
    <col min="12" max="12" width="14.85546875" customWidth="1"/>
  </cols>
  <sheetData>
    <row r="2" spans="2:11" ht="15.75" thickBot="1" x14ac:dyDescent="0.3"/>
    <row r="3" spans="2:11" x14ac:dyDescent="0.25">
      <c r="B3" s="284" t="s">
        <v>130</v>
      </c>
    </row>
    <row r="4" spans="2:11" ht="15.75" thickBot="1" x14ac:dyDescent="0.3">
      <c r="B4" s="299"/>
    </row>
    <row r="5" spans="2:11" ht="16.5" thickBot="1" x14ac:dyDescent="0.3">
      <c r="B5" s="189" t="s">
        <v>213</v>
      </c>
      <c r="C5" s="210">
        <f>TTM!G6</f>
        <v>13131</v>
      </c>
      <c r="E5" s="33" t="s">
        <v>141</v>
      </c>
      <c r="F5" s="181"/>
      <c r="G5" s="34">
        <v>2019</v>
      </c>
      <c r="H5" s="182">
        <v>2018</v>
      </c>
    </row>
    <row r="6" spans="2:11" ht="15.75" thickBot="1" x14ac:dyDescent="0.3">
      <c r="B6" s="190" t="s">
        <v>214</v>
      </c>
      <c r="C6" s="26">
        <f>'R&amp;D'!C6</f>
        <v>8885</v>
      </c>
      <c r="E6" s="300" t="s">
        <v>62</v>
      </c>
      <c r="F6" s="301"/>
      <c r="G6" s="35">
        <v>46480</v>
      </c>
      <c r="H6" s="183">
        <v>42294</v>
      </c>
    </row>
    <row r="7" spans="2:11" x14ac:dyDescent="0.25">
      <c r="B7" s="191" t="s">
        <v>124</v>
      </c>
      <c r="C7" s="26">
        <f>'R&amp;D'!I16</f>
        <v>8837</v>
      </c>
      <c r="E7" s="302" t="s">
        <v>186</v>
      </c>
      <c r="F7" s="303"/>
      <c r="G7" s="185">
        <v>0.20669999999999999</v>
      </c>
      <c r="H7" s="36">
        <v>0.20669999999999999</v>
      </c>
      <c r="J7" s="282" t="s">
        <v>209</v>
      </c>
      <c r="K7" s="96"/>
    </row>
    <row r="8" spans="2:11" ht="15.75" thickBot="1" x14ac:dyDescent="0.3">
      <c r="B8" s="190" t="s">
        <v>8</v>
      </c>
      <c r="C8" s="211">
        <f>'Cost of Debt (KD)'!G7</f>
        <v>0.27</v>
      </c>
      <c r="E8" s="304"/>
      <c r="F8" s="305"/>
      <c r="G8" s="186">
        <f>G6*G7</f>
        <v>9607.4159999999993</v>
      </c>
      <c r="H8" s="27">
        <f>H6*H7</f>
        <v>8742.1697999999997</v>
      </c>
    </row>
    <row r="9" spans="2:11" ht="15.75" thickBot="1" x14ac:dyDescent="0.3">
      <c r="B9" s="192" t="s">
        <v>125</v>
      </c>
      <c r="C9" s="27">
        <f>(C5+C6-C7)*(1-C8)</f>
        <v>9620.67</v>
      </c>
      <c r="E9" s="187" t="s">
        <v>63</v>
      </c>
      <c r="F9" s="188"/>
      <c r="G9" s="214">
        <f>G8-H8</f>
        <v>865.24619999999959</v>
      </c>
    </row>
    <row r="10" spans="2:11" ht="15.75" thickBot="1" x14ac:dyDescent="0.3"/>
    <row r="11" spans="2:11" ht="16.5" thickBot="1" x14ac:dyDescent="0.3">
      <c r="B11" s="184" t="s">
        <v>143</v>
      </c>
      <c r="C11" s="107">
        <v>2019</v>
      </c>
    </row>
    <row r="12" spans="2:11" x14ac:dyDescent="0.25">
      <c r="B12" s="193" t="s">
        <v>57</v>
      </c>
      <c r="C12" s="46">
        <v>3473</v>
      </c>
      <c r="E12" s="98" t="s">
        <v>196</v>
      </c>
      <c r="F12" s="98"/>
      <c r="G12" s="98"/>
      <c r="H12" s="96"/>
      <c r="I12" s="96"/>
      <c r="J12" s="96"/>
    </row>
    <row r="13" spans="2:11" x14ac:dyDescent="0.25">
      <c r="B13" s="194" t="s">
        <v>58</v>
      </c>
      <c r="C13" s="47">
        <v>3652</v>
      </c>
      <c r="E13" s="98" t="s">
        <v>197</v>
      </c>
      <c r="F13" s="98"/>
      <c r="G13" s="98"/>
      <c r="H13" s="96"/>
      <c r="I13" s="96"/>
      <c r="J13" s="96"/>
    </row>
    <row r="14" spans="2:11" x14ac:dyDescent="0.25">
      <c r="B14" s="194" t="s">
        <v>60</v>
      </c>
      <c r="C14" s="47">
        <f>C12-C13</f>
        <v>-179</v>
      </c>
    </row>
    <row r="15" spans="2:11" x14ac:dyDescent="0.25">
      <c r="B15" s="194" t="s">
        <v>138</v>
      </c>
      <c r="C15" s="47">
        <f>'R&amp;D'!C6</f>
        <v>8885</v>
      </c>
      <c r="H15" s="3"/>
    </row>
    <row r="16" spans="2:11" x14ac:dyDescent="0.25">
      <c r="B16" s="194" t="s">
        <v>124</v>
      </c>
      <c r="C16" s="47">
        <f>'R&amp;D'!I16</f>
        <v>8837</v>
      </c>
    </row>
    <row r="17" spans="2:10" x14ac:dyDescent="0.25">
      <c r="B17" s="195" t="s">
        <v>59</v>
      </c>
      <c r="C17" s="212">
        <f>3620+1040+294</f>
        <v>4954</v>
      </c>
      <c r="E17" s="98" t="s">
        <v>198</v>
      </c>
      <c r="F17" s="96"/>
      <c r="G17" s="96"/>
      <c r="H17" s="96"/>
      <c r="I17" s="96"/>
      <c r="J17" s="96"/>
    </row>
    <row r="18" spans="2:10" ht="15.75" thickBot="1" x14ac:dyDescent="0.3">
      <c r="B18" s="196" t="s">
        <v>61</v>
      </c>
      <c r="C18" s="213">
        <f>C14+C15-C16+C17</f>
        <v>4823</v>
      </c>
      <c r="E18" s="98" t="s">
        <v>199</v>
      </c>
      <c r="F18" s="96"/>
      <c r="G18" s="96"/>
      <c r="H18" s="96"/>
      <c r="I18" s="96"/>
      <c r="J18" s="96"/>
    </row>
    <row r="21" spans="2:10" ht="15.75" thickBot="1" x14ac:dyDescent="0.3"/>
    <row r="22" spans="2:10" ht="16.5" thickBot="1" x14ac:dyDescent="0.3">
      <c r="B22" s="180" t="s">
        <v>142</v>
      </c>
      <c r="F22" s="1"/>
    </row>
    <row r="23" spans="2:10" ht="15.75" x14ac:dyDescent="0.25">
      <c r="B23" s="197" t="s">
        <v>64</v>
      </c>
      <c r="C23" s="198"/>
      <c r="D23" s="218">
        <f>D24+D25</f>
        <v>5688.2461999999996</v>
      </c>
      <c r="F23" s="205" t="s">
        <v>67</v>
      </c>
      <c r="G23" s="206"/>
      <c r="H23" s="270">
        <f>H24-H25</f>
        <v>3932.4238000000005</v>
      </c>
    </row>
    <row r="24" spans="2:10" x14ac:dyDescent="0.25">
      <c r="B24" s="199" t="s">
        <v>65</v>
      </c>
      <c r="C24" s="200"/>
      <c r="D24" s="126">
        <f>C18</f>
        <v>4823</v>
      </c>
      <c r="F24" s="199" t="s">
        <v>68</v>
      </c>
      <c r="G24" s="208"/>
      <c r="H24" s="215">
        <f>C9</f>
        <v>9620.67</v>
      </c>
    </row>
    <row r="25" spans="2:10" ht="15.75" thickBot="1" x14ac:dyDescent="0.3">
      <c r="B25" s="201" t="s">
        <v>66</v>
      </c>
      <c r="C25" s="202"/>
      <c r="D25" s="27">
        <f>G9</f>
        <v>865.24619999999959</v>
      </c>
      <c r="F25" s="203" t="s">
        <v>64</v>
      </c>
      <c r="G25" s="209"/>
      <c r="H25" s="216">
        <f>D23</f>
        <v>5688.2461999999996</v>
      </c>
    </row>
    <row r="26" spans="2:10" ht="15.75" thickBot="1" x14ac:dyDescent="0.3"/>
    <row r="27" spans="2:10" ht="15.75" x14ac:dyDescent="0.25">
      <c r="F27" s="207" t="s">
        <v>67</v>
      </c>
      <c r="G27" s="206"/>
      <c r="H27" s="270">
        <f>H24*(1-H28)</f>
        <v>3932.4238000000009</v>
      </c>
    </row>
    <row r="28" spans="2:10" ht="15.75" thickBot="1" x14ac:dyDescent="0.3">
      <c r="F28" s="203" t="s">
        <v>69</v>
      </c>
      <c r="G28" s="204"/>
      <c r="H28" s="217">
        <f>D23/H24</f>
        <v>0.59125260506804611</v>
      </c>
    </row>
  </sheetData>
  <mergeCells count="3">
    <mergeCell ref="B3:B4"/>
    <mergeCell ref="E6:F6"/>
    <mergeCell ref="E7:F8"/>
  </mergeCells>
  <pageMargins left="0.7" right="0.7" top="0.75" bottom="0.75" header="0.3" footer="0.3"/>
  <pageSetup paperSize="9" orientation="portrait" horizontalDpi="0" verticalDpi="0" r:id="rId1"/>
  <ignoredErrors>
    <ignoredError xmlns:x16r3="http://schemas.microsoft.com/office/spreadsheetml/2018/08/main" sqref="H24" x16r3:misleadingForma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38C4-8971-4277-9AC5-ED9524DF1881}">
  <sheetPr>
    <tabColor theme="4" tint="0.59999389629810485"/>
  </sheetPr>
  <dimension ref="B3:N10"/>
  <sheetViews>
    <sheetView workbookViewId="0">
      <selection activeCell="C10" sqref="C10"/>
    </sheetView>
  </sheetViews>
  <sheetFormatPr defaultRowHeight="15" x14ac:dyDescent="0.25"/>
  <cols>
    <col min="2" max="2" width="20.140625" customWidth="1"/>
    <col min="3" max="3" width="23" customWidth="1"/>
    <col min="4" max="4" width="19.7109375" customWidth="1"/>
    <col min="6" max="6" width="22.42578125" customWidth="1"/>
    <col min="7" max="7" width="14.7109375" customWidth="1"/>
  </cols>
  <sheetData>
    <row r="3" spans="2:14" ht="15.75" thickBot="1" x14ac:dyDescent="0.3"/>
    <row r="4" spans="2:14" ht="21.75" thickBot="1" x14ac:dyDescent="0.3">
      <c r="B4" s="14" t="s">
        <v>0</v>
      </c>
    </row>
    <row r="5" spans="2:14" x14ac:dyDescent="0.25">
      <c r="B5" s="219" t="s">
        <v>109</v>
      </c>
      <c r="C5" s="31">
        <f>'Cost of Equity (KE)'!C11</f>
        <v>7.1000000000000004E-3</v>
      </c>
      <c r="E5" s="98" t="s">
        <v>202</v>
      </c>
      <c r="F5" s="98"/>
      <c r="G5" s="98"/>
      <c r="H5" s="98"/>
      <c r="I5" s="98"/>
      <c r="J5" s="98"/>
      <c r="K5" s="98"/>
      <c r="L5" s="98"/>
      <c r="M5" s="98"/>
      <c r="N5" s="277"/>
    </row>
    <row r="6" spans="2:14" x14ac:dyDescent="0.25">
      <c r="B6" s="220" t="s">
        <v>155</v>
      </c>
      <c r="C6" s="4">
        <v>0.8</v>
      </c>
      <c r="E6" s="98" t="s">
        <v>200</v>
      </c>
      <c r="F6" s="98"/>
      <c r="G6" s="98"/>
      <c r="H6" s="98"/>
      <c r="I6" s="98"/>
      <c r="J6" s="98"/>
      <c r="K6" s="98"/>
      <c r="L6" s="98"/>
      <c r="M6" s="98"/>
      <c r="N6" s="277"/>
    </row>
    <row r="7" spans="2:14" x14ac:dyDescent="0.25">
      <c r="B7" s="220" t="s">
        <v>2</v>
      </c>
      <c r="C7" s="41">
        <f>'Cost of Equity (KE)'!C13</f>
        <v>6.0100000000000001E-2</v>
      </c>
      <c r="E7" s="98" t="s">
        <v>201</v>
      </c>
      <c r="F7" s="98"/>
      <c r="G7" s="98"/>
      <c r="H7" s="98"/>
      <c r="I7" s="98"/>
      <c r="J7" s="98"/>
      <c r="K7" s="98"/>
      <c r="L7" s="98"/>
      <c r="M7" s="98"/>
      <c r="N7" s="277"/>
    </row>
    <row r="8" spans="2:14" x14ac:dyDescent="0.25">
      <c r="B8" s="220" t="s">
        <v>3</v>
      </c>
      <c r="C8" s="43">
        <f>'Cost of Equity (KE)'!C14</f>
        <v>1.3787459436379164E-2</v>
      </c>
    </row>
    <row r="9" spans="2:14" ht="15.75" thickBot="1" x14ac:dyDescent="0.3">
      <c r="B9" s="221" t="s">
        <v>156</v>
      </c>
      <c r="C9" s="44">
        <f>C5+C6*(C7)+C8</f>
        <v>6.8967459436379164E-2</v>
      </c>
    </row>
    <row r="10" spans="2:14" ht="21.75" thickBot="1" x14ac:dyDescent="0.3">
      <c r="B10" s="45" t="s">
        <v>151</v>
      </c>
      <c r="C10" s="222">
        <f>C9*(WACC!C10)+WACC!C6*(WACC!C11)</f>
        <v>6.1205083485479282E-2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0B77-B94D-4591-9B0D-4C847DA29BDF}">
  <sheetPr>
    <tabColor theme="4" tint="0.59999389629810485"/>
  </sheetPr>
  <dimension ref="B2:P20"/>
  <sheetViews>
    <sheetView workbookViewId="0">
      <selection activeCell="J20" sqref="J20"/>
    </sheetView>
  </sheetViews>
  <sheetFormatPr defaultRowHeight="15" x14ac:dyDescent="0.25"/>
  <cols>
    <col min="5" max="5" width="12.28515625" bestFit="1" customWidth="1"/>
    <col min="8" max="8" width="29.28515625" customWidth="1"/>
    <col min="9" max="9" width="12.5703125" bestFit="1" customWidth="1"/>
    <col min="10" max="10" width="11.28515625" bestFit="1" customWidth="1"/>
    <col min="11" max="11" width="12.140625" customWidth="1"/>
    <col min="12" max="12" width="11.140625" customWidth="1"/>
    <col min="13" max="13" width="11.5703125" customWidth="1"/>
    <col min="16" max="16" width="10.28515625" bestFit="1" customWidth="1"/>
  </cols>
  <sheetData>
    <row r="2" spans="2:16" ht="15.75" thickBot="1" x14ac:dyDescent="0.3"/>
    <row r="3" spans="2:16" ht="16.5" thickBot="1" x14ac:dyDescent="0.3">
      <c r="B3" s="309" t="s">
        <v>118</v>
      </c>
      <c r="C3" s="310"/>
      <c r="D3" s="310"/>
      <c r="E3" s="311"/>
      <c r="H3" s="317" t="s">
        <v>119</v>
      </c>
      <c r="I3" s="318"/>
      <c r="J3" s="318"/>
      <c r="K3" s="318"/>
      <c r="L3" s="318"/>
      <c r="M3" s="319"/>
    </row>
    <row r="4" spans="2:16" x14ac:dyDescent="0.25">
      <c r="B4" s="312" t="s">
        <v>126</v>
      </c>
      <c r="C4" s="313"/>
      <c r="D4" s="314"/>
      <c r="E4" s="131">
        <f>'Free Cash Flow To The Firm'!H24</f>
        <v>9620.67</v>
      </c>
      <c r="H4" s="223" t="s">
        <v>144</v>
      </c>
      <c r="I4" s="235">
        <f>$E$12</f>
        <v>7.0521976414345794E-2</v>
      </c>
      <c r="J4" s="235">
        <f>$E$12</f>
        <v>7.0521976414345794E-2</v>
      </c>
      <c r="K4" s="235">
        <f>$E$12</f>
        <v>7.0521976414345794E-2</v>
      </c>
      <c r="L4" s="235">
        <f>$E$12</f>
        <v>7.0521976414345794E-2</v>
      </c>
      <c r="M4" s="236">
        <f>$E$12</f>
        <v>7.0521976414345794E-2</v>
      </c>
    </row>
    <row r="5" spans="2:16" x14ac:dyDescent="0.25">
      <c r="B5" s="320" t="s">
        <v>120</v>
      </c>
      <c r="C5" s="321"/>
      <c r="D5" s="322"/>
      <c r="E5" s="26">
        <v>26300</v>
      </c>
      <c r="F5" s="29"/>
      <c r="H5" s="225" t="s">
        <v>133</v>
      </c>
      <c r="I5" s="237">
        <v>1</v>
      </c>
      <c r="J5" s="237">
        <v>2</v>
      </c>
      <c r="K5" s="237">
        <v>3</v>
      </c>
      <c r="L5" s="237">
        <v>4</v>
      </c>
      <c r="M5" s="238">
        <v>5</v>
      </c>
    </row>
    <row r="6" spans="2:16" x14ac:dyDescent="0.25">
      <c r="B6" s="320" t="s">
        <v>127</v>
      </c>
      <c r="C6" s="321"/>
      <c r="D6" s="322"/>
      <c r="E6" s="228">
        <v>21637</v>
      </c>
      <c r="F6" s="3"/>
      <c r="H6" s="224" t="s">
        <v>145</v>
      </c>
      <c r="I6" s="239">
        <f>$E$4*(1+I4)^I5</f>
        <v>10299.138662830204</v>
      </c>
      <c r="J6" s="239">
        <f>$E$4*(1+J4)^J5</f>
        <v>11025.454276698394</v>
      </c>
      <c r="K6" s="239">
        <f>$E$4*(1+K4)^K5</f>
        <v>11802.991103157168</v>
      </c>
      <c r="L6" s="239">
        <f>$E$4*(1+L4)^L5</f>
        <v>12635.361363352751</v>
      </c>
      <c r="M6" s="240">
        <f>$E$4*(1+M4)^M5</f>
        <v>13526.432019405853</v>
      </c>
    </row>
    <row r="7" spans="2:16" x14ac:dyDescent="0.25">
      <c r="B7" s="320" t="s">
        <v>128</v>
      </c>
      <c r="C7" s="321"/>
      <c r="D7" s="322"/>
      <c r="E7" s="229">
        <v>7425</v>
      </c>
      <c r="H7" s="225" t="s">
        <v>146</v>
      </c>
      <c r="I7" s="241">
        <f>I6*$E$11</f>
        <v>6089.3925643553912</v>
      </c>
      <c r="J7" s="241">
        <f>J6*$E$11</f>
        <v>6518.8285631565559</v>
      </c>
      <c r="K7" s="241">
        <f>K6*$E$11</f>
        <v>6978.5492373366469</v>
      </c>
      <c r="L7" s="241">
        <f>L6*$E$11</f>
        <v>7470.6903220584527</v>
      </c>
      <c r="M7" s="242">
        <f>M6*$E$11</f>
        <v>7997.5381687495419</v>
      </c>
    </row>
    <row r="8" spans="2:16" ht="15.75" thickBot="1" x14ac:dyDescent="0.3">
      <c r="B8" s="306" t="s">
        <v>129</v>
      </c>
      <c r="C8" s="307"/>
      <c r="D8" s="308"/>
      <c r="E8" s="230">
        <f>E4/(E5+E6-E7)</f>
        <v>0.23747704383886256</v>
      </c>
      <c r="G8" s="30"/>
      <c r="H8" s="224" t="s">
        <v>130</v>
      </c>
      <c r="I8" s="239">
        <f>I6-I7</f>
        <v>4209.7460984748132</v>
      </c>
      <c r="J8" s="239">
        <f t="shared" ref="J8:L8" si="0">J6-J7</f>
        <v>4506.6257135418382</v>
      </c>
      <c r="K8" s="239">
        <f t="shared" si="0"/>
        <v>4824.4418658205213</v>
      </c>
      <c r="L8" s="239">
        <f t="shared" si="0"/>
        <v>5164.6710412942984</v>
      </c>
      <c r="M8" s="240">
        <f>M6-M7</f>
        <v>5528.8938506563109</v>
      </c>
      <c r="P8" s="40"/>
    </row>
    <row r="9" spans="2:16" x14ac:dyDescent="0.25">
      <c r="B9" s="312" t="s">
        <v>131</v>
      </c>
      <c r="C9" s="313"/>
      <c r="D9" s="314"/>
      <c r="E9" s="229">
        <f>'R&amp;D'!G16</f>
        <v>40147.199999999997</v>
      </c>
      <c r="H9" s="225" t="s">
        <v>49</v>
      </c>
      <c r="I9" s="243">
        <f>WACC!$C$3</f>
        <v>4.5539779810007591E-2</v>
      </c>
      <c r="J9" s="243">
        <f>WACC!$C$3</f>
        <v>4.5539779810007591E-2</v>
      </c>
      <c r="K9" s="243">
        <f>WACC!$C$3</f>
        <v>4.5539779810007591E-2</v>
      </c>
      <c r="L9" s="243">
        <f>WACC!$C$3</f>
        <v>4.5539779810007591E-2</v>
      </c>
      <c r="M9" s="244">
        <f>WACC!$C$3</f>
        <v>4.5539779810007591E-2</v>
      </c>
    </row>
    <row r="10" spans="2:16" ht="15.75" thickBot="1" x14ac:dyDescent="0.3">
      <c r="B10" s="306" t="s">
        <v>132</v>
      </c>
      <c r="C10" s="307"/>
      <c r="D10" s="308"/>
      <c r="E10" s="230">
        <f>E4/(E5+E6-E7+E9)</f>
        <v>0.11927554451321115</v>
      </c>
      <c r="H10" s="251" t="s">
        <v>147</v>
      </c>
      <c r="I10" s="245">
        <f>I8/(1+I9)^I5</f>
        <v>4026.3853941930315</v>
      </c>
      <c r="J10" s="245">
        <f>J8/(1+J9)^J5</f>
        <v>4122.592112928156</v>
      </c>
      <c r="K10" s="245">
        <f t="shared" ref="K10:M10" si="1">K8/(1+K9)^K5</f>
        <v>4221.0976013595782</v>
      </c>
      <c r="L10" s="245">
        <f t="shared" si="1"/>
        <v>4321.9567864423561</v>
      </c>
      <c r="M10" s="246">
        <f t="shared" si="1"/>
        <v>4425.2259075598504</v>
      </c>
    </row>
    <row r="11" spans="2:16" ht="15.75" thickBot="1" x14ac:dyDescent="0.3">
      <c r="B11" s="312" t="s">
        <v>149</v>
      </c>
      <c r="C11" s="313"/>
      <c r="D11" s="314"/>
      <c r="E11" s="231">
        <f>'Free Cash Flow To The Firm'!H28</f>
        <v>0.59125260506804611</v>
      </c>
      <c r="H11" s="250" t="s">
        <v>148</v>
      </c>
      <c r="I11" s="247">
        <f>SUM(I10:M10)</f>
        <v>21117.257802482971</v>
      </c>
    </row>
    <row r="12" spans="2:16" ht="15.75" thickBot="1" x14ac:dyDescent="0.3">
      <c r="B12" s="306" t="s">
        <v>150</v>
      </c>
      <c r="C12" s="307"/>
      <c r="D12" s="308"/>
      <c r="E12" s="232">
        <f>E11*E10</f>
        <v>7.0521976414345794E-2</v>
      </c>
      <c r="H12" s="226" t="s">
        <v>159</v>
      </c>
      <c r="I12" s="248">
        <f>I11/(1+WACC!C3)^M5</f>
        <v>16901.868411359563</v>
      </c>
    </row>
    <row r="13" spans="2:16" ht="15.75" thickBot="1" x14ac:dyDescent="0.3">
      <c r="H13" s="227" t="s">
        <v>187</v>
      </c>
      <c r="I13" s="249">
        <f>I11+I12</f>
        <v>38019.126213842537</v>
      </c>
    </row>
    <row r="14" spans="2:16" ht="16.5" thickBot="1" x14ac:dyDescent="0.3">
      <c r="B14" s="309" t="s">
        <v>121</v>
      </c>
      <c r="C14" s="310"/>
      <c r="D14" s="310"/>
      <c r="E14" s="311"/>
    </row>
    <row r="15" spans="2:16" x14ac:dyDescent="0.25">
      <c r="B15" s="312" t="s">
        <v>154</v>
      </c>
      <c r="C15" s="313"/>
      <c r="D15" s="314"/>
      <c r="E15" s="233">
        <f>'Cost of Equity (KE)'!C11</f>
        <v>7.1000000000000004E-3</v>
      </c>
    </row>
    <row r="16" spans="2:16" x14ac:dyDescent="0.25">
      <c r="B16" s="320" t="s">
        <v>152</v>
      </c>
      <c r="C16" s="321"/>
      <c r="D16" s="322"/>
      <c r="E16" s="234">
        <f>'WACC Stable'!C10</f>
        <v>6.1205083485479282E-2</v>
      </c>
      <c r="H16" s="98" t="s">
        <v>204</v>
      </c>
      <c r="I16" s="96"/>
      <c r="J16" s="96"/>
    </row>
    <row r="17" spans="2:10" x14ac:dyDescent="0.25">
      <c r="B17" s="320" t="s">
        <v>153</v>
      </c>
      <c r="C17" s="321"/>
      <c r="D17" s="322"/>
      <c r="E17" s="75">
        <f>E15/E16</f>
        <v>0.11600343624536438</v>
      </c>
      <c r="H17" s="98" t="s">
        <v>203</v>
      </c>
      <c r="I17" s="96"/>
      <c r="J17" s="96"/>
    </row>
    <row r="18" spans="2:10" x14ac:dyDescent="0.25">
      <c r="B18" s="82" t="s">
        <v>157</v>
      </c>
      <c r="C18" s="84"/>
      <c r="D18" s="84"/>
      <c r="E18" s="26">
        <f>M6*(1+E15)</f>
        <v>13622.469686743636</v>
      </c>
    </row>
    <row r="19" spans="2:10" ht="15.75" thickBot="1" x14ac:dyDescent="0.3">
      <c r="B19" s="323" t="s">
        <v>158</v>
      </c>
      <c r="C19" s="324"/>
      <c r="D19" s="325"/>
      <c r="E19" s="252">
        <f>E18*(1-E17)</f>
        <v>12042.216392933062</v>
      </c>
    </row>
    <row r="20" spans="2:10" ht="15.75" thickBot="1" x14ac:dyDescent="0.3">
      <c r="B20" s="315" t="s">
        <v>122</v>
      </c>
      <c r="C20" s="316"/>
      <c r="D20" s="316"/>
      <c r="E20" s="101">
        <f>E19/(E16-E15)</f>
        <v>222570.88645219355</v>
      </c>
    </row>
  </sheetData>
  <mergeCells count="17">
    <mergeCell ref="H3:M3"/>
    <mergeCell ref="B9:D9"/>
    <mergeCell ref="B8:D8"/>
    <mergeCell ref="B5:D5"/>
    <mergeCell ref="B4:D4"/>
    <mergeCell ref="B3:E3"/>
    <mergeCell ref="B6:D6"/>
    <mergeCell ref="B7:D7"/>
    <mergeCell ref="B10:D10"/>
    <mergeCell ref="B14:E14"/>
    <mergeCell ref="B12:D12"/>
    <mergeCell ref="B11:D11"/>
    <mergeCell ref="B20:D20"/>
    <mergeCell ref="B17:D17"/>
    <mergeCell ref="B19:D19"/>
    <mergeCell ref="B16:D16"/>
    <mergeCell ref="B15:D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Cost of Equity (KE)</vt:lpstr>
      <vt:lpstr>Cost of Debt (KD)</vt:lpstr>
      <vt:lpstr>Market Value of Debt</vt:lpstr>
      <vt:lpstr>WACC</vt:lpstr>
      <vt:lpstr>TTM</vt:lpstr>
      <vt:lpstr>R&amp;D</vt:lpstr>
      <vt:lpstr>Free Cash Flow To The Firm</vt:lpstr>
      <vt:lpstr>WACC Stable</vt:lpstr>
      <vt:lpstr>Growth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Merck &amp; Co. Inc. Analysis</dc:title>
  <dc:creator>SANFILIPPO GIUSEPPE ANTONIO</dc:creator>
  <cp:lastModifiedBy>.chrno</cp:lastModifiedBy>
  <dcterms:created xsi:type="dcterms:W3CDTF">2015-06-05T18:19:34Z</dcterms:created>
  <dcterms:modified xsi:type="dcterms:W3CDTF">2020-06-19T10:59:39Z</dcterms:modified>
</cp:coreProperties>
</file>