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49D003D-7701-4823-8FBB-909980ABFAF4}" xr6:coauthVersionLast="47" xr6:coauthVersionMax="47" xr10:uidLastSave="{00000000-0000-0000-0000-000000000000}"/>
  <bookViews>
    <workbookView xWindow="-120" yWindow="-120" windowWidth="29040" windowHeight="15840" xr2:uid="{0A6FAC41-C2C4-48E5-AA85-8063DD4A5C11}"/>
  </bookViews>
  <sheets>
    <sheet name="Historicals" sheetId="2" r:id="rId1"/>
    <sheet name="DCF Model" sheetId="1" r:id="rId2"/>
  </sheets>
  <externalReferences>
    <externalReference r:id="rId3"/>
  </externalReferences>
  <definedNames>
    <definedName name="tgr">'DCF Model'!$E$16</definedName>
    <definedName name="wacc">'DCF Model'!$E$14</definedName>
    <definedName name="y">'DCF Model'!$E$14</definedName>
    <definedName name="yurt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M29" i="1"/>
  <c r="L29" i="1"/>
  <c r="K29" i="1"/>
  <c r="J29" i="1"/>
  <c r="I29" i="1"/>
  <c r="H29" i="1"/>
  <c r="M26" i="1"/>
  <c r="L26" i="1"/>
  <c r="K26" i="1"/>
  <c r="J26" i="1"/>
  <c r="I26" i="1"/>
  <c r="H26" i="1"/>
  <c r="M22" i="1"/>
  <c r="L22" i="1"/>
  <c r="K22" i="1"/>
  <c r="J22" i="1"/>
  <c r="I22" i="1"/>
  <c r="H22" i="1"/>
  <c r="G22" i="1"/>
  <c r="M19" i="1"/>
  <c r="L19" i="1"/>
  <c r="K19" i="1"/>
  <c r="J19" i="1"/>
  <c r="I19" i="1"/>
  <c r="H19" i="1"/>
  <c r="G19" i="1"/>
  <c r="S70" i="2"/>
  <c r="R70" i="2"/>
  <c r="Q70" i="2"/>
  <c r="P70" i="2"/>
  <c r="O70" i="2"/>
  <c r="N70" i="2"/>
  <c r="M70" i="2"/>
  <c r="L70" i="2"/>
  <c r="K70" i="2"/>
  <c r="J70" i="2"/>
  <c r="I70" i="2"/>
  <c r="H70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78" i="2"/>
  <c r="S82" i="2" s="1"/>
  <c r="R78" i="2"/>
  <c r="R82" i="2" s="1"/>
  <c r="Q78" i="2"/>
  <c r="Q82" i="2" s="1"/>
  <c r="P78" i="2"/>
  <c r="P82" i="2" s="1"/>
  <c r="O78" i="2"/>
  <c r="O82" i="2" s="1"/>
  <c r="N78" i="2"/>
  <c r="N82" i="2" s="1"/>
  <c r="M78" i="2"/>
  <c r="M82" i="2" s="1"/>
  <c r="L78" i="2"/>
  <c r="L82" i="2" s="1"/>
  <c r="K78" i="2"/>
  <c r="K82" i="2" s="1"/>
  <c r="J78" i="2"/>
  <c r="J82" i="2" s="1"/>
  <c r="I78" i="2"/>
  <c r="I82" i="2" s="1"/>
  <c r="H78" i="2"/>
  <c r="H82" i="2" s="1"/>
  <c r="S75" i="2"/>
  <c r="S76" i="2" s="1"/>
  <c r="R75" i="2"/>
  <c r="R76" i="2" s="1"/>
  <c r="Q75" i="2"/>
  <c r="Q76" i="2" s="1"/>
  <c r="P75" i="2"/>
  <c r="P76" i="2" s="1"/>
  <c r="O75" i="2"/>
  <c r="O76" i="2" s="1"/>
  <c r="N75" i="2"/>
  <c r="N76" i="2" s="1"/>
  <c r="M75" i="2"/>
  <c r="M76" i="2" s="1"/>
  <c r="L75" i="2"/>
  <c r="L76" i="2" s="1"/>
  <c r="K75" i="2"/>
  <c r="K76" i="2" s="1"/>
  <c r="J75" i="2"/>
  <c r="J76" i="2" s="1"/>
  <c r="I75" i="2"/>
  <c r="I76" i="2" s="1"/>
  <c r="H75" i="2"/>
  <c r="H76" i="2" s="1"/>
  <c r="S72" i="2"/>
  <c r="R72" i="2"/>
  <c r="Q72" i="2"/>
  <c r="P72" i="2"/>
  <c r="O72" i="2"/>
  <c r="N72" i="2"/>
  <c r="M72" i="2"/>
  <c r="L72" i="2"/>
  <c r="K72" i="2"/>
  <c r="J72" i="2"/>
  <c r="I72" i="2"/>
  <c r="H72" i="2"/>
  <c r="S69" i="2" l="1"/>
  <c r="R69" i="2"/>
  <c r="Q69" i="2"/>
  <c r="P69" i="2"/>
  <c r="H67" i="2" l="1"/>
  <c r="H68" i="2"/>
  <c r="S66" i="2"/>
  <c r="R66" i="2"/>
  <c r="Q66" i="2"/>
  <c r="P66" i="2"/>
  <c r="O66" i="2"/>
  <c r="P73" i="2" l="1"/>
  <c r="P84" i="2" s="1"/>
  <c r="Q73" i="2"/>
  <c r="Q84" i="2" s="1"/>
  <c r="R73" i="2"/>
  <c r="R84" i="2" s="1"/>
  <c r="S73" i="2"/>
  <c r="S84" i="2" s="1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S48" i="2"/>
  <c r="R48" i="2"/>
  <c r="Q48" i="2"/>
  <c r="P48" i="2"/>
  <c r="O48" i="2"/>
  <c r="G48" i="2"/>
  <c r="Q63" i="2" l="1"/>
  <c r="R63" i="2"/>
  <c r="O63" i="2"/>
  <c r="S63" i="2"/>
  <c r="P63" i="2"/>
  <c r="G63" i="2"/>
  <c r="N38" i="2"/>
  <c r="M38" i="2"/>
  <c r="L38" i="2"/>
  <c r="K38" i="2"/>
  <c r="J38" i="2"/>
  <c r="I38" i="2"/>
  <c r="H38" i="2"/>
  <c r="G38" i="2"/>
  <c r="N37" i="2"/>
  <c r="M37" i="2"/>
  <c r="L37" i="2"/>
  <c r="K37" i="2"/>
  <c r="J37" i="2"/>
  <c r="I37" i="2"/>
  <c r="H37" i="2"/>
  <c r="G37" i="2"/>
  <c r="N35" i="2"/>
  <c r="M35" i="2"/>
  <c r="L35" i="2"/>
  <c r="K35" i="2"/>
  <c r="J35" i="2"/>
  <c r="I35" i="2"/>
  <c r="H35" i="2"/>
  <c r="G35" i="2"/>
  <c r="N19" i="2" l="1"/>
  <c r="M19" i="2"/>
  <c r="L19" i="2"/>
  <c r="H41" i="2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L22" i="2" l="1"/>
  <c r="M22" i="2"/>
  <c r="M36" i="2"/>
  <c r="N22" i="2"/>
  <c r="N36" i="2"/>
  <c r="K19" i="2"/>
  <c r="J19" i="2"/>
  <c r="I19" i="2"/>
  <c r="H19" i="2"/>
  <c r="G19" i="2"/>
  <c r="N25" i="2" l="1"/>
  <c r="N27" i="2" s="1"/>
  <c r="N66" i="2" s="1"/>
  <c r="N30" i="2"/>
  <c r="N32" i="2" s="1"/>
  <c r="M25" i="2"/>
  <c r="M27" i="2" s="1"/>
  <c r="M66" i="2" s="1"/>
  <c r="M30" i="2"/>
  <c r="M32" i="2" s="1"/>
  <c r="L25" i="2"/>
  <c r="L30" i="2"/>
  <c r="L32" i="2" s="1"/>
  <c r="H22" i="2"/>
  <c r="H36" i="2"/>
  <c r="J22" i="2"/>
  <c r="J36" i="2"/>
  <c r="N39" i="2"/>
  <c r="K22" i="2"/>
  <c r="K36" i="2"/>
  <c r="I22" i="2"/>
  <c r="I36" i="2"/>
  <c r="L36" i="2"/>
  <c r="G22" i="2"/>
  <c r="G36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K25" i="2" l="1"/>
  <c r="K39" i="2" s="1"/>
  <c r="K30" i="2"/>
  <c r="K32" i="2" s="1"/>
  <c r="G25" i="2"/>
  <c r="G27" i="2" s="1"/>
  <c r="G30" i="2"/>
  <c r="G32" i="2" s="1"/>
  <c r="H25" i="2"/>
  <c r="H39" i="2" s="1"/>
  <c r="H30" i="2"/>
  <c r="H32" i="2" s="1"/>
  <c r="L27" i="2"/>
  <c r="L66" i="2" s="1"/>
  <c r="L39" i="2"/>
  <c r="J25" i="2"/>
  <c r="J30" i="2"/>
  <c r="J32" i="2" s="1"/>
  <c r="I25" i="2"/>
  <c r="I39" i="2" s="1"/>
  <c r="I30" i="2"/>
  <c r="I32" i="2" s="1"/>
  <c r="M39" i="2"/>
  <c r="K27" i="2"/>
  <c r="K66" i="2" s="1"/>
  <c r="G39" i="2"/>
  <c r="H37" i="1"/>
  <c r="I20" i="1"/>
  <c r="K27" i="1"/>
  <c r="L37" i="1"/>
  <c r="N19" i="1"/>
  <c r="O19" i="1"/>
  <c r="O20" i="1" s="1"/>
  <c r="O40" i="1" s="1"/>
  <c r="P19" i="1"/>
  <c r="P20" i="1" s="1"/>
  <c r="P40" i="1" s="1"/>
  <c r="Q19" i="1"/>
  <c r="Q20" i="1" s="1"/>
  <c r="R19" i="1"/>
  <c r="S19" i="1"/>
  <c r="S20" i="1" s="1"/>
  <c r="N20" i="1"/>
  <c r="N40" i="1" s="1"/>
  <c r="S73" i="1"/>
  <c r="S72" i="1"/>
  <c r="N66" i="1"/>
  <c r="O66" i="1" s="1"/>
  <c r="P66" i="1" s="1"/>
  <c r="Q66" i="1" s="1"/>
  <c r="R66" i="1" s="1"/>
  <c r="S66" i="1" s="1"/>
  <c r="M54" i="1"/>
  <c r="L54" i="1"/>
  <c r="K54" i="1"/>
  <c r="J54" i="1"/>
  <c r="I54" i="1"/>
  <c r="H54" i="1"/>
  <c r="G54" i="1"/>
  <c r="S50" i="1"/>
  <c r="N50" i="1"/>
  <c r="S41" i="1"/>
  <c r="S40" i="1"/>
  <c r="S39" i="1"/>
  <c r="P35" i="1"/>
  <c r="Q35" i="1" s="1"/>
  <c r="R35" i="1" s="1"/>
  <c r="S35" i="1" s="1"/>
  <c r="O35" i="1"/>
  <c r="L32" i="1"/>
  <c r="L60" i="1" s="1"/>
  <c r="K32" i="1"/>
  <c r="K60" i="1" s="1"/>
  <c r="J32" i="1"/>
  <c r="J60" i="1" s="1"/>
  <c r="I32" i="1"/>
  <c r="I60" i="1" s="1"/>
  <c r="G60" i="1"/>
  <c r="M57" i="1"/>
  <c r="L57" i="1"/>
  <c r="K57" i="1"/>
  <c r="J57" i="1"/>
  <c r="I57" i="1"/>
  <c r="L27" i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S22" i="1"/>
  <c r="S23" i="1" s="1"/>
  <c r="R22" i="1"/>
  <c r="Q22" i="1"/>
  <c r="Q23" i="1" s="1"/>
  <c r="P22" i="1"/>
  <c r="O22" i="1"/>
  <c r="N22" i="1"/>
  <c r="M43" i="1"/>
  <c r="M44" i="1" s="1"/>
  <c r="L43" i="1"/>
  <c r="K23" i="1"/>
  <c r="J43" i="1"/>
  <c r="J44" i="1" s="1"/>
  <c r="I43" i="1"/>
  <c r="I44" i="1" s="1"/>
  <c r="J27" i="1"/>
  <c r="I27" i="1"/>
  <c r="H27" i="2" l="1"/>
  <c r="H66" i="2" s="1"/>
  <c r="I27" i="2"/>
  <c r="I66" i="2" s="1"/>
  <c r="J27" i="2"/>
  <c r="J66" i="2" s="1"/>
  <c r="J39" i="2"/>
  <c r="I30" i="1"/>
  <c r="K43" i="1"/>
  <c r="K44" i="1" s="1"/>
  <c r="R20" i="1"/>
  <c r="G37" i="1"/>
  <c r="H38" i="1" s="1"/>
  <c r="O23" i="1"/>
  <c r="O46" i="1" s="1"/>
  <c r="O45" i="1" s="1"/>
  <c r="J20" i="1"/>
  <c r="I23" i="1"/>
  <c r="H20" i="1"/>
  <c r="I34" i="1"/>
  <c r="H23" i="1"/>
  <c r="P23" i="1"/>
  <c r="P46" i="1" s="1"/>
  <c r="Q46" i="1" s="1"/>
  <c r="L44" i="1"/>
  <c r="L20" i="1"/>
  <c r="M20" i="1"/>
  <c r="K20" i="1"/>
  <c r="K37" i="1"/>
  <c r="K55" i="1" s="1"/>
  <c r="H18" i="1"/>
  <c r="L55" i="1"/>
  <c r="N39" i="1"/>
  <c r="N41" i="1"/>
  <c r="O39" i="1"/>
  <c r="O41" i="1"/>
  <c r="L58" i="1"/>
  <c r="P39" i="1"/>
  <c r="Q39" i="1" s="1"/>
  <c r="R39" i="1" s="1"/>
  <c r="Q40" i="1"/>
  <c r="P41" i="1"/>
  <c r="Q41" i="1" s="1"/>
  <c r="R41" i="1" s="1"/>
  <c r="H55" i="1"/>
  <c r="L61" i="1"/>
  <c r="J23" i="1"/>
  <c r="R23" i="1"/>
  <c r="J30" i="1"/>
  <c r="I33" i="1"/>
  <c r="J34" i="1"/>
  <c r="G43" i="1"/>
  <c r="G57" i="1"/>
  <c r="M27" i="1"/>
  <c r="K30" i="1"/>
  <c r="J33" i="1"/>
  <c r="K34" i="1"/>
  <c r="H43" i="1"/>
  <c r="H44" i="1" s="1"/>
  <c r="H57" i="1"/>
  <c r="H58" i="1" s="1"/>
  <c r="L23" i="1"/>
  <c r="L30" i="1"/>
  <c r="K33" i="1"/>
  <c r="L34" i="1"/>
  <c r="N67" i="1"/>
  <c r="M37" i="1"/>
  <c r="M23" i="1"/>
  <c r="M30" i="1"/>
  <c r="L33" i="1"/>
  <c r="I37" i="1"/>
  <c r="I38" i="1" s="1"/>
  <c r="O67" i="1"/>
  <c r="P67" i="1" s="1"/>
  <c r="Q67" i="1" s="1"/>
  <c r="R67" i="1" s="1"/>
  <c r="S67" i="1" s="1"/>
  <c r="J37" i="1"/>
  <c r="J61" i="1" s="1"/>
  <c r="O50" i="1"/>
  <c r="N23" i="1"/>
  <c r="N46" i="1" s="1"/>
  <c r="P45" i="1" l="1"/>
  <c r="K61" i="1"/>
  <c r="O47" i="1"/>
  <c r="P47" i="1"/>
  <c r="N61" i="1"/>
  <c r="O61" i="1" s="1"/>
  <c r="L38" i="1"/>
  <c r="K58" i="1"/>
  <c r="N58" i="1" s="1"/>
  <c r="I58" i="1"/>
  <c r="N45" i="1"/>
  <c r="N47" i="1"/>
  <c r="M38" i="1"/>
  <c r="M55" i="1"/>
  <c r="N55" i="1" s="1"/>
  <c r="M58" i="1"/>
  <c r="I61" i="1"/>
  <c r="R46" i="1"/>
  <c r="Q47" i="1"/>
  <c r="Q45" i="1"/>
  <c r="J55" i="1"/>
  <c r="J38" i="1"/>
  <c r="I55" i="1"/>
  <c r="R40" i="1"/>
  <c r="P50" i="1"/>
  <c r="J58" i="1"/>
  <c r="I18" i="1"/>
  <c r="H25" i="1"/>
  <c r="K38" i="1"/>
  <c r="R47" i="1" l="1"/>
  <c r="S46" i="1"/>
  <c r="R45" i="1"/>
  <c r="O55" i="1"/>
  <c r="I25" i="1"/>
  <c r="J18" i="1"/>
  <c r="Q50" i="1"/>
  <c r="P61" i="1"/>
  <c r="O58" i="1"/>
  <c r="P55" i="1" l="1"/>
  <c r="P58" i="1"/>
  <c r="K18" i="1"/>
  <c r="J25" i="1"/>
  <c r="S47" i="1"/>
  <c r="S45" i="1"/>
  <c r="R50" i="1"/>
  <c r="Q61" i="1"/>
  <c r="Q58" i="1" l="1"/>
  <c r="R61" i="1"/>
  <c r="Q55" i="1"/>
  <c r="L18" i="1"/>
  <c r="K25" i="1"/>
  <c r="S61" i="1" l="1"/>
  <c r="M18" i="1"/>
  <c r="L25" i="1"/>
  <c r="R58" i="1"/>
  <c r="R55" i="1"/>
  <c r="M25" i="1" l="1"/>
  <c r="N25" i="1" s="1"/>
  <c r="O25" i="1" s="1"/>
  <c r="P25" i="1" s="1"/>
  <c r="Q25" i="1" s="1"/>
  <c r="R25" i="1" s="1"/>
  <c r="S25" i="1" s="1"/>
  <c r="N18" i="1"/>
  <c r="O18" i="1" s="1"/>
  <c r="P18" i="1" s="1"/>
  <c r="Q18" i="1" s="1"/>
  <c r="R18" i="1" s="1"/>
  <c r="S18" i="1" s="1"/>
  <c r="S55" i="1"/>
  <c r="S58" i="1"/>
  <c r="H60" i="1"/>
  <c r="H61" i="1" s="1"/>
  <c r="I4" i="1"/>
  <c r="I6" i="1"/>
  <c r="N37" i="1"/>
  <c r="O37" i="1"/>
  <c r="P37" i="1"/>
  <c r="Q37" i="1"/>
  <c r="R37" i="1"/>
  <c r="S37" i="1"/>
  <c r="N38" i="1"/>
  <c r="O38" i="1"/>
  <c r="P38" i="1"/>
  <c r="Q38" i="1"/>
  <c r="R38" i="1"/>
  <c r="S38" i="1"/>
  <c r="N43" i="1"/>
  <c r="O43" i="1"/>
  <c r="P43" i="1"/>
  <c r="Q43" i="1"/>
  <c r="R43" i="1"/>
  <c r="S43" i="1"/>
  <c r="N44" i="1"/>
  <c r="O44" i="1"/>
  <c r="P44" i="1"/>
  <c r="Q44" i="1"/>
  <c r="R44" i="1"/>
  <c r="S44" i="1"/>
  <c r="N49" i="1"/>
  <c r="O49" i="1"/>
  <c r="P49" i="1"/>
  <c r="Q49" i="1"/>
  <c r="R49" i="1"/>
  <c r="S49" i="1"/>
  <c r="N52" i="1"/>
  <c r="O52" i="1"/>
  <c r="P52" i="1"/>
  <c r="Q52" i="1"/>
  <c r="R52" i="1"/>
  <c r="S52" i="1"/>
  <c r="N54" i="1"/>
  <c r="O54" i="1"/>
  <c r="P54" i="1"/>
  <c r="Q54" i="1"/>
  <c r="R54" i="1"/>
  <c r="S54" i="1"/>
  <c r="N57" i="1"/>
  <c r="O57" i="1"/>
  <c r="P57" i="1"/>
  <c r="Q57" i="1"/>
  <c r="R57" i="1"/>
  <c r="S57" i="1"/>
  <c r="N60" i="1"/>
  <c r="O60" i="1"/>
  <c r="P60" i="1"/>
  <c r="Q60" i="1"/>
  <c r="R60" i="1"/>
  <c r="S60" i="1"/>
  <c r="N63" i="1"/>
  <c r="O63" i="1"/>
  <c r="P63" i="1"/>
  <c r="Q63" i="1"/>
  <c r="R63" i="1"/>
  <c r="S63" i="1"/>
  <c r="N64" i="1"/>
  <c r="O64" i="1"/>
  <c r="P64" i="1"/>
  <c r="Q64" i="1"/>
  <c r="R64" i="1"/>
  <c r="S64" i="1"/>
  <c r="S69" i="1"/>
  <c r="S70" i="1"/>
  <c r="S71" i="1"/>
  <c r="S74" i="1"/>
  <c r="S77" i="1"/>
  <c r="H42" i="2"/>
  <c r="I42" i="2"/>
  <c r="J42" i="2"/>
  <c r="K42" i="2"/>
  <c r="L42" i="2"/>
  <c r="M42" i="2"/>
  <c r="N42" i="2"/>
  <c r="H48" i="2"/>
  <c r="I48" i="2"/>
  <c r="J48" i="2"/>
  <c r="K48" i="2"/>
  <c r="L48" i="2"/>
  <c r="M48" i="2"/>
  <c r="N48" i="2"/>
  <c r="H63" i="2"/>
  <c r="I63" i="2"/>
  <c r="J63" i="2"/>
  <c r="K63" i="2"/>
  <c r="L63" i="2"/>
  <c r="M63" i="2"/>
  <c r="N63" i="2"/>
  <c r="H69" i="2"/>
  <c r="I69" i="2"/>
  <c r="J69" i="2"/>
  <c r="K69" i="2"/>
  <c r="L69" i="2"/>
  <c r="M69" i="2"/>
  <c r="N69" i="2"/>
  <c r="O69" i="2"/>
  <c r="H73" i="2"/>
  <c r="I73" i="2"/>
  <c r="J73" i="2"/>
  <c r="K73" i="2"/>
  <c r="L73" i="2"/>
  <c r="M73" i="2"/>
  <c r="N73" i="2"/>
  <c r="O73" i="2"/>
  <c r="H84" i="2"/>
  <c r="I84" i="2"/>
  <c r="J84" i="2"/>
  <c r="K84" i="2"/>
  <c r="L84" i="2"/>
  <c r="M84" i="2"/>
  <c r="N84" i="2"/>
  <c r="O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</authors>
  <commentList>
    <comment ref="B54" authorId="0" shapeId="0" xr:uid="{0B4D796D-B945-4BF1-A618-6195F7D63FBF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11A6B691-AF8E-4406-AAEC-11A9D57DE8C7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<sst xmlns="http://schemas.openxmlformats.org/spreadsheetml/2006/main" count="169" uniqueCount="108">
  <si>
    <t>Ticker</t>
  </si>
  <si>
    <t>Implied Share Price</t>
  </si>
  <si>
    <t>Date</t>
  </si>
  <si>
    <t>Current Share Price</t>
  </si>
  <si>
    <t>Year end</t>
  </si>
  <si>
    <t>Implied Gain / (Loss)</t>
  </si>
  <si>
    <t>MICROSOFT DCF</t>
  </si>
  <si>
    <t>MSFT</t>
  </si>
  <si>
    <t>x</t>
  </si>
  <si>
    <t>Assumptions</t>
  </si>
  <si>
    <t>Switches</t>
  </si>
  <si>
    <t>Conservative</t>
  </si>
  <si>
    <t>Street / Base</t>
  </si>
  <si>
    <t>Optimistic</t>
  </si>
  <si>
    <t>Revenue</t>
  </si>
  <si>
    <t>Revenue '24-'25</t>
  </si>
  <si>
    <t>EBIT</t>
  </si>
  <si>
    <t>Revenue 2028</t>
  </si>
  <si>
    <t>WACC</t>
  </si>
  <si>
    <t>EBIT '24-'25</t>
  </si>
  <si>
    <t>TGR</t>
  </si>
  <si>
    <t>Taxes</t>
  </si>
  <si>
    <t>% growth</t>
  </si>
  <si>
    <t>--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</si>
  <si>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</si>
  <si>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</si>
  <si>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</si>
  <si>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</si>
  <si>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</si>
  <si>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</si>
  <si>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</si>
  <si>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</si>
  <si>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</si>
  <si>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Optimistic Case</t>
  </si>
  <si>
    <t>% of EBIT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</si>
  <si>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</si>
  <si>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</si>
  <si>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</si>
  <si>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</si>
  <si>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</si>
  <si>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</si>
  <si>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</si>
  <si>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</si>
  <si>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</si>
  <si>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</si>
  <si>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</si>
  <si>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</si>
  <si>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</si>
  <si>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MICROSOFT HISTORICALS</t>
  </si>
  <si>
    <t>Case Switches</t>
  </si>
  <si>
    <t>Fiscal Year End</t>
  </si>
  <si>
    <t>EBITDA</t>
  </si>
  <si>
    <t>R&amp;D</t>
  </si>
  <si>
    <t>SG&amp;A</t>
  </si>
  <si>
    <t>Tax Margin</t>
  </si>
  <si>
    <t>COGS</t>
  </si>
  <si>
    <t>Interest Expense</t>
  </si>
  <si>
    <t>Interest Income</t>
  </si>
  <si>
    <t>EBT</t>
  </si>
  <si>
    <t>Tax Expense</t>
  </si>
  <si>
    <t>Earnings</t>
  </si>
  <si>
    <t>Income Statement ($m)</t>
  </si>
  <si>
    <t>Balance Sheet ($m)</t>
  </si>
  <si>
    <t>Margins</t>
  </si>
  <si>
    <t>Tax Rate</t>
  </si>
  <si>
    <t>Conservative  Case</t>
  </si>
  <si>
    <t>Base Case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</si>
  <si>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</si>
  <si>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</si>
  <si>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</si>
  <si>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</si>
  <si>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</si>
  <si>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</si>
  <si>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</si>
  <si>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</si>
  <si>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</si>
  <si>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</si>
  <si>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</si>
  <si>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</si>
  <si>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</si>
  <si>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</si>
  <si>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</si>
  <si>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</si>
  <si>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</si>
  <si>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</si>
  <si>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Cashflow Statement</t>
  </si>
  <si>
    <t>Net income</t>
  </si>
  <si>
    <t>Depreciation and amortization</t>
  </si>
  <si>
    <t>Stock based compensation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</si>
  <si>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</si>
  <si>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</si>
  <si>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</si>
  <si>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</si>
  <si>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</si>
  <si>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</si>
  <si>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</si>
  <si>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</si>
  <si>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</si>
  <si>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</si>
  <si>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</si>
  <si>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</si>
  <si>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Balance Check</t>
  </si>
  <si>
    <t>Gross Profit</t>
  </si>
  <si>
    <t>Depreciation &amp; amortization</t>
  </si>
  <si>
    <t>Adjusted EBITDA</t>
  </si>
  <si>
    <t>Schedules</t>
  </si>
  <si>
    <t>Plant, Property, and Equipment</t>
  </si>
  <si>
    <t>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</si>
</sst>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0%;\(0%\)"/>
    <numFmt numFmtId="166" formatCode="0.0%"/>
    <numFmt numFmtId="167" formatCode="0&quot;E&quot;"/>
    <numFmt numFmtId="168" formatCode="0.0%_);\(0.0%\);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0" xfId="0" applyNumberFormat="1"/>
    <xf numFmtId="14" fontId="0" fillId="2" borderId="2" xfId="0" applyNumberFormat="1" applyFill="1" applyBorder="1" applyAlignment="1">
      <alignment horizontal="center"/>
    </xf>
    <xf numFmtId="165" fontId="0" fillId="0" borderId="0" xfId="1" applyNumberFormat="1" applyFont="1"/>
    <xf numFmtId="0" fontId="2" fillId="3" borderId="0" xfId="0" applyFont="1" applyFill="1"/>
    <xf numFmtId="0" fontId="5" fillId="0" borderId="0" xfId="0" applyFont="1"/>
    <xf numFmtId="166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67" fontId="2" fillId="3" borderId="0" xfId="0" applyNumberFormat="1" applyFont="1" applyFill="1"/>
    <xf numFmtId="37" fontId="6" fillId="0" borderId="0" xfId="0" applyNumberFormat="1" applyFont="1"/>
    <xf numFmtId="37" fontId="7" fillId="0" borderId="0" xfId="0" applyNumberFormat="1" applyFont="1"/>
    <xf numFmtId="37" fontId="7" fillId="4" borderId="0" xfId="0" applyNumberFormat="1" applyFont="1" applyFill="1"/>
    <xf numFmtId="0" fontId="8" fillId="0" borderId="0" xfId="0" applyFont="1"/>
    <xf numFmtId="0" fontId="8" fillId="0" borderId="0" xfId="0" quotePrefix="1" applyFont="1" applyAlignment="1">
      <alignment horizontal="right"/>
    </xf>
    <xf numFmtId="9" fontId="8" fillId="0" borderId="0" xfId="1" applyFont="1"/>
    <xf numFmtId="0" fontId="9" fillId="0" borderId="0" xfId="0" applyFont="1"/>
    <xf numFmtId="1" fontId="7" fillId="0" borderId="0" xfId="0" applyNumberFormat="1" applyFont="1"/>
    <xf numFmtId="1" fontId="6" fillId="0" borderId="0" xfId="0" applyNumberFormat="1" applyFont="1"/>
    <xf numFmtId="37" fontId="11" fillId="0" borderId="0" xfId="0" applyNumberFormat="1" applyFont="1"/>
    <xf numFmtId="37" fontId="12" fillId="0" borderId="0" xfId="0" applyNumberFormat="1" applyFont="1"/>
    <xf numFmtId="0" fontId="0" fillId="0" borderId="0" xfId="0" quotePrefix="1" applyAlignment="1">
      <alignment horizontal="right"/>
    </xf>
    <xf numFmtId="9" fontId="8" fillId="2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0" xfId="0" applyNumberFormat="1"/>
    <xf numFmtId="37" fontId="0" fillId="0" borderId="0" xfId="0" quotePrefix="1" applyNumberFormat="1" applyAlignment="1">
      <alignment horizontal="right"/>
    </xf>
    <xf numFmtId="0" fontId="0" fillId="0" borderId="6" xfId="0" applyBorder="1"/>
    <xf numFmtId="0" fontId="0" fillId="0" borderId="7" xfId="0" applyBorder="1"/>
    <xf numFmtId="37" fontId="0" fillId="0" borderId="7" xfId="0" applyNumberFormat="1" applyBorder="1"/>
    <xf numFmtId="37" fontId="0" fillId="0" borderId="8" xfId="0" applyNumberFormat="1" applyBorder="1"/>
    <xf numFmtId="0" fontId="0" fillId="0" borderId="9" xfId="0" applyBorder="1"/>
    <xf numFmtId="37" fontId="0" fillId="0" borderId="1" xfId="0" applyNumberFormat="1" applyBorder="1"/>
    <xf numFmtId="37" fontId="0" fillId="0" borderId="10" xfId="0" applyNumberFormat="1" applyBorder="1"/>
    <xf numFmtId="2" fontId="0" fillId="0" borderId="0" xfId="0" applyNumberFormat="1"/>
    <xf numFmtId="0" fontId="13" fillId="0" borderId="1" xfId="0" applyFont="1" applyBorder="1"/>
    <xf numFmtId="0" fontId="3" fillId="0" borderId="0" xfId="0" applyFont="1"/>
    <xf numFmtId="37" fontId="3" fillId="0" borderId="0" xfId="0" applyNumberFormat="1" applyFont="1"/>
    <xf numFmtId="37" fontId="14" fillId="0" borderId="0" xfId="0" applyNumberFormat="1" applyFont="1"/>
    <xf numFmtId="37" fontId="15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7" fontId="9" fillId="0" borderId="0" xfId="0" applyNumberFormat="1" applyFont="1"/>
    <xf numFmtId="168" fontId="12" fillId="0" borderId="0" xfId="0" applyNumberFormat="1" applyFont="1" applyBorder="1"/>
    <xf numFmtId="0" fontId="0" fillId="0" borderId="0" xfId="0" applyBorder="1"/>
    <xf numFmtId="0" fontId="2" fillId="3" borderId="0" xfId="0" applyFont="1" applyFill="1" applyBorder="1"/>
    <xf numFmtId="37" fontId="14" fillId="0" borderId="0" xfId="0" applyNumberFormat="1" applyFont="1" applyBorder="1"/>
    <xf numFmtId="37" fontId="3" fillId="0" borderId="0" xfId="0" applyNumberFormat="1" applyFont="1" applyBorder="1"/>
    <xf numFmtId="37" fontId="15" fillId="0" borderId="0" xfId="0" applyNumberFormat="1" applyFont="1" applyBorder="1"/>
    <xf numFmtId="37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37" fontId="0" fillId="0" borderId="0" xfId="0" applyNumberFormat="1" applyBorder="1"/>
    <xf numFmtId="168" fontId="12" fillId="0" borderId="11" xfId="0" applyNumberFormat="1" applyFont="1" applyBorder="1"/>
    <xf numFmtId="168" fontId="12" fillId="0" borderId="12" xfId="0" applyNumberFormat="1" applyFont="1" applyBorder="1"/>
    <xf numFmtId="168" fontId="12" fillId="0" borderId="13" xfId="0" applyNumberFormat="1" applyFont="1" applyBorder="1"/>
    <xf numFmtId="168" fontId="12" fillId="0" borderId="14" xfId="0" applyNumberFormat="1" applyFont="1" applyBorder="1"/>
    <xf numFmtId="168" fontId="12" fillId="0" borderId="15" xfId="0" applyNumberFormat="1" applyFont="1" applyBorder="1"/>
    <xf numFmtId="168" fontId="12" fillId="0" borderId="16" xfId="0" applyNumberFormat="1" applyFont="1" applyBorder="1"/>
    <xf numFmtId="168" fontId="12" fillId="0" borderId="17" xfId="0" applyNumberFormat="1" applyFont="1" applyBorder="1"/>
    <xf numFmtId="168" fontId="12" fillId="0" borderId="18" xfId="0" applyNumberFormat="1" applyFont="1" applyBorder="1"/>
    <xf numFmtId="37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 refreshError="1"/>
      <sheetData sheetId="1" refreshError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A0FA-AB59-483B-85AC-2FAFADB2EC7A}">
  <dimension ref="A2:U88"/>
  <sheetViews>
    <sheetView tabSelected="1" topLeftCell="A14" workbookViewId="0">
      <selection activeCell="G38" sqref="G38"/>
    </sheetView>
  </sheetViews>
  <sheetFormatPr defaultRowHeight="15" x14ac:dyDescent="0.25"/>
  <cols>
    <col min="1" max="1" width="3.7109375" customWidth="1"/>
    <col min="4" max="4" width="10.7109375" bestFit="1" customWidth="1"/>
    <col min="7" max="7" width="9.140625" customWidth="1"/>
    <col min="14" max="14" width="9.140625" style="51"/>
  </cols>
  <sheetData>
    <row r="2" spans="1:21" s="40" customFormat="1" ht="21" x14ac:dyDescent="0.35">
      <c r="B2" s="1" t="s">
        <v>48</v>
      </c>
    </row>
    <row r="3" spans="1:21" x14ac:dyDescent="0.25">
      <c r="C3" s="51"/>
    </row>
    <row r="4" spans="1:21" x14ac:dyDescent="0.25">
      <c r="B4" t="s">
        <v>0</v>
      </c>
      <c r="D4" s="3" t="s">
        <v>7</v>
      </c>
      <c r="F4" t="s">
        <v>1</v>
      </c>
      <c r="I4" s="3"/>
    </row>
    <row r="5" spans="1:21" x14ac:dyDescent="0.25">
      <c r="B5" t="s">
        <v>2</v>
      </c>
      <c r="D5" s="5">
        <v>45209</v>
      </c>
      <c r="F5" t="s">
        <v>3</v>
      </c>
      <c r="I5" s="5"/>
    </row>
    <row r="6" spans="1:21" x14ac:dyDescent="0.25">
      <c r="B6" t="s">
        <v>50</v>
      </c>
      <c r="D6" s="5">
        <v>45107</v>
      </c>
      <c r="F6" t="s">
        <v>5</v>
      </c>
      <c r="I6" s="5"/>
    </row>
    <row r="8" spans="1:21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52"/>
      <c r="O8" s="7"/>
      <c r="P8" s="7"/>
      <c r="Q8" s="7"/>
      <c r="R8" s="7"/>
      <c r="S8" s="7"/>
    </row>
    <row r="9" spans="1:21" x14ac:dyDescent="0.25">
      <c r="B9" s="8" t="s">
        <v>49</v>
      </c>
      <c r="G9" s="8" t="s">
        <v>65</v>
      </c>
      <c r="K9" s="8" t="s">
        <v>66</v>
      </c>
      <c r="O9" s="8" t="s">
        <v>33</v>
      </c>
    </row>
    <row r="10" spans="1:21" x14ac:dyDescent="0.25">
      <c r="B10" t="s">
        <v>14</v>
      </c>
      <c r="E10" s="3"/>
    </row>
    <row r="11" spans="1:21" x14ac:dyDescent="0.25">
      <c r="B11" t="s">
        <v>51</v>
      </c>
      <c r="E11" s="3"/>
    </row>
    <row r="12" spans="1:21" x14ac:dyDescent="0.25">
      <c r="B12" t="s">
        <v>52</v>
      </c>
      <c r="E12" s="3"/>
    </row>
    <row r="13" spans="1:21" x14ac:dyDescent="0.25">
      <c r="B13" t="s">
        <v>53</v>
      </c>
      <c r="E13" s="3"/>
    </row>
    <row r="14" spans="1:21" x14ac:dyDescent="0.25">
      <c r="B14" t="s">
        <v>54</v>
      </c>
      <c r="E14" s="3"/>
    </row>
    <row r="16" spans="1:21" x14ac:dyDescent="0.25">
      <c r="A16" t="s">
        <v>8</v>
      </c>
      <c r="B16" s="7" t="s">
        <v>61</v>
      </c>
      <c r="C16" s="7"/>
      <c r="D16" s="7"/>
      <c r="E16" s="7"/>
      <c r="F16" s="7"/>
      <c r="G16" s="7">
        <v>2016</v>
      </c>
      <c r="H16" s="7">
        <f t="shared" ref="G16:N16" si="0">G16+1</f>
        <v>2017</v>
      </c>
      <c r="I16" s="7">
        <f t="shared" si="0"/>
        <v>2018</v>
      </c>
      <c r="J16" s="7">
        <f t="shared" si="0"/>
        <v>2019</v>
      </c>
      <c r="K16" s="7">
        <f t="shared" si="0"/>
        <v>2020</v>
      </c>
      <c r="L16" s="7">
        <f t="shared" si="0"/>
        <v>2021</v>
      </c>
      <c r="M16" s="7">
        <f t="shared" si="0"/>
        <v>2022</v>
      </c>
      <c r="N16" s="52">
        <f t="shared" si="0"/>
        <v>2023</v>
      </c>
      <c r="O16" s="12">
        <f>N16+1</f>
        <v>2024</v>
      </c>
      <c r="P16" s="12">
        <f t="shared" ref="P16:S16" si="1">O16+1</f>
        <v>2025</v>
      </c>
      <c r="Q16" s="12">
        <f t="shared" si="1"/>
        <v>2026</v>
      </c>
      <c r="R16" s="12">
        <f t="shared" si="1"/>
        <v>2027</v>
      </c>
      <c r="S16" s="12">
        <f t="shared" si="1"/>
        <v>2028</v>
      </c>
      <c r="U16">
        <v>-1</v>
      </c>
    </row>
    <row r="17" spans="2:14" x14ac:dyDescent="0.25">
      <c r="B17" t="s">
        <v>14</v>
      </c>
      <c r="F17" s="43"/>
      <c r="G17" s="43">
        <v>85320</v>
      </c>
      <c r="H17" s="43">
        <v>89950</v>
      </c>
      <c r="I17" s="43">
        <v>110360</v>
      </c>
      <c r="J17" s="43">
        <v>125843</v>
      </c>
      <c r="K17" s="43">
        <v>143015</v>
      </c>
      <c r="L17" s="43">
        <v>168088</v>
      </c>
      <c r="M17" s="43">
        <v>198270</v>
      </c>
      <c r="N17" s="53">
        <v>211915</v>
      </c>
    </row>
    <row r="18" spans="2:14" x14ac:dyDescent="0.25">
      <c r="B18" t="s">
        <v>55</v>
      </c>
      <c r="F18" s="43"/>
      <c r="G18" s="43">
        <v>-32780</v>
      </c>
      <c r="H18" s="43">
        <v>-34261</v>
      </c>
      <c r="I18" s="43">
        <v>-38353</v>
      </c>
      <c r="J18" s="43">
        <v>-42910</v>
      </c>
      <c r="K18" s="43">
        <v>-46078</v>
      </c>
      <c r="L18" s="43">
        <v>-52232</v>
      </c>
      <c r="M18" s="43">
        <v>-62650</v>
      </c>
      <c r="N18" s="53">
        <v>-65863</v>
      </c>
    </row>
    <row r="19" spans="2:14" x14ac:dyDescent="0.25">
      <c r="B19" s="41" t="s">
        <v>102</v>
      </c>
      <c r="F19" s="42"/>
      <c r="G19" s="42">
        <f t="shared" ref="F19:N19" si="2">SUM(G17:G18)</f>
        <v>52540</v>
      </c>
      <c r="H19" s="42">
        <f t="shared" si="2"/>
        <v>55689</v>
      </c>
      <c r="I19" s="42">
        <f t="shared" si="2"/>
        <v>72007</v>
      </c>
      <c r="J19" s="42">
        <f t="shared" si="2"/>
        <v>82933</v>
      </c>
      <c r="K19" s="42">
        <f t="shared" si="2"/>
        <v>96937</v>
      </c>
      <c r="L19" s="42">
        <f t="shared" si="2"/>
        <v>115856</v>
      </c>
      <c r="M19" s="42">
        <f t="shared" si="2"/>
        <v>135620</v>
      </c>
      <c r="N19" s="54">
        <f t="shared" si="2"/>
        <v>146052</v>
      </c>
    </row>
    <row r="20" spans="2:14" x14ac:dyDescent="0.25">
      <c r="B20" t="s">
        <v>52</v>
      </c>
      <c r="F20" s="43"/>
      <c r="G20" s="43">
        <v>-11988</v>
      </c>
      <c r="H20" s="43">
        <v>-13037</v>
      </c>
      <c r="I20" s="43">
        <v>-14726</v>
      </c>
      <c r="J20" s="43">
        <v>-16876</v>
      </c>
      <c r="K20" s="43">
        <v>-19269</v>
      </c>
      <c r="L20" s="43">
        <v>-20716</v>
      </c>
      <c r="M20" s="43">
        <v>-24512</v>
      </c>
      <c r="N20" s="53">
        <v>-27195</v>
      </c>
    </row>
    <row r="21" spans="2:14" x14ac:dyDescent="0.25">
      <c r="B21" t="s">
        <v>53</v>
      </c>
      <c r="F21" s="43"/>
      <c r="G21" s="43">
        <v>-20370</v>
      </c>
      <c r="H21" s="43">
        <v>-20326</v>
      </c>
      <c r="I21" s="43">
        <v>-22223</v>
      </c>
      <c r="J21" s="43">
        <v>-23098</v>
      </c>
      <c r="K21" s="43">
        <v>-24709</v>
      </c>
      <c r="L21" s="43">
        <v>-25224</v>
      </c>
      <c r="M21" s="43">
        <v>-27725</v>
      </c>
      <c r="N21" s="53">
        <v>-30334</v>
      </c>
    </row>
    <row r="22" spans="2:14" x14ac:dyDescent="0.25">
      <c r="B22" s="41" t="s">
        <v>16</v>
      </c>
      <c r="F22" s="42"/>
      <c r="G22" s="42">
        <f t="shared" ref="G22:H22" si="3">SUM(G19:G21)</f>
        <v>20182</v>
      </c>
      <c r="H22" s="42">
        <f t="shared" si="3"/>
        <v>22326</v>
      </c>
      <c r="I22" s="42">
        <f t="shared" ref="I22" si="4">SUM(I19:I21)</f>
        <v>35058</v>
      </c>
      <c r="J22" s="42">
        <f t="shared" ref="J22" si="5">SUM(J19:J21)</f>
        <v>42959</v>
      </c>
      <c r="K22" s="42">
        <f t="shared" ref="K22" si="6">SUM(K19:K21)</f>
        <v>52959</v>
      </c>
      <c r="L22" s="42">
        <f t="shared" ref="L22" si="7">SUM(L19:L21)</f>
        <v>69916</v>
      </c>
      <c r="M22" s="42">
        <f t="shared" ref="M22" si="8">SUM(M19:M21)</f>
        <v>83383</v>
      </c>
      <c r="N22" s="54">
        <f t="shared" ref="N22" si="9">SUM(N19:N21)</f>
        <v>88523</v>
      </c>
    </row>
    <row r="23" spans="2:14" x14ac:dyDescent="0.25">
      <c r="B23" t="s">
        <v>57</v>
      </c>
      <c r="F23" s="43"/>
      <c r="G23" s="43">
        <v>903</v>
      </c>
      <c r="H23" s="43">
        <v>1387</v>
      </c>
      <c r="I23" s="43">
        <v>2214</v>
      </c>
      <c r="J23" s="43">
        <v>2762</v>
      </c>
      <c r="K23" s="43">
        <v>2680</v>
      </c>
      <c r="L23" s="43">
        <v>2131</v>
      </c>
      <c r="M23" s="43">
        <v>2094</v>
      </c>
      <c r="N23" s="53">
        <v>2994</v>
      </c>
    </row>
    <row r="24" spans="2:14" x14ac:dyDescent="0.25">
      <c r="B24" t="s">
        <v>56</v>
      </c>
      <c r="F24" s="43"/>
      <c r="G24" s="43">
        <v>-1243</v>
      </c>
      <c r="H24" s="43">
        <v>-2222</v>
      </c>
      <c r="I24" s="43">
        <v>-2733</v>
      </c>
      <c r="J24" s="43">
        <v>-2686</v>
      </c>
      <c r="K24" s="43">
        <v>-2591</v>
      </c>
      <c r="L24" s="43">
        <v>-2346</v>
      </c>
      <c r="M24" s="43">
        <v>-2063</v>
      </c>
      <c r="N24" s="53">
        <v>-1968</v>
      </c>
    </row>
    <row r="25" spans="2:14" x14ac:dyDescent="0.25">
      <c r="B25" s="41" t="s">
        <v>58</v>
      </c>
      <c r="F25" s="42"/>
      <c r="G25" s="42">
        <f t="shared" ref="G25:H25" si="10">SUM(G22:G24)</f>
        <v>19842</v>
      </c>
      <c r="H25" s="42">
        <f t="shared" si="10"/>
        <v>21491</v>
      </c>
      <c r="I25" s="42">
        <f t="shared" ref="I25" si="11">SUM(I22:I24)</f>
        <v>34539</v>
      </c>
      <c r="J25" s="42">
        <f t="shared" ref="J25" si="12">SUM(J22:J24)</f>
        <v>43035</v>
      </c>
      <c r="K25" s="42">
        <f t="shared" ref="K25" si="13">SUM(K22:K24)</f>
        <v>53048</v>
      </c>
      <c r="L25" s="42">
        <f t="shared" ref="L25" si="14">SUM(L22:L24)</f>
        <v>69701</v>
      </c>
      <c r="M25" s="42">
        <f t="shared" ref="M25" si="15">SUM(M22:M24)</f>
        <v>83414</v>
      </c>
      <c r="N25" s="54">
        <f t="shared" ref="N25" si="16">SUM(N22:N24)</f>
        <v>89549</v>
      </c>
    </row>
    <row r="26" spans="2:14" x14ac:dyDescent="0.25">
      <c r="B26" t="s">
        <v>59</v>
      </c>
      <c r="F26" s="43"/>
      <c r="G26" s="43">
        <v>-2953</v>
      </c>
      <c r="H26" s="43">
        <v>-1945</v>
      </c>
      <c r="I26" s="43">
        <v>-19903</v>
      </c>
      <c r="J26" s="43">
        <v>-4448</v>
      </c>
      <c r="K26" s="43">
        <v>-8755</v>
      </c>
      <c r="L26" s="43">
        <v>-9831</v>
      </c>
      <c r="M26" s="43">
        <v>-10978</v>
      </c>
      <c r="N26" s="53">
        <v>-16950</v>
      </c>
    </row>
    <row r="27" spans="2:14" x14ac:dyDescent="0.25">
      <c r="B27" s="41" t="s">
        <v>60</v>
      </c>
      <c r="F27" s="42"/>
      <c r="G27" s="42">
        <f t="shared" ref="G27:H27" si="17">SUM(G25:G26)</f>
        <v>16889</v>
      </c>
      <c r="H27" s="42">
        <f t="shared" si="17"/>
        <v>19546</v>
      </c>
      <c r="I27" s="42">
        <f t="shared" ref="I27" si="18">SUM(I25:I26)</f>
        <v>14636</v>
      </c>
      <c r="J27" s="42">
        <f t="shared" ref="J27" si="19">SUM(J25:J26)</f>
        <v>38587</v>
      </c>
      <c r="K27" s="42">
        <f t="shared" ref="K27" si="20">SUM(K25:K26)</f>
        <v>44293</v>
      </c>
      <c r="L27" s="42">
        <f t="shared" ref="L27" si="21">SUM(L25:L26)</f>
        <v>59870</v>
      </c>
      <c r="M27" s="42">
        <f t="shared" ref="M27" si="22">SUM(M25:M26)</f>
        <v>72436</v>
      </c>
      <c r="N27" s="54">
        <f t="shared" ref="N27" si="23">SUM(N25:N26)</f>
        <v>72599</v>
      </c>
    </row>
    <row r="28" spans="2:14" x14ac:dyDescent="0.25">
      <c r="B28" s="41"/>
      <c r="F28" s="44"/>
      <c r="G28" s="44"/>
      <c r="H28" s="44"/>
      <c r="I28" s="44"/>
      <c r="J28" s="44"/>
      <c r="K28" s="44"/>
      <c r="L28" s="44"/>
      <c r="M28" s="44"/>
      <c r="N28" s="55"/>
    </row>
    <row r="29" spans="2:14" x14ac:dyDescent="0.25">
      <c r="B29" s="45" t="s">
        <v>103</v>
      </c>
      <c r="F29" s="43"/>
      <c r="G29" s="43">
        <v>6622</v>
      </c>
      <c r="H29" s="43">
        <v>8778</v>
      </c>
      <c r="I29" s="43">
        <v>10261</v>
      </c>
      <c r="J29" s="43">
        <v>11682</v>
      </c>
      <c r="K29" s="43">
        <v>12796</v>
      </c>
      <c r="L29" s="43">
        <v>11686</v>
      </c>
      <c r="M29" s="43">
        <v>14460</v>
      </c>
      <c r="N29" s="43">
        <v>13861</v>
      </c>
    </row>
    <row r="30" spans="2:14" x14ac:dyDescent="0.25">
      <c r="B30" s="46" t="s">
        <v>51</v>
      </c>
      <c r="F30" s="42"/>
      <c r="G30" s="42">
        <f t="shared" ref="G30:N30" si="24">G29+G22</f>
        <v>26804</v>
      </c>
      <c r="H30" s="42">
        <f t="shared" si="24"/>
        <v>31104</v>
      </c>
      <c r="I30" s="42">
        <f t="shared" si="24"/>
        <v>45319</v>
      </c>
      <c r="J30" s="42">
        <f t="shared" si="24"/>
        <v>54641</v>
      </c>
      <c r="K30" s="42">
        <f t="shared" si="24"/>
        <v>65755</v>
      </c>
      <c r="L30" s="42">
        <f t="shared" si="24"/>
        <v>81602</v>
      </c>
      <c r="M30" s="42">
        <f t="shared" si="24"/>
        <v>97843</v>
      </c>
      <c r="N30" s="54">
        <f t="shared" si="24"/>
        <v>102384</v>
      </c>
    </row>
    <row r="31" spans="2:14" x14ac:dyDescent="0.25">
      <c r="B31" s="45" t="s">
        <v>88</v>
      </c>
      <c r="F31" s="43"/>
      <c r="G31" s="43">
        <v>2668</v>
      </c>
      <c r="H31" s="43">
        <v>3266</v>
      </c>
      <c r="I31" s="43">
        <v>3940</v>
      </c>
      <c r="J31" s="43">
        <v>4652</v>
      </c>
      <c r="K31" s="43">
        <v>5289</v>
      </c>
      <c r="L31" s="43">
        <v>6118</v>
      </c>
      <c r="M31" s="43">
        <v>7502</v>
      </c>
      <c r="N31" s="43">
        <v>9611</v>
      </c>
    </row>
    <row r="32" spans="2:14" x14ac:dyDescent="0.25">
      <c r="B32" s="46" t="s">
        <v>104</v>
      </c>
      <c r="F32" s="42"/>
      <c r="G32" s="42">
        <f t="shared" ref="G32:N32" si="25">G31+G30</f>
        <v>29472</v>
      </c>
      <c r="H32" s="42">
        <f t="shared" si="25"/>
        <v>34370</v>
      </c>
      <c r="I32" s="42">
        <f t="shared" si="25"/>
        <v>49259</v>
      </c>
      <c r="J32" s="42">
        <f t="shared" si="25"/>
        <v>59293</v>
      </c>
      <c r="K32" s="42">
        <f t="shared" si="25"/>
        <v>71044</v>
      </c>
      <c r="L32" s="42">
        <f t="shared" si="25"/>
        <v>87720</v>
      </c>
      <c r="M32" s="42">
        <f t="shared" si="25"/>
        <v>105345</v>
      </c>
      <c r="N32" s="54">
        <f t="shared" si="25"/>
        <v>111995</v>
      </c>
    </row>
    <row r="33" spans="1:19" x14ac:dyDescent="0.25">
      <c r="B33" s="41"/>
      <c r="F33" s="44"/>
      <c r="G33" s="44"/>
      <c r="H33" s="44"/>
      <c r="I33" s="44"/>
      <c r="J33" s="44"/>
      <c r="K33" s="44"/>
      <c r="L33" s="44"/>
      <c r="M33" s="44"/>
      <c r="N33" s="55"/>
    </row>
    <row r="34" spans="1:19" x14ac:dyDescent="0.25">
      <c r="B34" s="8" t="s">
        <v>63</v>
      </c>
      <c r="F34" s="44"/>
      <c r="G34" s="44"/>
      <c r="H34" s="44"/>
      <c r="I34" s="44"/>
      <c r="J34" s="44"/>
      <c r="K34" s="44"/>
      <c r="L34" s="44"/>
      <c r="M34" s="44"/>
      <c r="N34" s="55"/>
    </row>
    <row r="35" spans="1:19" x14ac:dyDescent="0.25">
      <c r="B35" t="s">
        <v>14</v>
      </c>
      <c r="F35" s="43"/>
      <c r="G35" s="60">
        <f t="shared" ref="G35:N35" si="26">(G17-F17)/G17</f>
        <v>1</v>
      </c>
      <c r="H35" s="61">
        <f t="shared" si="26"/>
        <v>5.1473040578098941E-2</v>
      </c>
      <c r="I35" s="61">
        <f t="shared" si="26"/>
        <v>0.18494019572308806</v>
      </c>
      <c r="J35" s="61">
        <f t="shared" si="26"/>
        <v>0.12303425697098766</v>
      </c>
      <c r="K35" s="61">
        <f t="shared" si="26"/>
        <v>0.12007132119008496</v>
      </c>
      <c r="L35" s="61">
        <f t="shared" si="26"/>
        <v>0.1491659130931417</v>
      </c>
      <c r="M35" s="61">
        <f t="shared" si="26"/>
        <v>0.15222676148686135</v>
      </c>
      <c r="N35" s="62">
        <f t="shared" si="26"/>
        <v>6.4389023901092413E-2</v>
      </c>
    </row>
    <row r="36" spans="1:19" x14ac:dyDescent="0.25">
      <c r="B36" t="s">
        <v>51</v>
      </c>
      <c r="F36" s="43"/>
      <c r="G36" s="63">
        <f>(G19-F19)/G19</f>
        <v>1</v>
      </c>
      <c r="H36" s="50">
        <f>(H19-G19)/H19</f>
        <v>5.6546176085043726E-2</v>
      </c>
      <c r="I36" s="50">
        <f>(I19-H19)/I19</f>
        <v>0.22661685669448803</v>
      </c>
      <c r="J36" s="50">
        <f>(J19-I19)/J19</f>
        <v>0.13174490251166604</v>
      </c>
      <c r="K36" s="50">
        <f>(K19-J19)/K19</f>
        <v>0.14446496177929996</v>
      </c>
      <c r="L36" s="50">
        <f>(L19-K19)/L19</f>
        <v>0.16329754177599778</v>
      </c>
      <c r="M36" s="50">
        <f>(M19-L19)/M19</f>
        <v>0.14573071818315883</v>
      </c>
      <c r="N36" s="59">
        <f>(N19-M19)/N19</f>
        <v>7.1426615178155725E-2</v>
      </c>
    </row>
    <row r="37" spans="1:19" x14ac:dyDescent="0.25">
      <c r="B37" t="s">
        <v>52</v>
      </c>
      <c r="F37" s="43"/>
      <c r="G37" s="63">
        <f>(G20-F20)/G20</f>
        <v>1</v>
      </c>
      <c r="H37" s="50">
        <f>(H20-G20)/H20</f>
        <v>8.0463296770729456E-2</v>
      </c>
      <c r="I37" s="50">
        <f>(I20-H20)/I20</f>
        <v>0.1146950971071574</v>
      </c>
      <c r="J37" s="50">
        <f>(J20-I20)/J20</f>
        <v>0.12739985778620527</v>
      </c>
      <c r="K37" s="50">
        <f>(K20-J20)/K20</f>
        <v>0.12418911204525404</v>
      </c>
      <c r="L37" s="50">
        <f>(L20-K20)/L20</f>
        <v>6.9849391774473843E-2</v>
      </c>
      <c r="M37" s="50">
        <f>(M20-L20)/M20</f>
        <v>0.15486292428198434</v>
      </c>
      <c r="N37" s="59">
        <f>(N20-M20)/N20</f>
        <v>9.8657841514984371E-2</v>
      </c>
    </row>
    <row r="38" spans="1:19" x14ac:dyDescent="0.25">
      <c r="B38" t="s">
        <v>53</v>
      </c>
      <c r="F38" s="43"/>
      <c r="G38" s="63">
        <f>(G21-F21)/G21</f>
        <v>1</v>
      </c>
      <c r="H38" s="50">
        <f>(H21-G21)/H21</f>
        <v>-2.1647151431663878E-3</v>
      </c>
      <c r="I38" s="50">
        <f>(I21-H21)/I21</f>
        <v>8.5362012329568471E-2</v>
      </c>
      <c r="J38" s="50">
        <f>(J21-I21)/J21</f>
        <v>3.7882067711490171E-2</v>
      </c>
      <c r="K38" s="50">
        <f>(K21-J21)/K21</f>
        <v>6.5198915374964583E-2</v>
      </c>
      <c r="L38" s="50">
        <f>(L21-K21)/L21</f>
        <v>2.0417063114494132E-2</v>
      </c>
      <c r="M38" s="50">
        <f>(M21-L21)/M21</f>
        <v>9.0207394048692519E-2</v>
      </c>
      <c r="N38" s="59">
        <f>(N21-M21)/N21</f>
        <v>8.6009098701127454E-2</v>
      </c>
    </row>
    <row r="39" spans="1:19" x14ac:dyDescent="0.25">
      <c r="B39" t="s">
        <v>64</v>
      </c>
      <c r="F39" s="43"/>
      <c r="G39" s="64">
        <f t="shared" ref="G39:N39" si="27">(G26/G25)*-1</f>
        <v>0.14882572321338575</v>
      </c>
      <c r="H39" s="65">
        <f t="shared" si="27"/>
        <v>9.0503001256339866E-2</v>
      </c>
      <c r="I39" s="65">
        <f t="shared" si="27"/>
        <v>0.57624714091317064</v>
      </c>
      <c r="J39" s="65">
        <f t="shared" si="27"/>
        <v>0.10335773207854072</v>
      </c>
      <c r="K39" s="65">
        <f t="shared" si="27"/>
        <v>0.1650392097722817</v>
      </c>
      <c r="L39" s="65">
        <f t="shared" si="27"/>
        <v>0.14104532216180543</v>
      </c>
      <c r="M39" s="65">
        <f t="shared" si="27"/>
        <v>0.13160860287241949</v>
      </c>
      <c r="N39" s="66">
        <f t="shared" si="27"/>
        <v>0.18928184569341924</v>
      </c>
    </row>
    <row r="41" spans="1:19" x14ac:dyDescent="0.25">
      <c r="A41" t="s">
        <v>8</v>
      </c>
      <c r="B41" s="7" t="s">
        <v>62</v>
      </c>
      <c r="C41" s="7"/>
      <c r="D41" s="7"/>
      <c r="E41" s="7"/>
      <c r="F41" s="7"/>
      <c r="G41" s="7">
        <v>2016</v>
      </c>
      <c r="H41" s="7">
        <f t="shared" ref="H41:N41" si="28">G41+1</f>
        <v>2017</v>
      </c>
      <c r="I41" s="7">
        <f t="shared" si="28"/>
        <v>2018</v>
      </c>
      <c r="J41" s="7">
        <f t="shared" si="28"/>
        <v>2019</v>
      </c>
      <c r="K41" s="7">
        <f t="shared" si="28"/>
        <v>2020</v>
      </c>
      <c r="L41" s="7">
        <f t="shared" si="28"/>
        <v>2021</v>
      </c>
      <c r="M41" s="7">
        <f t="shared" si="28"/>
        <v>2022</v>
      </c>
      <c r="N41" s="52">
        <f t="shared" si="28"/>
        <v>2023</v>
      </c>
      <c r="O41" s="12">
        <f>N41+1</f>
        <v>2024</v>
      </c>
      <c r="P41" s="12">
        <f t="shared" ref="P41:S41" si="29">O41+1</f>
        <v>2025</v>
      </c>
      <c r="Q41" s="12">
        <f t="shared" si="29"/>
        <v>2026</v>
      </c>
      <c r="R41" s="12">
        <f t="shared" si="29"/>
        <v>2027</v>
      </c>
      <c r="S41" s="12">
        <f t="shared" si="29"/>
        <v>2028</v>
      </c>
    </row>
    <row r="42" spans="1:19" x14ac:dyDescent="0.25">
      <c r="B42" t="s">
        <v>67</v>
      </c>
      <c r="G42" s="43">
        <v>113240</v>
      </c>
      <c r="H42" s="23">
        <f ca="1">G42+H84</f>
        <v>132981</v>
      </c>
      <c r="I42" s="23">
        <f t="shared" ref="I42:N42" ca="1" si="30">H42+I84</f>
        <v>133768</v>
      </c>
      <c r="J42" s="23">
        <f t="shared" ca="1" si="30"/>
        <v>133819</v>
      </c>
      <c r="K42" s="23">
        <f t="shared" ca="1" si="30"/>
        <v>136527</v>
      </c>
      <c r="L42" s="23">
        <f t="shared" ca="1" si="30"/>
        <v>130334</v>
      </c>
      <c r="M42" s="23">
        <f t="shared" ca="1" si="30"/>
        <v>104757</v>
      </c>
      <c r="N42" s="23">
        <f t="shared" ca="1" si="30"/>
        <v>111262</v>
      </c>
    </row>
    <row r="43" spans="1:19" x14ac:dyDescent="0.25">
      <c r="B43" t="s">
        <v>68</v>
      </c>
      <c r="G43" s="43">
        <v>18277</v>
      </c>
      <c r="H43" s="43">
        <v>19792</v>
      </c>
      <c r="I43" s="43">
        <v>26481</v>
      </c>
      <c r="J43" s="43">
        <v>29524</v>
      </c>
      <c r="K43" s="43">
        <v>32011</v>
      </c>
      <c r="L43" s="43">
        <v>38043</v>
      </c>
      <c r="M43" s="43">
        <v>44261</v>
      </c>
      <c r="N43" s="43">
        <v>48688</v>
      </c>
    </row>
    <row r="44" spans="1:19" x14ac:dyDescent="0.25">
      <c r="B44" t="s">
        <v>69</v>
      </c>
      <c r="G44" s="43">
        <v>2251</v>
      </c>
      <c r="H44" s="43">
        <v>2181</v>
      </c>
      <c r="I44" s="43">
        <v>2662</v>
      </c>
      <c r="J44" s="43">
        <v>2063</v>
      </c>
      <c r="K44" s="43">
        <v>1895</v>
      </c>
      <c r="L44" s="43">
        <v>2636</v>
      </c>
      <c r="M44" s="43">
        <v>3742</v>
      </c>
      <c r="N44" s="43">
        <v>2500</v>
      </c>
    </row>
    <row r="45" spans="1:19" x14ac:dyDescent="0.25">
      <c r="B45" t="s">
        <v>70</v>
      </c>
      <c r="G45" s="43">
        <v>5892</v>
      </c>
      <c r="H45" s="43">
        <v>4897</v>
      </c>
      <c r="I45" s="43">
        <v>6751</v>
      </c>
      <c r="J45" s="43">
        <v>10146</v>
      </c>
      <c r="K45" s="43">
        <v>11482</v>
      </c>
      <c r="L45" s="43">
        <v>13393</v>
      </c>
      <c r="M45" s="43">
        <v>16924</v>
      </c>
      <c r="N45" s="43">
        <v>21807</v>
      </c>
    </row>
    <row r="46" spans="1:19" x14ac:dyDescent="0.25">
      <c r="B46" t="s">
        <v>71</v>
      </c>
      <c r="G46" s="43">
        <v>18356</v>
      </c>
      <c r="H46" s="43">
        <v>23734</v>
      </c>
      <c r="I46" s="43">
        <v>29460</v>
      </c>
      <c r="J46" s="43">
        <v>36477</v>
      </c>
      <c r="K46" s="43">
        <v>44151</v>
      </c>
      <c r="L46" s="43">
        <v>59715</v>
      </c>
      <c r="M46" s="43">
        <v>74398</v>
      </c>
      <c r="N46" s="43">
        <v>95641</v>
      </c>
    </row>
    <row r="47" spans="1:19" x14ac:dyDescent="0.25">
      <c r="B47" t="s">
        <v>72</v>
      </c>
      <c r="G47" s="43">
        <v>35452</v>
      </c>
      <c r="H47" s="43">
        <v>57501</v>
      </c>
      <c r="I47" s="43">
        <v>59726</v>
      </c>
      <c r="J47" s="43">
        <v>74527</v>
      </c>
      <c r="K47" s="43">
        <v>75245</v>
      </c>
      <c r="L47" s="43">
        <v>89658</v>
      </c>
      <c r="M47" s="43">
        <v>120758</v>
      </c>
      <c r="N47" s="43">
        <v>132078</v>
      </c>
    </row>
    <row r="48" spans="1:19" x14ac:dyDescent="0.25">
      <c r="B48" s="41" t="s">
        <v>73</v>
      </c>
      <c r="G48" s="49">
        <f>SUM(G42:G47)</f>
        <v>193468</v>
      </c>
      <c r="H48" s="49">
        <f t="shared" ref="H48:S48" ca="1" si="31">SUM(H42:H47)</f>
        <v>241086</v>
      </c>
      <c r="I48" s="49">
        <f t="shared" ca="1" si="31"/>
        <v>258848</v>
      </c>
      <c r="J48" s="49">
        <f t="shared" ca="1" si="31"/>
        <v>286556</v>
      </c>
      <c r="K48" s="49">
        <f t="shared" ca="1" si="31"/>
        <v>301311</v>
      </c>
      <c r="L48" s="49">
        <f t="shared" ca="1" si="31"/>
        <v>333779</v>
      </c>
      <c r="M48" s="49">
        <f t="shared" ca="1" si="31"/>
        <v>364840</v>
      </c>
      <c r="N48" s="56">
        <f t="shared" ca="1" si="31"/>
        <v>411976</v>
      </c>
      <c r="O48" s="49">
        <f t="shared" si="31"/>
        <v>0</v>
      </c>
      <c r="P48" s="49">
        <f t="shared" si="31"/>
        <v>0</v>
      </c>
      <c r="Q48" s="49">
        <f t="shared" si="31"/>
        <v>0</v>
      </c>
      <c r="R48" s="49">
        <f t="shared" si="31"/>
        <v>0</v>
      </c>
      <c r="S48" s="49">
        <f t="shared" si="31"/>
        <v>0</v>
      </c>
    </row>
    <row r="50" spans="2:19" x14ac:dyDescent="0.25">
      <c r="B50" s="45" t="s">
        <v>74</v>
      </c>
      <c r="G50" s="43">
        <v>6898</v>
      </c>
      <c r="H50" s="43">
        <v>7390</v>
      </c>
      <c r="I50" s="43">
        <v>8617</v>
      </c>
      <c r="J50" s="43">
        <v>9382</v>
      </c>
      <c r="K50" s="43">
        <v>12530</v>
      </c>
      <c r="L50" s="43">
        <v>15163</v>
      </c>
      <c r="M50" s="43">
        <v>19000</v>
      </c>
      <c r="N50" s="43">
        <v>18095</v>
      </c>
    </row>
    <row r="51" spans="2:19" x14ac:dyDescent="0.25">
      <c r="B51" s="45" t="s">
        <v>75</v>
      </c>
      <c r="G51" s="43">
        <v>24991</v>
      </c>
      <c r="H51" s="43">
        <v>23035</v>
      </c>
      <c r="I51" s="43">
        <v>20966</v>
      </c>
      <c r="J51" s="43">
        <v>27362</v>
      </c>
      <c r="K51" s="43">
        <v>23780</v>
      </c>
      <c r="L51" s="43">
        <v>31969</v>
      </c>
      <c r="M51" s="43">
        <v>27795</v>
      </c>
      <c r="N51" s="43">
        <v>29906</v>
      </c>
    </row>
    <row r="52" spans="2:19" x14ac:dyDescent="0.25">
      <c r="B52" s="45" t="s">
        <v>76</v>
      </c>
      <c r="G52" s="43">
        <v>33909</v>
      </c>
      <c r="H52" s="43">
        <v>44479</v>
      </c>
      <c r="I52" s="43">
        <v>32720</v>
      </c>
      <c r="J52" s="43">
        <v>37206</v>
      </c>
      <c r="K52" s="43">
        <v>39180</v>
      </c>
      <c r="L52" s="43">
        <v>44141</v>
      </c>
      <c r="M52" s="43">
        <v>48408</v>
      </c>
      <c r="N52" s="43">
        <v>53813</v>
      </c>
    </row>
    <row r="53" spans="2:19" x14ac:dyDescent="0.25">
      <c r="B53" s="45" t="s">
        <v>77</v>
      </c>
      <c r="G53" s="43"/>
      <c r="H53" s="43"/>
      <c r="I53" s="43"/>
      <c r="J53" s="43"/>
      <c r="K53" s="43"/>
      <c r="L53" s="43"/>
      <c r="M53" s="43"/>
      <c r="N53" s="43"/>
    </row>
    <row r="54" spans="2:19" x14ac:dyDescent="0.25">
      <c r="B54" s="45" t="s">
        <v>78</v>
      </c>
      <c r="G54" s="43">
        <v>40557</v>
      </c>
      <c r="H54" s="43">
        <v>76073</v>
      </c>
      <c r="I54" s="43">
        <v>72242</v>
      </c>
      <c r="J54" s="43">
        <v>66662</v>
      </c>
      <c r="K54" s="43">
        <v>59578</v>
      </c>
      <c r="L54" s="43">
        <v>50074</v>
      </c>
      <c r="M54" s="43">
        <v>49781</v>
      </c>
      <c r="N54" s="43">
        <v>47237</v>
      </c>
    </row>
    <row r="55" spans="2:19" x14ac:dyDescent="0.25">
      <c r="B55" s="45" t="s">
        <v>79</v>
      </c>
      <c r="G55" s="43">
        <v>15116</v>
      </c>
      <c r="H55" s="43">
        <v>17715</v>
      </c>
      <c r="I55" s="43">
        <v>41585</v>
      </c>
      <c r="J55" s="43">
        <v>43614</v>
      </c>
      <c r="K55" s="43">
        <v>47939</v>
      </c>
      <c r="L55" s="43">
        <v>50444</v>
      </c>
      <c r="M55" s="43">
        <v>53314</v>
      </c>
      <c r="N55" s="43">
        <v>56702</v>
      </c>
    </row>
    <row r="56" spans="2:19" x14ac:dyDescent="0.25">
      <c r="B56" s="46" t="s">
        <v>80</v>
      </c>
      <c r="G56" s="49">
        <f>SUM(G50:G55)</f>
        <v>121471</v>
      </c>
      <c r="H56" s="49">
        <f>SUM(H50:H55)</f>
        <v>168692</v>
      </c>
      <c r="I56" s="49">
        <f>SUM(I50:I55)</f>
        <v>176130</v>
      </c>
      <c r="J56" s="49">
        <f>SUM(J50:J55)</f>
        <v>184226</v>
      </c>
      <c r="K56" s="49">
        <f>SUM(K50:K55)</f>
        <v>183007</v>
      </c>
      <c r="L56" s="49">
        <f>SUM(L50:L55)</f>
        <v>191791</v>
      </c>
      <c r="M56" s="49">
        <f>SUM(M50:M55)</f>
        <v>198298</v>
      </c>
      <c r="N56" s="56">
        <f>SUM(N50:N55)</f>
        <v>205753</v>
      </c>
      <c r="O56" s="49">
        <f>SUM(O50:O55)</f>
        <v>0</v>
      </c>
      <c r="P56" s="49">
        <f>SUM(P50:P55)</f>
        <v>0</v>
      </c>
      <c r="Q56" s="49">
        <f>SUM(Q50:Q55)</f>
        <v>0</v>
      </c>
      <c r="R56" s="49">
        <f>SUM(R50:R55)</f>
        <v>0</v>
      </c>
      <c r="S56" s="49">
        <f>SUM(S50:S55)</f>
        <v>0</v>
      </c>
    </row>
    <row r="58" spans="2:19" x14ac:dyDescent="0.25">
      <c r="B58" s="45" t="s">
        <v>81</v>
      </c>
      <c r="G58" s="43">
        <v>68178</v>
      </c>
      <c r="H58" s="43">
        <v>69315</v>
      </c>
      <c r="I58" s="43">
        <v>71223</v>
      </c>
      <c r="J58" s="43">
        <v>78520</v>
      </c>
      <c r="K58" s="43">
        <v>80552</v>
      </c>
      <c r="L58" s="43">
        <v>83111</v>
      </c>
      <c r="M58" s="43">
        <v>86939</v>
      </c>
      <c r="N58" s="43">
        <v>93718</v>
      </c>
    </row>
    <row r="59" spans="2:19" x14ac:dyDescent="0.25">
      <c r="B59" s="45" t="s">
        <v>82</v>
      </c>
      <c r="G59" s="43">
        <v>2282</v>
      </c>
      <c r="H59" s="43">
        <v>2648</v>
      </c>
      <c r="I59" s="43">
        <v>13682</v>
      </c>
      <c r="J59" s="43">
        <v>24150</v>
      </c>
      <c r="K59" s="43">
        <v>34566</v>
      </c>
      <c r="L59" s="43">
        <v>57055</v>
      </c>
      <c r="M59" s="43">
        <v>84281</v>
      </c>
      <c r="N59" s="43">
        <v>118848</v>
      </c>
    </row>
    <row r="60" spans="2:19" x14ac:dyDescent="0.25">
      <c r="B60" s="45" t="s">
        <v>83</v>
      </c>
      <c r="G60" s="43">
        <v>1537</v>
      </c>
      <c r="H60" s="43">
        <v>431</v>
      </c>
      <c r="I60" s="43">
        <v>-2187</v>
      </c>
      <c r="J60" s="43">
        <v>-340</v>
      </c>
      <c r="K60" s="43">
        <v>3186</v>
      </c>
      <c r="L60" s="43">
        <v>1822</v>
      </c>
      <c r="M60" s="43">
        <v>-4678</v>
      </c>
      <c r="N60" s="43">
        <v>-6343</v>
      </c>
    </row>
    <row r="61" spans="2:19" x14ac:dyDescent="0.25">
      <c r="B61" s="46" t="s">
        <v>84</v>
      </c>
      <c r="G61" s="49">
        <f>SUM(G58:G60)</f>
        <v>71997</v>
      </c>
      <c r="H61" s="49">
        <f t="shared" ref="H61:S61" si="32">SUM(H58:H60)</f>
        <v>72394</v>
      </c>
      <c r="I61" s="49">
        <f t="shared" si="32"/>
        <v>82718</v>
      </c>
      <c r="J61" s="49">
        <f t="shared" si="32"/>
        <v>102330</v>
      </c>
      <c r="K61" s="49">
        <f t="shared" si="32"/>
        <v>118304</v>
      </c>
      <c r="L61" s="49">
        <f t="shared" si="32"/>
        <v>141988</v>
      </c>
      <c r="M61" s="49">
        <f t="shared" si="32"/>
        <v>166542</v>
      </c>
      <c r="N61" s="56">
        <f t="shared" si="32"/>
        <v>206223</v>
      </c>
      <c r="O61" s="49">
        <f t="shared" si="32"/>
        <v>0</v>
      </c>
      <c r="P61" s="49">
        <f t="shared" si="32"/>
        <v>0</v>
      </c>
      <c r="Q61" s="49">
        <f t="shared" si="32"/>
        <v>0</v>
      </c>
      <c r="R61" s="49">
        <f t="shared" si="32"/>
        <v>0</v>
      </c>
      <c r="S61" s="49">
        <f t="shared" si="32"/>
        <v>0</v>
      </c>
    </row>
    <row r="63" spans="2:19" x14ac:dyDescent="0.25">
      <c r="B63" s="47" t="s">
        <v>101</v>
      </c>
      <c r="G63" s="48">
        <f>ROUND(G48-(G56+G61), 3)</f>
        <v>0</v>
      </c>
      <c r="H63" s="48">
        <f ca="1">ROUND(H48-(H56+H61), 3)</f>
        <v>0</v>
      </c>
      <c r="I63" s="48">
        <f ca="1">ROUND(I48-(I56+I61), 3)</f>
        <v>0</v>
      </c>
      <c r="J63" s="48">
        <f ca="1">ROUND(J48-(J56+J61), 3)</f>
        <v>0</v>
      </c>
      <c r="K63" s="48">
        <f ca="1">ROUND(K48-(K56+K61), 3)</f>
        <v>0</v>
      </c>
      <c r="L63" s="48">
        <f ca="1">ROUND(L48-(L56+L61), 3)</f>
        <v>0</v>
      </c>
      <c r="M63" s="48">
        <f ca="1">ROUND(M48-(M56+M61), 3)</f>
        <v>0</v>
      </c>
      <c r="N63" s="57">
        <f ca="1">ROUND(N48-(N56+N61), 3)</f>
        <v>0</v>
      </c>
      <c r="O63" s="48">
        <f>ROUND(O48-(O56+O61), 3)</f>
        <v>0</v>
      </c>
      <c r="P63" s="48">
        <f>ROUND(P48-(P56+P61), 3)</f>
        <v>0</v>
      </c>
      <c r="Q63" s="48">
        <f>ROUND(Q48-(Q56+Q61), 3)</f>
        <v>0</v>
      </c>
      <c r="R63" s="48">
        <f>ROUND(R48-(R56+R61), 3)</f>
        <v>0</v>
      </c>
      <c r="S63" s="48">
        <f>ROUND(S48-(S56+S61), 3)</f>
        <v>0</v>
      </c>
    </row>
    <row r="65" spans="1:19" x14ac:dyDescent="0.25">
      <c r="A65" t="s">
        <v>8</v>
      </c>
      <c r="B65" s="7" t="s">
        <v>85</v>
      </c>
      <c r="C65" s="7"/>
      <c r="D65" s="7"/>
      <c r="E65" s="7"/>
      <c r="F65" s="7"/>
      <c r="G65" s="7">
        <v>2016</v>
      </c>
      <c r="H65" s="7">
        <v>2017</v>
      </c>
      <c r="I65" s="7">
        <v>2018</v>
      </c>
      <c r="J65" s="7">
        <v>2019</v>
      </c>
      <c r="K65" s="7">
        <v>2020</v>
      </c>
      <c r="L65" s="7">
        <v>2021</v>
      </c>
      <c r="M65" s="7">
        <v>2022</v>
      </c>
      <c r="N65" s="52">
        <v>2023</v>
      </c>
      <c r="O65" s="12">
        <v>2024</v>
      </c>
      <c r="P65" s="12">
        <v>2025</v>
      </c>
      <c r="Q65" s="12">
        <v>2026</v>
      </c>
      <c r="R65" s="12">
        <v>2027</v>
      </c>
      <c r="S65" s="12">
        <v>2028</v>
      </c>
    </row>
    <row r="66" spans="1:19" x14ac:dyDescent="0.25">
      <c r="B66" t="s">
        <v>86</v>
      </c>
      <c r="H66" s="30">
        <f>H27</f>
        <v>19546</v>
      </c>
      <c r="I66" s="30">
        <f t="shared" ref="I66:S66" si="33">I27</f>
        <v>14636</v>
      </c>
      <c r="J66" s="30">
        <f t="shared" si="33"/>
        <v>38587</v>
      </c>
      <c r="K66" s="30">
        <f t="shared" si="33"/>
        <v>44293</v>
      </c>
      <c r="L66" s="30">
        <f t="shared" si="33"/>
        <v>59870</v>
      </c>
      <c r="M66" s="30">
        <f t="shared" si="33"/>
        <v>72436</v>
      </c>
      <c r="N66" s="58">
        <f t="shared" si="33"/>
        <v>72599</v>
      </c>
      <c r="O66" s="30">
        <f t="shared" si="33"/>
        <v>0</v>
      </c>
      <c r="P66" s="30">
        <f t="shared" si="33"/>
        <v>0</v>
      </c>
      <c r="Q66" s="30">
        <f t="shared" si="33"/>
        <v>0</v>
      </c>
      <c r="R66" s="30">
        <f t="shared" si="33"/>
        <v>0</v>
      </c>
      <c r="S66" s="30">
        <f t="shared" si="33"/>
        <v>0</v>
      </c>
    </row>
    <row r="67" spans="1:19" x14ac:dyDescent="0.25">
      <c r="B67" t="s">
        <v>87</v>
      </c>
      <c r="H67" s="30">
        <f>H29</f>
        <v>8778</v>
      </c>
      <c r="I67" s="30">
        <f t="shared" ref="I67:S67" si="34">I29</f>
        <v>10261</v>
      </c>
      <c r="J67" s="30">
        <f t="shared" si="34"/>
        <v>11682</v>
      </c>
      <c r="K67" s="30">
        <f t="shared" si="34"/>
        <v>12796</v>
      </c>
      <c r="L67" s="30">
        <f t="shared" si="34"/>
        <v>11686</v>
      </c>
      <c r="M67" s="30">
        <f t="shared" si="34"/>
        <v>14460</v>
      </c>
      <c r="N67" s="30">
        <f t="shared" si="34"/>
        <v>13861</v>
      </c>
      <c r="O67" s="30">
        <f t="shared" si="34"/>
        <v>0</v>
      </c>
      <c r="P67" s="30">
        <f t="shared" si="34"/>
        <v>0</v>
      </c>
      <c r="Q67" s="30">
        <f t="shared" si="34"/>
        <v>0</v>
      </c>
      <c r="R67" s="30">
        <f t="shared" si="34"/>
        <v>0</v>
      </c>
      <c r="S67" s="30">
        <f t="shared" si="34"/>
        <v>0</v>
      </c>
    </row>
    <row r="68" spans="1:19" x14ac:dyDescent="0.25">
      <c r="B68" t="s">
        <v>88</v>
      </c>
      <c r="H68" s="30">
        <f>H31</f>
        <v>3266</v>
      </c>
      <c r="I68" s="30">
        <f t="shared" ref="I68:S68" si="35">I31</f>
        <v>3940</v>
      </c>
      <c r="J68" s="30">
        <f t="shared" si="35"/>
        <v>4652</v>
      </c>
      <c r="K68" s="30">
        <f t="shared" si="35"/>
        <v>5289</v>
      </c>
      <c r="L68" s="30">
        <f t="shared" si="35"/>
        <v>6118</v>
      </c>
      <c r="M68" s="30">
        <f t="shared" si="35"/>
        <v>7502</v>
      </c>
      <c r="N68" s="30">
        <f t="shared" si="35"/>
        <v>9611</v>
      </c>
      <c r="O68" s="30">
        <f t="shared" si="35"/>
        <v>0</v>
      </c>
      <c r="P68" s="30">
        <f t="shared" si="35"/>
        <v>0</v>
      </c>
      <c r="Q68" s="30">
        <f t="shared" si="35"/>
        <v>0</v>
      </c>
      <c r="R68" s="30">
        <f t="shared" si="35"/>
        <v>0</v>
      </c>
      <c r="S68" s="30">
        <f t="shared" si="35"/>
        <v>0</v>
      </c>
    </row>
    <row r="69" spans="1:19" x14ac:dyDescent="0.25">
      <c r="B69" t="s">
        <v>89</v>
      </c>
      <c r="H69" s="30">
        <f ca="1">-1*(SUM(H42:H45)-SUM(G42:G45))</f>
        <v>-20191</v>
      </c>
      <c r="I69" s="30">
        <f ca="1">-1*(SUM(I42:I45)-SUM(H42:H45))</f>
        <v>-9811</v>
      </c>
      <c r="J69" s="30">
        <f ca="1">-1*(SUM(J42:J45)-SUM(I42:I45))</f>
        <v>-5890</v>
      </c>
      <c r="K69" s="30">
        <f ca="1">-1*(SUM(K42:K45)-SUM(J42:J45))</f>
        <v>-6363</v>
      </c>
      <c r="L69" s="30">
        <f ca="1">-1*(SUM(L42:L45)-SUM(K42:K45))</f>
        <v>-2491</v>
      </c>
      <c r="M69" s="30">
        <f ca="1">-1*(SUM(M42:M45)-SUM(L42:L45))</f>
        <v>14722</v>
      </c>
      <c r="N69" s="58">
        <f ca="1">-1*(SUM(N42:N45)-SUM(M42:M45))</f>
        <v>-14573</v>
      </c>
      <c r="O69" s="30">
        <f ca="1">-1*(SUM(O42:O45)-SUM(N42:N45))</f>
        <v>184257</v>
      </c>
      <c r="P69" s="30">
        <f>-1*(SUM(P42:P45)-SUM(O42:O45))</f>
        <v>0</v>
      </c>
      <c r="Q69" s="30">
        <f>-1*(SUM(Q42:Q45)-SUM(P42:P45))</f>
        <v>0</v>
      </c>
      <c r="R69" s="30">
        <f>-1*(SUM(R42:R45)-SUM(Q42:Q45))</f>
        <v>0</v>
      </c>
      <c r="S69" s="30">
        <f>-1*(SUM(S42:S45)-SUM(R42:R45))</f>
        <v>0</v>
      </c>
    </row>
    <row r="70" spans="1:19" x14ac:dyDescent="0.25">
      <c r="B70" t="s">
        <v>90</v>
      </c>
      <c r="H70" s="30">
        <f>(SUM(H50:H52)-SUM(G50:G52))</f>
        <v>9106</v>
      </c>
      <c r="I70" s="30">
        <f t="shared" ref="I70:S70" si="36">(SUM(I50:I52)-SUM(H50:H52))</f>
        <v>-12601</v>
      </c>
      <c r="J70" s="30">
        <f t="shared" si="36"/>
        <v>11647</v>
      </c>
      <c r="K70" s="30">
        <f t="shared" si="36"/>
        <v>1540</v>
      </c>
      <c r="L70" s="30">
        <f t="shared" si="36"/>
        <v>15783</v>
      </c>
      <c r="M70" s="30">
        <f t="shared" si="36"/>
        <v>3930</v>
      </c>
      <c r="N70" s="30">
        <f t="shared" si="36"/>
        <v>6611</v>
      </c>
      <c r="O70" s="30">
        <f t="shared" si="36"/>
        <v>-101814</v>
      </c>
      <c r="P70" s="30">
        <f t="shared" si="36"/>
        <v>0</v>
      </c>
      <c r="Q70" s="30">
        <f t="shared" si="36"/>
        <v>0</v>
      </c>
      <c r="R70" s="30">
        <f t="shared" si="36"/>
        <v>0</v>
      </c>
      <c r="S70" s="30">
        <f t="shared" si="36"/>
        <v>0</v>
      </c>
    </row>
    <row r="71" spans="1:19" x14ac:dyDescent="0.25">
      <c r="B71" t="s">
        <v>91</v>
      </c>
    </row>
    <row r="72" spans="1:19" x14ac:dyDescent="0.25">
      <c r="B72" t="s">
        <v>79</v>
      </c>
      <c r="H72" s="30">
        <f>H55-G55</f>
        <v>2599</v>
      </c>
      <c r="I72" s="30">
        <f t="shared" ref="I72:S72" si="37">I55-H55</f>
        <v>23870</v>
      </c>
      <c r="J72" s="30">
        <f t="shared" si="37"/>
        <v>2029</v>
      </c>
      <c r="K72" s="30">
        <f t="shared" si="37"/>
        <v>4325</v>
      </c>
      <c r="L72" s="30">
        <f t="shared" si="37"/>
        <v>2505</v>
      </c>
      <c r="M72" s="30">
        <f t="shared" si="37"/>
        <v>2870</v>
      </c>
      <c r="N72" s="58">
        <f t="shared" si="37"/>
        <v>3388</v>
      </c>
      <c r="O72" s="30">
        <f t="shared" si="37"/>
        <v>-56702</v>
      </c>
      <c r="P72" s="30">
        <f t="shared" si="37"/>
        <v>0</v>
      </c>
      <c r="Q72" s="30">
        <f t="shared" si="37"/>
        <v>0</v>
      </c>
      <c r="R72" s="30">
        <f t="shared" si="37"/>
        <v>0</v>
      </c>
      <c r="S72" s="30">
        <f t="shared" si="37"/>
        <v>0</v>
      </c>
    </row>
    <row r="73" spans="1:19" x14ac:dyDescent="0.25">
      <c r="B73" s="41" t="s">
        <v>92</v>
      </c>
      <c r="H73" s="42">
        <f ca="1">SUM(H66:H72)</f>
        <v>23104</v>
      </c>
      <c r="I73" s="42">
        <f t="shared" ref="I73:S73" ca="1" si="38">SUM(I66:I72)</f>
        <v>30295</v>
      </c>
      <c r="J73" s="42">
        <f t="shared" ca="1" si="38"/>
        <v>62707</v>
      </c>
      <c r="K73" s="42">
        <f t="shared" ca="1" si="38"/>
        <v>61880</v>
      </c>
      <c r="L73" s="42">
        <f t="shared" ca="1" si="38"/>
        <v>93471</v>
      </c>
      <c r="M73" s="42">
        <f t="shared" ca="1" si="38"/>
        <v>115920</v>
      </c>
      <c r="N73" s="42">
        <f t="shared" ca="1" si="38"/>
        <v>91497</v>
      </c>
      <c r="O73" s="42">
        <f t="shared" ca="1" si="38"/>
        <v>25741</v>
      </c>
      <c r="P73" s="42">
        <f t="shared" si="38"/>
        <v>0</v>
      </c>
      <c r="Q73" s="42">
        <f t="shared" si="38"/>
        <v>0</v>
      </c>
      <c r="R73" s="42">
        <f t="shared" si="38"/>
        <v>0</v>
      </c>
      <c r="S73" s="42">
        <f t="shared" si="38"/>
        <v>0</v>
      </c>
    </row>
    <row r="75" spans="1:19" x14ac:dyDescent="0.25">
      <c r="B75" t="s">
        <v>93</v>
      </c>
      <c r="H75" s="30">
        <f>-(H46-G46)</f>
        <v>-5378</v>
      </c>
      <c r="I75" s="30">
        <f>-(I46-H46)</f>
        <v>-5726</v>
      </c>
      <c r="J75" s="30">
        <f>-(J46-I46)</f>
        <v>-7017</v>
      </c>
      <c r="K75" s="30">
        <f>-(K46-J46)</f>
        <v>-7674</v>
      </c>
      <c r="L75" s="30">
        <f>-(L46-K46)</f>
        <v>-15564</v>
      </c>
      <c r="M75" s="30">
        <f>-(M46-L46)</f>
        <v>-14683</v>
      </c>
      <c r="N75" s="30">
        <f>-(N46-M46)</f>
        <v>-21243</v>
      </c>
      <c r="O75" s="30">
        <f>-(O46-N46)</f>
        <v>95641</v>
      </c>
      <c r="P75" s="30">
        <f>-(P46-O46)</f>
        <v>0</v>
      </c>
      <c r="Q75" s="30">
        <f>-(Q46-P46)</f>
        <v>0</v>
      </c>
      <c r="R75" s="30">
        <f>-(R46-Q46)</f>
        <v>0</v>
      </c>
      <c r="S75" s="30">
        <f>-(S46-R46)</f>
        <v>0</v>
      </c>
    </row>
    <row r="76" spans="1:19" x14ac:dyDescent="0.25">
      <c r="B76" s="41" t="s">
        <v>94</v>
      </c>
      <c r="H76" s="42">
        <f>IFERROR(H75, "NA")</f>
        <v>-5378</v>
      </c>
      <c r="I76" s="42">
        <f t="shared" ref="I76:S76" si="39">IFERROR(I75, "NA")</f>
        <v>-5726</v>
      </c>
      <c r="J76" s="42">
        <f t="shared" si="39"/>
        <v>-7017</v>
      </c>
      <c r="K76" s="42">
        <f t="shared" si="39"/>
        <v>-7674</v>
      </c>
      <c r="L76" s="42">
        <f t="shared" si="39"/>
        <v>-15564</v>
      </c>
      <c r="M76" s="42">
        <f t="shared" si="39"/>
        <v>-14683</v>
      </c>
      <c r="N76" s="42">
        <f t="shared" si="39"/>
        <v>-21243</v>
      </c>
      <c r="O76" s="42">
        <f t="shared" si="39"/>
        <v>95641</v>
      </c>
      <c r="P76" s="42">
        <f t="shared" si="39"/>
        <v>0</v>
      </c>
      <c r="Q76" s="42">
        <f t="shared" si="39"/>
        <v>0</v>
      </c>
      <c r="R76" s="42">
        <f t="shared" si="39"/>
        <v>0</v>
      </c>
      <c r="S76" s="42">
        <f t="shared" si="39"/>
        <v>0</v>
      </c>
    </row>
    <row r="78" spans="1:19" x14ac:dyDescent="0.25">
      <c r="B78" t="s">
        <v>95</v>
      </c>
      <c r="H78" s="67">
        <f>H54-G54</f>
        <v>35516</v>
      </c>
      <c r="I78" s="30">
        <f t="shared" ref="I78:S78" si="40">I54-H54</f>
        <v>-3831</v>
      </c>
      <c r="J78" s="30">
        <f t="shared" si="40"/>
        <v>-5580</v>
      </c>
      <c r="K78" s="30">
        <f t="shared" si="40"/>
        <v>-7084</v>
      </c>
      <c r="L78" s="30">
        <f t="shared" si="40"/>
        <v>-9504</v>
      </c>
      <c r="M78" s="30">
        <f t="shared" si="40"/>
        <v>-293</v>
      </c>
      <c r="N78" s="30">
        <f t="shared" si="40"/>
        <v>-2544</v>
      </c>
      <c r="O78" s="30">
        <f t="shared" si="40"/>
        <v>-47237</v>
      </c>
      <c r="P78" s="30">
        <f t="shared" si="40"/>
        <v>0</v>
      </c>
      <c r="Q78" s="30">
        <f t="shared" si="40"/>
        <v>0</v>
      </c>
      <c r="R78" s="30">
        <f t="shared" si="40"/>
        <v>0</v>
      </c>
      <c r="S78" s="30">
        <f t="shared" si="40"/>
        <v>0</v>
      </c>
    </row>
    <row r="79" spans="1:19" x14ac:dyDescent="0.25">
      <c r="B79" t="s">
        <v>96</v>
      </c>
    </row>
    <row r="80" spans="1:19" x14ac:dyDescent="0.25">
      <c r="B80" t="s">
        <v>97</v>
      </c>
    </row>
    <row r="81" spans="1:19" x14ac:dyDescent="0.25">
      <c r="B81" t="s">
        <v>98</v>
      </c>
    </row>
    <row r="82" spans="1:19" x14ac:dyDescent="0.25">
      <c r="B82" s="41" t="s">
        <v>99</v>
      </c>
      <c r="H82" s="42">
        <f>SUM(H78:H81)</f>
        <v>35516</v>
      </c>
      <c r="I82" s="42">
        <f t="shared" ref="I82:S82" si="41">SUM(I78:I81)</f>
        <v>-3831</v>
      </c>
      <c r="J82" s="42">
        <f t="shared" si="41"/>
        <v>-5580</v>
      </c>
      <c r="K82" s="42">
        <f t="shared" si="41"/>
        <v>-7084</v>
      </c>
      <c r="L82" s="42">
        <f t="shared" si="41"/>
        <v>-9504</v>
      </c>
      <c r="M82" s="42">
        <f t="shared" si="41"/>
        <v>-293</v>
      </c>
      <c r="N82" s="42">
        <f t="shared" si="41"/>
        <v>-2544</v>
      </c>
      <c r="O82" s="42">
        <f t="shared" si="41"/>
        <v>-47237</v>
      </c>
      <c r="P82" s="42">
        <f t="shared" si="41"/>
        <v>0</v>
      </c>
      <c r="Q82" s="42">
        <f t="shared" si="41"/>
        <v>0</v>
      </c>
      <c r="R82" s="42">
        <f t="shared" si="41"/>
        <v>0</v>
      </c>
      <c r="S82" s="42">
        <f t="shared" si="41"/>
        <v>0</v>
      </c>
    </row>
    <row r="84" spans="1:19" x14ac:dyDescent="0.25">
      <c r="B84" s="41" t="s">
        <v>100</v>
      </c>
      <c r="H84" s="42">
        <f ca="1">H82+H76+H73</f>
        <v>53242</v>
      </c>
      <c r="I84" s="42">
        <f t="shared" ref="I84:S84" ca="1" si="42">I82+I76+I73</f>
        <v>20738</v>
      </c>
      <c r="J84" s="42">
        <f t="shared" ca="1" si="42"/>
        <v>50110</v>
      </c>
      <c r="K84" s="42">
        <f t="shared" ca="1" si="42"/>
        <v>47122</v>
      </c>
      <c r="L84" s="42">
        <f t="shared" ca="1" si="42"/>
        <v>68403</v>
      </c>
      <c r="M84" s="42">
        <f t="shared" ca="1" si="42"/>
        <v>100944</v>
      </c>
      <c r="N84" s="42">
        <f t="shared" ca="1" si="42"/>
        <v>67710</v>
      </c>
      <c r="O84" s="42">
        <f t="shared" ca="1" si="42"/>
        <v>74145</v>
      </c>
      <c r="P84" s="42">
        <f t="shared" si="42"/>
        <v>0</v>
      </c>
      <c r="Q84" s="42">
        <f t="shared" si="42"/>
        <v>0</v>
      </c>
      <c r="R84" s="42">
        <f t="shared" si="42"/>
        <v>0</v>
      </c>
      <c r="S84" s="42">
        <f t="shared" si="42"/>
        <v>0</v>
      </c>
    </row>
    <row r="86" spans="1:19" x14ac:dyDescent="0.25">
      <c r="A86" t="s">
        <v>8</v>
      </c>
      <c r="B86" s="7" t="s">
        <v>105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1:19" x14ac:dyDescent="0.25">
      <c r="B87" s="41" t="s">
        <v>106</v>
      </c>
    </row>
    <row r="88" spans="1:19" x14ac:dyDescent="0.25">
      <c r="B88" t="s">
        <v>107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53F4-E670-41A9-B096-B6E375EAE8AA}">
  <dimension ref="A2:S77"/>
  <sheetViews>
    <sheetView workbookViewId="0">
      <selection activeCell="H32" sqref="H32"/>
    </sheetView>
  </sheetViews>
  <sheetFormatPr defaultRowHeight="15" x14ac:dyDescent="0.25"/>
  <cols>
    <col min="1" max="1" width="3.7109375" customWidth="1"/>
    <col min="2" max="2" width="9.140625" customWidth="1"/>
    <col min="4" max="4" width="10.7109375" bestFit="1" customWidth="1"/>
  </cols>
  <sheetData>
    <row r="2" spans="1:19" s="2" customFormat="1" ht="21" x14ac:dyDescent="0.35">
      <c r="B2" s="1" t="s">
        <v>6</v>
      </c>
      <c r="C2" s="1"/>
    </row>
    <row r="4" spans="1:19" x14ac:dyDescent="0.25">
      <c r="B4" t="s">
        <v>0</v>
      </c>
      <c r="D4" s="3" t="s">
        <v>7</v>
      </c>
      <c r="F4" t="s">
        <v>1</v>
      </c>
      <c r="I4" s="4" t="e">
        <f ca="1">S77</f>
        <v>#DIV/0!</v>
      </c>
    </row>
    <row r="5" spans="1:19" x14ac:dyDescent="0.25">
      <c r="B5" t="s">
        <v>2</v>
      </c>
      <c r="D5" s="5">
        <v>45209</v>
      </c>
      <c r="F5" t="s">
        <v>3</v>
      </c>
      <c r="I5" s="4">
        <v>410.17</v>
      </c>
    </row>
    <row r="6" spans="1:19" x14ac:dyDescent="0.25">
      <c r="B6" t="s">
        <v>4</v>
      </c>
      <c r="D6" s="5">
        <v>45107</v>
      </c>
      <c r="F6" t="s">
        <v>5</v>
      </c>
      <c r="I6" s="6" t="e">
        <f ca="1">I4/I5-1</f>
        <v>#DIV/0!</v>
      </c>
    </row>
    <row r="8" spans="1:19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B9" s="8" t="s">
        <v>10</v>
      </c>
      <c r="C9" s="8"/>
      <c r="G9" s="8" t="s">
        <v>11</v>
      </c>
      <c r="K9" s="8" t="s">
        <v>12</v>
      </c>
      <c r="O9" s="8" t="s">
        <v>13</v>
      </c>
    </row>
    <row r="10" spans="1:19" x14ac:dyDescent="0.25">
      <c r="B10" t="s">
        <v>14</v>
      </c>
      <c r="E10" s="3"/>
      <c r="G10" t="s">
        <v>15</v>
      </c>
      <c r="I10" s="9"/>
      <c r="O10" t="s">
        <v>15</v>
      </c>
      <c r="Q10" s="9"/>
    </row>
    <row r="11" spans="1:19" x14ac:dyDescent="0.25">
      <c r="B11" t="s">
        <v>16</v>
      </c>
      <c r="E11" s="3"/>
      <c r="G11" t="s">
        <v>17</v>
      </c>
      <c r="I11" s="9"/>
      <c r="K11" t="s">
        <v>17</v>
      </c>
      <c r="M11" s="9"/>
      <c r="O11" t="s">
        <v>17</v>
      </c>
      <c r="Q11" s="9"/>
    </row>
    <row r="12" spans="1:19" x14ac:dyDescent="0.25">
      <c r="B12" t="s">
        <v>18</v>
      </c>
      <c r="E12" s="3"/>
      <c r="G12" t="s">
        <v>19</v>
      </c>
      <c r="I12" s="9"/>
      <c r="O12" t="s">
        <v>19</v>
      </c>
      <c r="Q12" s="9"/>
    </row>
    <row r="13" spans="1:19" x14ac:dyDescent="0.25">
      <c r="B13" t="s">
        <v>20</v>
      </c>
      <c r="E13" s="3"/>
    </row>
    <row r="14" spans="1:19" x14ac:dyDescent="0.25">
      <c r="K14" t="s">
        <v>21</v>
      </c>
      <c r="M14" s="9"/>
    </row>
    <row r="15" spans="1:19" x14ac:dyDescent="0.25">
      <c r="B15" t="s">
        <v>18</v>
      </c>
      <c r="E15" s="10"/>
      <c r="G15" t="s">
        <v>18</v>
      </c>
      <c r="I15" s="9"/>
      <c r="K15" t="s">
        <v>18</v>
      </c>
      <c r="M15" s="9"/>
      <c r="O15" t="s">
        <v>18</v>
      </c>
      <c r="Q15" s="9"/>
    </row>
    <row r="16" spans="1:19" x14ac:dyDescent="0.25">
      <c r="B16" t="s">
        <v>20</v>
      </c>
      <c r="E16" s="10"/>
      <c r="G16" t="s">
        <v>20</v>
      </c>
      <c r="I16" s="9"/>
      <c r="K16" t="s">
        <v>20</v>
      </c>
      <c r="M16" s="9"/>
      <c r="O16" t="s">
        <v>20</v>
      </c>
      <c r="Q16" s="11"/>
    </row>
    <row r="18" spans="1:19" x14ac:dyDescent="0.25">
      <c r="A18" t="s">
        <v>8</v>
      </c>
      <c r="B18" s="7" t="s">
        <v>61</v>
      </c>
      <c r="C18" s="7"/>
      <c r="D18" s="7"/>
      <c r="E18" s="7"/>
      <c r="F18" s="7"/>
      <c r="G18" s="7">
        <v>2016</v>
      </c>
      <c r="H18" s="7">
        <f t="shared" ref="G18:S18" si="0">G18+1</f>
        <v>2017</v>
      </c>
      <c r="I18" s="7">
        <f t="shared" si="0"/>
        <v>2018</v>
      </c>
      <c r="J18" s="7">
        <f t="shared" si="0"/>
        <v>2019</v>
      </c>
      <c r="K18" s="7">
        <f t="shared" si="0"/>
        <v>2020</v>
      </c>
      <c r="L18" s="7">
        <f t="shared" si="0"/>
        <v>2021</v>
      </c>
      <c r="M18" s="7">
        <f t="shared" si="0"/>
        <v>2022</v>
      </c>
      <c r="N18" s="12">
        <f t="shared" si="0"/>
        <v>2023</v>
      </c>
      <c r="O18" s="12">
        <f t="shared" si="0"/>
        <v>2024</v>
      </c>
      <c r="P18" s="12">
        <f t="shared" si="0"/>
        <v>2025</v>
      </c>
      <c r="Q18" s="12">
        <f t="shared" si="0"/>
        <v>2026</v>
      </c>
      <c r="R18" s="12">
        <f t="shared" si="0"/>
        <v>2027</v>
      </c>
      <c r="S18" s="12">
        <f t="shared" si="0"/>
        <v>2028</v>
      </c>
    </row>
    <row r="19" spans="1:19" x14ac:dyDescent="0.25">
      <c r="B19" t="s">
        <v>14</v>
      </c>
      <c r="E19" s="13"/>
      <c r="F19" s="13"/>
      <c r="G19" s="13">
        <f>Historicals!G17</f>
        <v>85320</v>
      </c>
      <c r="H19" s="13">
        <f>Historicals!H17</f>
        <v>89950</v>
      </c>
      <c r="I19" s="13">
        <f>Historicals!I17</f>
        <v>110360</v>
      </c>
      <c r="J19" s="13">
        <f>Historicals!J17</f>
        <v>125843</v>
      </c>
      <c r="K19" s="13">
        <f>Historicals!K17</f>
        <v>143015</v>
      </c>
      <c r="L19" s="13">
        <f>Historicals!L17</f>
        <v>168088</v>
      </c>
      <c r="M19" s="13">
        <f>Historicals!M17</f>
        <v>198270</v>
      </c>
      <c r="N19" s="14">
        <f>[1]Estimates!K5</f>
        <v>51794.5</v>
      </c>
      <c r="O19" s="14">
        <f>[1]Estimates!L5</f>
        <v>77970.100000000006</v>
      </c>
      <c r="P19" s="14">
        <f>[1]Estimates!M5</f>
        <v>93531.8</v>
      </c>
      <c r="Q19" s="15">
        <f>[1]Estimates!N5</f>
        <v>111484</v>
      </c>
      <c r="R19" s="15">
        <f>[1]Estimates!O5</f>
        <v>139956</v>
      </c>
      <c r="S19" s="15">
        <f>[1]Estimates!P5</f>
        <v>135485</v>
      </c>
    </row>
    <row r="20" spans="1:19" x14ac:dyDescent="0.25">
      <c r="B20" s="16" t="s">
        <v>22</v>
      </c>
      <c r="C20" s="16"/>
      <c r="D20" s="16"/>
      <c r="E20" s="17"/>
      <c r="F20" s="18"/>
      <c r="G20" s="18"/>
      <c r="H20" s="18">
        <f t="shared" ref="G20:S20" si="1">H19/G19-1</f>
        <v>5.4266291608063844E-2</v>
      </c>
      <c r="I20" s="18">
        <f t="shared" si="1"/>
        <v>0.22690383546414683</v>
      </c>
      <c r="J20" s="18">
        <f t="shared" si="1"/>
        <v>0.14029539688292858</v>
      </c>
      <c r="K20" s="18">
        <f t="shared" si="1"/>
        <v>0.13645574247276371</v>
      </c>
      <c r="L20" s="18">
        <f t="shared" si="1"/>
        <v>0.17531727441177503</v>
      </c>
      <c r="M20" s="18">
        <f t="shared" si="1"/>
        <v>0.17956070629670173</v>
      </c>
      <c r="N20" s="18">
        <f t="shared" si="1"/>
        <v>-0.73876784183184552</v>
      </c>
      <c r="O20" s="18">
        <f t="shared" si="1"/>
        <v>0.50537412273503945</v>
      </c>
      <c r="P20" s="18">
        <f t="shared" si="1"/>
        <v>0.19958548212712302</v>
      </c>
      <c r="Q20" s="18">
        <f t="shared" si="1"/>
        <v>0.19193685997703458</v>
      </c>
      <c r="R20" s="18">
        <f t="shared" si="1"/>
        <v>0.25539090811237486</v>
      </c>
      <c r="S20" s="18">
        <f t="shared" si="1"/>
        <v>-3.1945754379947955E-2</v>
      </c>
    </row>
    <row r="22" spans="1:19" x14ac:dyDescent="0.25">
      <c r="B22" t="s">
        <v>16</v>
      </c>
      <c r="E22" s="13"/>
      <c r="F22" s="13"/>
      <c r="G22" s="13">
        <f>Historicals!G22</f>
        <v>20182</v>
      </c>
      <c r="H22" s="13">
        <f>Historicals!H22</f>
        <v>22326</v>
      </c>
      <c r="I22" s="13">
        <f>Historicals!I22</f>
        <v>35058</v>
      </c>
      <c r="J22" s="13">
        <f>Historicals!J22</f>
        <v>42959</v>
      </c>
      <c r="K22" s="13">
        <f>Historicals!K22</f>
        <v>52959</v>
      </c>
      <c r="L22" s="13">
        <f>Historicals!L22</f>
        <v>69916</v>
      </c>
      <c r="M22" s="13">
        <f>Historicals!M22</f>
        <v>83383</v>
      </c>
      <c r="N22" s="14">
        <f>[1]Estimates!K9</f>
        <v>28181.8</v>
      </c>
      <c r="O22" s="14">
        <f>[1]Estimates!L9</f>
        <v>45402.400000000001</v>
      </c>
      <c r="P22" s="14">
        <f>[1]Estimates!M9</f>
        <v>54401</v>
      </c>
      <c r="Q22" s="15">
        <f>[1]Estimates!N9</f>
        <v>65999.600000000006</v>
      </c>
      <c r="R22" s="15">
        <f>[1]Estimates!O9</f>
        <v>83947.3</v>
      </c>
      <c r="S22" s="15">
        <f>[1]Estimates!P9</f>
        <v>81477.7</v>
      </c>
    </row>
    <row r="23" spans="1:19" x14ac:dyDescent="0.25">
      <c r="B23" s="16" t="s">
        <v>24</v>
      </c>
      <c r="C23" s="16"/>
      <c r="D23" s="16"/>
      <c r="E23" s="18"/>
      <c r="F23" s="18"/>
      <c r="G23" s="18"/>
      <c r="H23" s="18">
        <f t="shared" ref="F23:S23" si="2">H22/H19</f>
        <v>0.24820455808782657</v>
      </c>
      <c r="I23" s="18">
        <f t="shared" si="2"/>
        <v>0.31766944545125048</v>
      </c>
      <c r="J23" s="18">
        <f t="shared" si="2"/>
        <v>0.3413698020549415</v>
      </c>
      <c r="K23" s="18">
        <f t="shared" si="2"/>
        <v>0.37030381428521486</v>
      </c>
      <c r="L23" s="18">
        <f t="shared" si="2"/>
        <v>0.41594878872971303</v>
      </c>
      <c r="M23" s="18">
        <f t="shared" si="2"/>
        <v>0.4205527815604983</v>
      </c>
      <c r="N23" s="18">
        <f t="shared" si="2"/>
        <v>0.54410796513143289</v>
      </c>
      <c r="O23" s="18">
        <f t="shared" si="2"/>
        <v>0.58230526830156681</v>
      </c>
      <c r="P23" s="18">
        <f t="shared" si="2"/>
        <v>0.581631060238336</v>
      </c>
      <c r="Q23" s="18">
        <f t="shared" si="2"/>
        <v>0.59200961572961153</v>
      </c>
      <c r="R23" s="18">
        <f t="shared" si="2"/>
        <v>0.59981208379776507</v>
      </c>
      <c r="S23" s="18">
        <f t="shared" si="2"/>
        <v>0.60137801232608779</v>
      </c>
    </row>
    <row r="25" spans="1:19" x14ac:dyDescent="0.25">
      <c r="A25" t="s">
        <v>8</v>
      </c>
      <c r="B25" s="7" t="s">
        <v>25</v>
      </c>
      <c r="C25" s="7"/>
      <c r="D25" s="7"/>
      <c r="E25" s="7"/>
      <c r="F25" s="7"/>
      <c r="G25" s="7"/>
      <c r="H25" s="7">
        <f t="shared" ref="F25:M25" si="3">H18</f>
        <v>2017</v>
      </c>
      <c r="I25" s="7">
        <f t="shared" si="3"/>
        <v>2018</v>
      </c>
      <c r="J25" s="7">
        <f t="shared" si="3"/>
        <v>2019</v>
      </c>
      <c r="K25" s="7">
        <f t="shared" si="3"/>
        <v>2020</v>
      </c>
      <c r="L25" s="7">
        <f t="shared" si="3"/>
        <v>2021</v>
      </c>
      <c r="M25" s="7">
        <f t="shared" si="3"/>
        <v>2022</v>
      </c>
      <c r="N25" s="12">
        <f t="shared" ref="N25:S25" si="4">M25+1</f>
        <v>2023</v>
      </c>
      <c r="O25" s="12">
        <f t="shared" si="4"/>
        <v>2024</v>
      </c>
      <c r="P25" s="12">
        <f t="shared" si="4"/>
        <v>2025</v>
      </c>
      <c r="Q25" s="12">
        <f t="shared" si="4"/>
        <v>2026</v>
      </c>
      <c r="R25" s="12">
        <f t="shared" si="4"/>
        <v>2027</v>
      </c>
      <c r="S25" s="12">
        <f t="shared" si="4"/>
        <v>2028</v>
      </c>
    </row>
    <row r="26" spans="1:19" x14ac:dyDescent="0.25">
      <c r="B26" t="s">
        <v>26</v>
      </c>
      <c r="D26" s="19"/>
      <c r="E26" s="14"/>
      <c r="F26" s="14"/>
      <c r="H26" s="14">
        <f>Historicals!H67</f>
        <v>8778</v>
      </c>
      <c r="I26" s="14">
        <f>Historicals!I67</f>
        <v>10261</v>
      </c>
      <c r="J26" s="14">
        <f>Historicals!J67</f>
        <v>11682</v>
      </c>
      <c r="K26" s="14">
        <f>Historicals!K67</f>
        <v>12796</v>
      </c>
      <c r="L26" s="14">
        <f>Historicals!L67</f>
        <v>11686</v>
      </c>
      <c r="M26" s="14">
        <f>Historicals!M67</f>
        <v>14460</v>
      </c>
      <c r="N26" s="20"/>
      <c r="O26" s="20"/>
      <c r="P26" s="20"/>
      <c r="Q26" s="20"/>
      <c r="R26" s="20"/>
      <c r="S26" s="20"/>
    </row>
    <row r="27" spans="1:19" x14ac:dyDescent="0.25">
      <c r="B27" t="s">
        <v>24</v>
      </c>
      <c r="D27" s="19"/>
      <c r="E27" s="18"/>
      <c r="F27" s="18"/>
      <c r="G27" s="18"/>
      <c r="H27" s="18"/>
      <c r="I27" s="18">
        <f t="shared" ref="F27:M27" si="5">I26/I19</f>
        <v>9.2977528089887643E-2</v>
      </c>
      <c r="J27" s="18">
        <f t="shared" si="5"/>
        <v>9.2829954784930432E-2</v>
      </c>
      <c r="K27" s="18">
        <f t="shared" si="5"/>
        <v>8.9473132188931229E-2</v>
      </c>
      <c r="L27" s="18">
        <f t="shared" si="5"/>
        <v>6.9523106943981727E-2</v>
      </c>
      <c r="M27" s="18">
        <f t="shared" si="5"/>
        <v>7.2930851868663937E-2</v>
      </c>
      <c r="N27" s="19"/>
      <c r="O27" s="19"/>
      <c r="P27" s="19"/>
      <c r="Q27" s="19"/>
      <c r="R27" s="19"/>
      <c r="S27" s="19"/>
    </row>
    <row r="28" spans="1:19" x14ac:dyDescent="0.2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B29" t="s">
        <v>27</v>
      </c>
      <c r="D29" s="19"/>
      <c r="E29" s="13"/>
      <c r="F29" s="13"/>
      <c r="G29" s="13"/>
      <c r="H29" s="13">
        <f>Historicals!H75*-1</f>
        <v>5378</v>
      </c>
      <c r="I29" s="13">
        <f>Historicals!I75*-1</f>
        <v>5726</v>
      </c>
      <c r="J29" s="13">
        <f>Historicals!J75*-1</f>
        <v>7017</v>
      </c>
      <c r="K29" s="13">
        <f>Historicals!K75*-1</f>
        <v>7674</v>
      </c>
      <c r="L29" s="13">
        <f>Historicals!L75*-1</f>
        <v>15564</v>
      </c>
      <c r="M29" s="13">
        <f>Historicals!M75*-1</f>
        <v>14683</v>
      </c>
      <c r="N29" s="21"/>
      <c r="O29" s="19"/>
      <c r="P29" s="19"/>
      <c r="Q29" s="19"/>
      <c r="R29" s="19"/>
      <c r="S29" s="19"/>
    </row>
    <row r="30" spans="1:19" x14ac:dyDescent="0.25">
      <c r="B30" s="16" t="s">
        <v>24</v>
      </c>
      <c r="C30" s="16"/>
      <c r="D30" s="19"/>
      <c r="E30" s="18"/>
      <c r="F30" s="18"/>
      <c r="G30" s="18"/>
      <c r="H30" s="18"/>
      <c r="I30" s="18">
        <f t="shared" ref="E30:M30" si="6">I29/I19</f>
        <v>5.1884740848133382E-2</v>
      </c>
      <c r="J30" s="18">
        <f t="shared" si="6"/>
        <v>5.5759954864394522E-2</v>
      </c>
      <c r="K30" s="18">
        <f t="shared" si="6"/>
        <v>5.3658707128622869E-2</v>
      </c>
      <c r="L30" s="18">
        <f t="shared" si="6"/>
        <v>9.2594355337680262E-2</v>
      </c>
      <c r="M30" s="18">
        <f t="shared" si="6"/>
        <v>7.4055580773692439E-2</v>
      </c>
      <c r="N30" s="19"/>
      <c r="O30" s="19"/>
      <c r="P30" s="19"/>
      <c r="Q30" s="19"/>
      <c r="R30" s="19"/>
      <c r="S30" s="19"/>
    </row>
    <row r="31" spans="1:19" x14ac:dyDescent="0.2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5">
      <c r="B32" t="s">
        <v>28</v>
      </c>
      <c r="D32" s="19"/>
      <c r="E32" s="13"/>
      <c r="F32" s="13"/>
      <c r="G32" s="13"/>
      <c r="H32" s="13">
        <f>SUM(Historicals!G42:G45)</f>
        <v>139660</v>
      </c>
      <c r="I32" s="13">
        <f>-(11/12)*[1]CFS!G32+(1/12)*[1]CFS!H32</f>
        <v>845.33333333333326</v>
      </c>
      <c r="J32" s="13">
        <f>-(11/12)*[1]CFS!H32+(1/12)*[1]CFS!I32</f>
        <v>-715.83333333333337</v>
      </c>
      <c r="K32" s="13">
        <f>-(11/12)*[1]CFS!I32+(1/12)*[1]CFS!J32</f>
        <v>364.16666666666663</v>
      </c>
      <c r="L32" s="13">
        <f>-(11/12)*[1]CFS!J32+(1/12)*[1]CFS!K32</f>
        <v>2898.8333333333335</v>
      </c>
      <c r="M32" s="21"/>
      <c r="N32" s="21"/>
      <c r="O32" s="19"/>
      <c r="P32" s="19"/>
      <c r="Q32" s="19"/>
      <c r="R32" s="19"/>
      <c r="S32" s="19"/>
    </row>
    <row r="33" spans="1:19" x14ac:dyDescent="0.25">
      <c r="B33" s="16" t="s">
        <v>24</v>
      </c>
      <c r="C33" s="16"/>
      <c r="D33" s="19"/>
      <c r="E33" s="18"/>
      <c r="F33" s="18"/>
      <c r="G33" s="18"/>
      <c r="H33" s="18"/>
      <c r="I33" s="18">
        <f t="shared" ref="F33:L33" si="7">I32/I19</f>
        <v>7.6597801135677174E-3</v>
      </c>
      <c r="J33" s="18">
        <f t="shared" si="7"/>
        <v>-5.6883047395034558E-3</v>
      </c>
      <c r="K33" s="18">
        <f t="shared" si="7"/>
        <v>2.5463529466606062E-3</v>
      </c>
      <c r="L33" s="18">
        <f t="shared" si="7"/>
        <v>1.7245926736788667E-2</v>
      </c>
      <c r="M33" s="18"/>
      <c r="N33" s="19"/>
      <c r="O33" s="19"/>
      <c r="P33" s="19"/>
      <c r="Q33" s="19"/>
      <c r="R33" s="19"/>
      <c r="S33" s="19"/>
    </row>
    <row r="34" spans="1:19" x14ac:dyDescent="0.25">
      <c r="B34" s="16" t="s">
        <v>29</v>
      </c>
      <c r="C34" s="16"/>
      <c r="F34" s="18"/>
      <c r="G34" s="18"/>
      <c r="H34" s="18"/>
      <c r="I34" s="18">
        <f t="shared" ref="G34:L34" si="8">I32/(I19-H19)</f>
        <v>4.1417605748815936E-2</v>
      </c>
      <c r="J34" s="18">
        <f t="shared" si="8"/>
        <v>-4.6233503412344723E-2</v>
      </c>
      <c r="K34" s="18">
        <f t="shared" si="8"/>
        <v>2.1207003649351654E-2</v>
      </c>
      <c r="L34" s="18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t="s">
        <v>8</v>
      </c>
      <c r="B36" s="7" t="s">
        <v>30</v>
      </c>
      <c r="C36" s="7"/>
      <c r="D36" s="7"/>
      <c r="E36" s="7"/>
      <c r="F36" s="7"/>
      <c r="G36" s="7">
        <f t="shared" ref="G36:O36" si="10">F36+1</f>
        <v>1</v>
      </c>
      <c r="H36" s="7">
        <f t="shared" si="10"/>
        <v>2</v>
      </c>
      <c r="I36" s="7">
        <f t="shared" si="10"/>
        <v>3</v>
      </c>
      <c r="J36" s="7">
        <f t="shared" si="10"/>
        <v>4</v>
      </c>
      <c r="K36" s="7">
        <f t="shared" si="10"/>
        <v>5</v>
      </c>
      <c r="L36" s="7">
        <f t="shared" si="10"/>
        <v>6</v>
      </c>
      <c r="M36" s="7">
        <f t="shared" si="10"/>
        <v>7</v>
      </c>
      <c r="N36" s="12">
        <f t="shared" si="10"/>
        <v>8</v>
      </c>
      <c r="O36" s="12">
        <f t="shared" si="10"/>
        <v>9</v>
      </c>
      <c r="P36" s="12">
        <f t="shared" si="9"/>
        <v>10</v>
      </c>
      <c r="Q36" s="12">
        <f t="shared" si="9"/>
        <v>11</v>
      </c>
      <c r="R36" s="12">
        <f t="shared" si="9"/>
        <v>12</v>
      </c>
      <c r="S36" s="12">
        <f t="shared" si="9"/>
        <v>13</v>
      </c>
    </row>
    <row r="37" spans="1:19" x14ac:dyDescent="0.25">
      <c r="B37" t="s">
        <v>14</v>
      </c>
      <c r="E37" s="22"/>
      <c r="F37" s="22"/>
      <c r="G37" s="22">
        <f t="shared" ref="F37:M37" si="11">G19</f>
        <v>85320</v>
      </c>
      <c r="H37" s="22">
        <f t="shared" si="11"/>
        <v>89950</v>
      </c>
      <c r="I37" s="22">
        <f t="shared" si="11"/>
        <v>110360</v>
      </c>
      <c r="J37" s="22">
        <f t="shared" si="11"/>
        <v>125843</v>
      </c>
      <c r="K37" s="22">
        <f t="shared" si="11"/>
        <v>143015</v>
      </c>
      <c r="L37" s="22">
        <f t="shared" si="11"/>
        <v>168088</v>
      </c>
      <c r="M37" s="22">
        <f t="shared" si="11"/>
        <v>198270</v>
      </c>
      <c r="N37" s="23">
        <f ca="1">M37*(1+N38)</f>
        <v>373365.56880804023</v>
      </c>
      <c r="O37" s="23">
        <f t="shared" ref="O37:S37" ca="1" si="12">N37*(1+O38)</f>
        <v>562054.86560387257</v>
      </c>
      <c r="P37" s="23">
        <f t="shared" ca="1" si="12"/>
        <v>674232.85693731683</v>
      </c>
      <c r="Q37" s="23">
        <f t="shared" ca="1" si="12"/>
        <v>775181.46443146013</v>
      </c>
      <c r="R37" s="23">
        <f t="shared" ca="1" si="12"/>
        <v>852592.50201736286</v>
      </c>
      <c r="S37" s="23">
        <f t="shared" ca="1" si="12"/>
        <v>895222.12711823103</v>
      </c>
    </row>
    <row r="38" spans="1:19" x14ac:dyDescent="0.25">
      <c r="B38" s="16" t="s">
        <v>22</v>
      </c>
      <c r="C38" s="16"/>
      <c r="E38" s="24"/>
      <c r="F38" s="18"/>
      <c r="G38" s="18"/>
      <c r="H38" s="18">
        <f t="shared" ref="G38:M38" si="13">H37/G37-1</f>
        <v>5.4266291608063844E-2</v>
      </c>
      <c r="I38" s="18">
        <f t="shared" si="13"/>
        <v>0.22690383546414683</v>
      </c>
      <c r="J38" s="18">
        <f t="shared" si="13"/>
        <v>0.14029539688292858</v>
      </c>
      <c r="K38" s="18">
        <f t="shared" si="13"/>
        <v>0.13645574247276371</v>
      </c>
      <c r="L38" s="18">
        <f t="shared" si="13"/>
        <v>0.17531727441177503</v>
      </c>
      <c r="M38" s="18">
        <f t="shared" si="13"/>
        <v>0.17956070629670173</v>
      </c>
      <c r="N38" s="18">
        <f ca="1">OFFSET(N38,$E$10,0)</f>
        <v>0.88311680439824602</v>
      </c>
      <c r="O38" s="18">
        <f t="shared" ref="O38:S38" ca="1" si="14">OFFSET(O38,$E$10,0)</f>
        <v>0.50537412273503945</v>
      </c>
      <c r="P38" s="18">
        <f t="shared" ca="1" si="14"/>
        <v>0.19958548212712302</v>
      </c>
      <c r="Q38" s="18">
        <f t="shared" ca="1" si="14"/>
        <v>0.14972365475141533</v>
      </c>
      <c r="R38" s="18">
        <f t="shared" ca="1" si="14"/>
        <v>9.9861827375707646E-2</v>
      </c>
      <c r="S38" s="18">
        <f t="shared" ca="1" si="14"/>
        <v>0.05</v>
      </c>
    </row>
    <row r="39" spans="1:19" x14ac:dyDescent="0.25">
      <c r="B39" t="s">
        <v>31</v>
      </c>
      <c r="N39" s="25">
        <f>N40</f>
        <v>-0.73876784183184552</v>
      </c>
      <c r="O39" s="25">
        <f>O40*$I$10</f>
        <v>0</v>
      </c>
      <c r="P39" s="25">
        <f>P40*$I$10</f>
        <v>0</v>
      </c>
      <c r="Q39" s="25">
        <f>P39-($P$39-$S$39)/($S$36-$P$36)</f>
        <v>0</v>
      </c>
      <c r="R39" s="25">
        <f>Q39-($P$39-$S$39)/($S$36-$P$36)</f>
        <v>0</v>
      </c>
      <c r="S39" s="25">
        <f>I11</f>
        <v>0</v>
      </c>
    </row>
    <row r="40" spans="1:19" x14ac:dyDescent="0.25">
      <c r="B40" t="s">
        <v>32</v>
      </c>
      <c r="N40" s="25">
        <f>N20</f>
        <v>-0.73876784183184552</v>
      </c>
      <c r="O40" s="25">
        <f t="shared" ref="O40:P40" si="15">O20</f>
        <v>0.50537412273503945</v>
      </c>
      <c r="P40" s="25">
        <f t="shared" si="15"/>
        <v>0.19958548212712302</v>
      </c>
      <c r="Q40" s="25">
        <f>P40-($P$40-$S$40)/($S$36-$P$36)</f>
        <v>0.1330569880847487</v>
      </c>
      <c r="R40" s="25">
        <f>Q40-($P$40-$S$40)/($S$36-$P$36)</f>
        <v>6.6528494042374361E-2</v>
      </c>
      <c r="S40" s="25">
        <f>M11</f>
        <v>0</v>
      </c>
    </row>
    <row r="41" spans="1:19" x14ac:dyDescent="0.25">
      <c r="B41" t="s">
        <v>33</v>
      </c>
      <c r="N41" s="25">
        <f>N40</f>
        <v>-0.73876784183184552</v>
      </c>
      <c r="O41" s="25">
        <f>O40*$Q$10</f>
        <v>0</v>
      </c>
      <c r="P41" s="25">
        <f>P40*$Q$10</f>
        <v>0</v>
      </c>
      <c r="Q41" s="25">
        <f>P41-($P$41-$S$41)/($S$36-$P$36)</f>
        <v>0</v>
      </c>
      <c r="R41" s="25">
        <f>Q41-($P$41-$S$41)/($S$36-$P$36)</f>
        <v>0</v>
      </c>
      <c r="S41" s="25">
        <f>Q11</f>
        <v>0</v>
      </c>
    </row>
    <row r="43" spans="1:19" x14ac:dyDescent="0.25">
      <c r="B43" t="s">
        <v>16</v>
      </c>
      <c r="E43" s="22"/>
      <c r="F43" s="22"/>
      <c r="G43" s="22">
        <f t="shared" ref="F43:M43" si="16">G22</f>
        <v>20182</v>
      </c>
      <c r="H43" s="22">
        <f t="shared" si="16"/>
        <v>22326</v>
      </c>
      <c r="I43" s="22">
        <f t="shared" si="16"/>
        <v>35058</v>
      </c>
      <c r="J43" s="22">
        <f t="shared" si="16"/>
        <v>42959</v>
      </c>
      <c r="K43" s="22">
        <f t="shared" si="16"/>
        <v>52959</v>
      </c>
      <c r="L43" s="22">
        <f t="shared" si="16"/>
        <v>69916</v>
      </c>
      <c r="M43" s="22">
        <f t="shared" si="16"/>
        <v>83383</v>
      </c>
      <c r="N43" s="23">
        <f ca="1">N44*N37</f>
        <v>203151.17989428277</v>
      </c>
      <c r="O43" s="23">
        <f t="shared" ref="O43:S43" ca="1" si="17">O44*O37</f>
        <v>327287.50931566412</v>
      </c>
      <c r="P43" s="23">
        <f t="shared" ca="1" si="17"/>
        <v>392154.77142797387</v>
      </c>
      <c r="Q43" s="23">
        <f t="shared" ca="1" si="17"/>
        <v>450869.61703437608</v>
      </c>
      <c r="R43" s="23">
        <f t="shared" ca="1" si="17"/>
        <v>495894.28089961439</v>
      </c>
      <c r="S43" s="23">
        <f t="shared" ca="1" si="17"/>
        <v>520688.99494459509</v>
      </c>
    </row>
    <row r="44" spans="1:19" x14ac:dyDescent="0.25">
      <c r="B44" s="16" t="s">
        <v>24</v>
      </c>
      <c r="C44" s="16"/>
      <c r="E44" s="18"/>
      <c r="F44" s="18"/>
      <c r="G44" s="18"/>
      <c r="H44" s="18">
        <f t="shared" ref="F44:M44" si="18">H43/H19</f>
        <v>0.24820455808782657</v>
      </c>
      <c r="I44" s="18">
        <f t="shared" si="18"/>
        <v>0.31766944545125048</v>
      </c>
      <c r="J44" s="18">
        <f t="shared" si="18"/>
        <v>0.3413698020549415</v>
      </c>
      <c r="K44" s="18">
        <f t="shared" si="18"/>
        <v>0.37030381428521486</v>
      </c>
      <c r="L44" s="18">
        <f t="shared" si="18"/>
        <v>0.41594878872971303</v>
      </c>
      <c r="M44" s="18">
        <f t="shared" si="18"/>
        <v>0.4205527815604983</v>
      </c>
      <c r="N44" s="18">
        <f ca="1">OFFSET(N44,$E$11,0)</f>
        <v>0.54410796513143289</v>
      </c>
      <c r="O44" s="18">
        <f t="shared" ref="O44:S44" ca="1" si="19">OFFSET(O44,$E$11,0)</f>
        <v>0.58230526830156681</v>
      </c>
      <c r="P44" s="18">
        <f t="shared" ca="1" si="19"/>
        <v>0.581631060238336</v>
      </c>
      <c r="Q44" s="18">
        <f t="shared" ca="1" si="19"/>
        <v>0.581631060238336</v>
      </c>
      <c r="R44" s="18">
        <f t="shared" ca="1" si="19"/>
        <v>0.581631060238336</v>
      </c>
      <c r="S44" s="18">
        <f t="shared" ca="1" si="19"/>
        <v>0.581631060238336</v>
      </c>
    </row>
    <row r="45" spans="1:19" x14ac:dyDescent="0.25">
      <c r="B45" t="s">
        <v>31</v>
      </c>
      <c r="C45" s="16"/>
      <c r="N45" s="25">
        <f>N46</f>
        <v>0.54410796513143289</v>
      </c>
      <c r="O45" s="25">
        <f>O46*$I$12</f>
        <v>0</v>
      </c>
      <c r="P45" s="25">
        <f t="shared" ref="P45:S45" si="20">P46*$I$12</f>
        <v>0</v>
      </c>
      <c r="Q45" s="25">
        <f t="shared" si="20"/>
        <v>0</v>
      </c>
      <c r="R45" s="25">
        <f t="shared" si="20"/>
        <v>0</v>
      </c>
      <c r="S45" s="25">
        <f t="shared" si="20"/>
        <v>0</v>
      </c>
    </row>
    <row r="46" spans="1:19" x14ac:dyDescent="0.25">
      <c r="B46" t="s">
        <v>32</v>
      </c>
      <c r="C46" s="16"/>
      <c r="N46" s="25">
        <f>N23</f>
        <v>0.54410796513143289</v>
      </c>
      <c r="O46" s="25">
        <f t="shared" ref="O46:P46" si="21">O23</f>
        <v>0.58230526830156681</v>
      </c>
      <c r="P46" s="25">
        <f t="shared" si="21"/>
        <v>0.581631060238336</v>
      </c>
      <c r="Q46" s="25">
        <f>P46</f>
        <v>0.581631060238336</v>
      </c>
      <c r="R46" s="25">
        <f t="shared" ref="R46:S46" si="22">Q46</f>
        <v>0.581631060238336</v>
      </c>
      <c r="S46" s="25">
        <f t="shared" si="22"/>
        <v>0.581631060238336</v>
      </c>
    </row>
    <row r="47" spans="1:19" x14ac:dyDescent="0.25">
      <c r="B47" t="s">
        <v>33</v>
      </c>
      <c r="C47" s="16"/>
      <c r="N47" s="25">
        <f>N46</f>
        <v>0.54410796513143289</v>
      </c>
      <c r="O47" s="25">
        <f>O46*$Q$12</f>
        <v>0</v>
      </c>
      <c r="P47" s="25">
        <f t="shared" ref="P47:S47" si="23">P46*$Q$12</f>
        <v>0</v>
      </c>
      <c r="Q47" s="25">
        <f t="shared" si="23"/>
        <v>0</v>
      </c>
      <c r="R47" s="25">
        <f t="shared" si="23"/>
        <v>0</v>
      </c>
      <c r="S47" s="25">
        <f t="shared" si="23"/>
        <v>0</v>
      </c>
    </row>
    <row r="49" spans="2:19" x14ac:dyDescent="0.25">
      <c r="B49" t="s">
        <v>21</v>
      </c>
      <c r="N49" s="23">
        <f ca="1">N50*N43</f>
        <v>7303.3744327833574</v>
      </c>
      <c r="O49" s="23">
        <f t="shared" ref="O49:S49" ca="1" si="24">O50*O43</f>
        <v>9412.9041394659835</v>
      </c>
      <c r="P49" s="23">
        <f t="shared" ca="1" si="24"/>
        <v>8458.8820980458459</v>
      </c>
      <c r="Q49" s="23">
        <f t="shared" ca="1" si="24"/>
        <v>6483.5845605843942</v>
      </c>
      <c r="R49" s="23">
        <f t="shared" ca="1" si="24"/>
        <v>3565.523581374639</v>
      </c>
      <c r="S49" s="23">
        <f t="shared" ca="1" si="24"/>
        <v>0</v>
      </c>
    </row>
    <row r="50" spans="2:19" x14ac:dyDescent="0.25">
      <c r="B50" s="16" t="s">
        <v>34</v>
      </c>
      <c r="C50" s="16"/>
      <c r="N50" s="25">
        <f>[1]Taxes!W45</f>
        <v>3.5950440635313753E-2</v>
      </c>
      <c r="O50" s="25">
        <f>N50+($S$50-$N$50)/($S$36-$N$36)</f>
        <v>2.8760352508251003E-2</v>
      </c>
      <c r="P50" s="25">
        <f t="shared" ref="P50:R50" si="25">O50+($S$50-$N$50)/($S$36-$N$36)</f>
        <v>2.1570264381188253E-2</v>
      </c>
      <c r="Q50" s="25">
        <f t="shared" si="25"/>
        <v>1.4380176254125503E-2</v>
      </c>
      <c r="R50" s="25">
        <f t="shared" si="25"/>
        <v>7.1900881270627525E-3</v>
      </c>
      <c r="S50" s="25">
        <f>M14</f>
        <v>0</v>
      </c>
    </row>
    <row r="52" spans="2:19" x14ac:dyDescent="0.25">
      <c r="B52" s="26" t="s">
        <v>35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>
        <f ca="1">N43-N49</f>
        <v>195847.8054614994</v>
      </c>
      <c r="O52" s="28">
        <f t="shared" ref="O52:S52" ca="1" si="26">O43-O49</f>
        <v>317874.60517619812</v>
      </c>
      <c r="P52" s="28">
        <f t="shared" ca="1" si="26"/>
        <v>383695.88932992803</v>
      </c>
      <c r="Q52" s="28">
        <f t="shared" ca="1" si="26"/>
        <v>444386.03247379168</v>
      </c>
      <c r="R52" s="28">
        <f t="shared" ca="1" si="26"/>
        <v>492328.75731823978</v>
      </c>
      <c r="S52" s="29">
        <f t="shared" ca="1" si="26"/>
        <v>520688.99494459509</v>
      </c>
    </row>
    <row r="54" spans="2:19" x14ac:dyDescent="0.25">
      <c r="B54" t="s">
        <v>26</v>
      </c>
      <c r="E54" s="22"/>
      <c r="F54" s="22"/>
      <c r="G54" s="22">
        <f>H26</f>
        <v>8778</v>
      </c>
      <c r="H54" s="22" t="e">
        <f>#REF!</f>
        <v>#REF!</v>
      </c>
      <c r="I54" s="22">
        <f t="shared" ref="F54:M54" si="27">I26</f>
        <v>10261</v>
      </c>
      <c r="J54" s="22">
        <f t="shared" si="27"/>
        <v>11682</v>
      </c>
      <c r="K54" s="22">
        <f t="shared" si="27"/>
        <v>12796</v>
      </c>
      <c r="L54" s="22">
        <f t="shared" si="27"/>
        <v>11686</v>
      </c>
      <c r="M54" s="22">
        <f t="shared" si="27"/>
        <v>14460</v>
      </c>
      <c r="N54" s="23">
        <f ca="1">N55*N$37</f>
        <v>28864.530084599286</v>
      </c>
      <c r="O54" s="23">
        <f t="shared" ref="O54:S54" ca="1" si="28">O55*O$37</f>
        <v>43451.916654262801</v>
      </c>
      <c r="P54" s="23">
        <f t="shared" ca="1" si="28"/>
        <v>52124.288389051413</v>
      </c>
      <c r="Q54" s="23">
        <f t="shared" ca="1" si="28"/>
        <v>59928.52734797696</v>
      </c>
      <c r="R54" s="23">
        <f t="shared" ca="1" si="28"/>
        <v>65913.099600881003</v>
      </c>
      <c r="S54" s="23">
        <f t="shared" ca="1" si="28"/>
        <v>69208.754580925059</v>
      </c>
    </row>
    <row r="55" spans="2:19" x14ac:dyDescent="0.25">
      <c r="B55" t="s">
        <v>24</v>
      </c>
      <c r="E55" s="18"/>
      <c r="F55" s="18"/>
      <c r="G55" s="18"/>
      <c r="H55" s="18" t="e">
        <f t="shared" ref="F55:M55" si="29">H54/H37</f>
        <v>#REF!</v>
      </c>
      <c r="I55" s="18">
        <f t="shared" si="29"/>
        <v>9.2977528089887643E-2</v>
      </c>
      <c r="J55" s="18">
        <f t="shared" si="29"/>
        <v>9.2829954784930432E-2</v>
      </c>
      <c r="K55" s="18">
        <f t="shared" si="29"/>
        <v>8.9473132188931229E-2</v>
      </c>
      <c r="L55" s="18">
        <f t="shared" si="29"/>
        <v>6.9523106943981727E-2</v>
      </c>
      <c r="M55" s="18">
        <f t="shared" si="29"/>
        <v>7.2930851868663937E-2</v>
      </c>
      <c r="N55" s="25">
        <f>AVERAGE(K55:M55)</f>
        <v>7.7309030333858955E-2</v>
      </c>
      <c r="O55" s="25">
        <f>N55</f>
        <v>7.7309030333858955E-2</v>
      </c>
      <c r="P55" s="25">
        <f t="shared" ref="P55:S55" si="30">O55</f>
        <v>7.7309030333858955E-2</v>
      </c>
      <c r="Q55" s="25">
        <f t="shared" si="30"/>
        <v>7.7309030333858955E-2</v>
      </c>
      <c r="R55" s="25">
        <f t="shared" si="30"/>
        <v>7.7309030333858955E-2</v>
      </c>
      <c r="S55" s="25">
        <f t="shared" si="30"/>
        <v>7.7309030333858955E-2</v>
      </c>
    </row>
    <row r="57" spans="2:19" x14ac:dyDescent="0.25">
      <c r="B57" t="s">
        <v>27</v>
      </c>
      <c r="E57" s="22"/>
      <c r="F57" s="22"/>
      <c r="G57" s="22">
        <f t="shared" ref="F57:M57" si="31">G29</f>
        <v>0</v>
      </c>
      <c r="H57" s="22">
        <f t="shared" si="31"/>
        <v>5378</v>
      </c>
      <c r="I57" s="22">
        <f t="shared" si="31"/>
        <v>5726</v>
      </c>
      <c r="J57" s="22">
        <f t="shared" si="31"/>
        <v>7017</v>
      </c>
      <c r="K57" s="22">
        <f t="shared" si="31"/>
        <v>7674</v>
      </c>
      <c r="L57" s="22">
        <f t="shared" si="31"/>
        <v>15564</v>
      </c>
      <c r="M57" s="22">
        <f t="shared" si="31"/>
        <v>14683</v>
      </c>
      <c r="N57" s="23">
        <f ca="1">N58*N$37</f>
        <v>27418.553965542851</v>
      </c>
      <c r="O57" s="23">
        <f t="shared" ref="O57:S57" ca="1" si="32">O58*O$37</f>
        <v>41275.181622542405</v>
      </c>
      <c r="P57" s="23">
        <f t="shared" ca="1" si="32"/>
        <v>49513.108646562097</v>
      </c>
      <c r="Q57" s="23">
        <f t="shared" ca="1" si="32"/>
        <v>56926.392231229285</v>
      </c>
      <c r="R57" s="23">
        <f t="shared" ca="1" si="32"/>
        <v>62611.165785346129</v>
      </c>
      <c r="S57" s="23">
        <f t="shared" ca="1" si="32"/>
        <v>65741.724074613434</v>
      </c>
    </row>
    <row r="58" spans="2:19" x14ac:dyDescent="0.25">
      <c r="B58" s="16" t="s">
        <v>24</v>
      </c>
      <c r="C58" s="16"/>
      <c r="E58" s="18"/>
      <c r="F58" s="18"/>
      <c r="G58" s="18"/>
      <c r="H58" s="18">
        <f t="shared" ref="F58:M58" si="33">H57/H$37</f>
        <v>5.9788771539744302E-2</v>
      </c>
      <c r="I58" s="18">
        <f t="shared" si="33"/>
        <v>5.1884740848133382E-2</v>
      </c>
      <c r="J58" s="18">
        <f t="shared" si="33"/>
        <v>5.5759954864394522E-2</v>
      </c>
      <c r="K58" s="18">
        <f t="shared" si="33"/>
        <v>5.3658707128622869E-2</v>
      </c>
      <c r="L58" s="18">
        <f t="shared" si="33"/>
        <v>9.2594355337680262E-2</v>
      </c>
      <c r="M58" s="18">
        <f t="shared" si="33"/>
        <v>7.4055580773692439E-2</v>
      </c>
      <c r="N58" s="25">
        <f>AVERAGE(K58:M58)</f>
        <v>7.3436214413331855E-2</v>
      </c>
      <c r="O58" s="25">
        <f>N58</f>
        <v>7.3436214413331855E-2</v>
      </c>
      <c r="P58" s="25">
        <f t="shared" ref="P58:S58" si="34">O58</f>
        <v>7.3436214413331855E-2</v>
      </c>
      <c r="Q58" s="25">
        <f t="shared" si="34"/>
        <v>7.3436214413331855E-2</v>
      </c>
      <c r="R58" s="25">
        <f t="shared" si="34"/>
        <v>7.3436214413331855E-2</v>
      </c>
      <c r="S58" s="25">
        <f t="shared" si="34"/>
        <v>7.3436214413331855E-2</v>
      </c>
    </row>
    <row r="60" spans="2:19" x14ac:dyDescent="0.25">
      <c r="B60" t="s">
        <v>28</v>
      </c>
      <c r="E60" s="30"/>
      <c r="F60" s="30"/>
      <c r="G60" s="30">
        <f t="shared" ref="F60:L60" si="35">G32</f>
        <v>0</v>
      </c>
      <c r="H60" s="30">
        <f t="shared" si="35"/>
        <v>139660</v>
      </c>
      <c r="I60" s="30">
        <f t="shared" si="35"/>
        <v>845.33333333333326</v>
      </c>
      <c r="J60" s="30">
        <f t="shared" si="35"/>
        <v>-715.83333333333337</v>
      </c>
      <c r="K60" s="30">
        <f t="shared" si="35"/>
        <v>364.16666666666663</v>
      </c>
      <c r="L60" s="30">
        <f t="shared" si="35"/>
        <v>2898.8333333333335</v>
      </c>
      <c r="M60" s="31" t="s">
        <v>23</v>
      </c>
      <c r="N60" s="23">
        <f ca="1">N61*N$37</f>
        <v>1755.312875800226</v>
      </c>
      <c r="O60" s="23">
        <f t="shared" ref="O60:S60" ca="1" si="36">O61*O$37</f>
        <v>2642.4025805332844</v>
      </c>
      <c r="P60" s="23">
        <f t="shared" ca="1" si="36"/>
        <v>3169.7877735429738</v>
      </c>
      <c r="Q60" s="23">
        <f t="shared" ca="1" si="36"/>
        <v>3644.3799837841802</v>
      </c>
      <c r="R60" s="23">
        <f t="shared" ca="1" si="36"/>
        <v>4008.3144286163201</v>
      </c>
      <c r="S60" s="23">
        <f t="shared" ca="1" si="36"/>
        <v>4208.7301500471358</v>
      </c>
    </row>
    <row r="61" spans="2:19" x14ac:dyDescent="0.25">
      <c r="B61" s="16" t="s">
        <v>24</v>
      </c>
      <c r="C61" s="16"/>
      <c r="E61" s="18"/>
      <c r="F61" s="18"/>
      <c r="G61" s="18"/>
      <c r="H61" s="18">
        <f t="shared" ref="F61:L61" si="37">H60/H$37</f>
        <v>1.5526403557531963</v>
      </c>
      <c r="I61" s="18">
        <f t="shared" si="37"/>
        <v>7.6597801135677174E-3</v>
      </c>
      <c r="J61" s="18">
        <f t="shared" si="37"/>
        <v>-5.6883047395034558E-3</v>
      </c>
      <c r="K61" s="18">
        <f t="shared" si="37"/>
        <v>2.5463529466606062E-3</v>
      </c>
      <c r="L61" s="18">
        <f t="shared" si="37"/>
        <v>1.7245926736788667E-2</v>
      </c>
      <c r="M61" s="31" t="s">
        <v>23</v>
      </c>
      <c r="N61" s="25">
        <f>AVERAGE(J61:L61)</f>
        <v>4.7013249813152727E-3</v>
      </c>
      <c r="O61" s="25">
        <f>N61</f>
        <v>4.7013249813152727E-3</v>
      </c>
      <c r="P61" s="25">
        <f t="shared" ref="P61:S61" si="38">O61</f>
        <v>4.7013249813152727E-3</v>
      </c>
      <c r="Q61" s="25">
        <f t="shared" si="38"/>
        <v>4.7013249813152727E-3</v>
      </c>
      <c r="R61" s="25">
        <f t="shared" si="38"/>
        <v>4.7013249813152727E-3</v>
      </c>
      <c r="S61" s="25">
        <f t="shared" si="38"/>
        <v>4.7013249813152727E-3</v>
      </c>
    </row>
    <row r="63" spans="2:19" x14ac:dyDescent="0.25">
      <c r="B63" s="32" t="s">
        <v>36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>
        <f ca="1">N52+N54-N57-N60</f>
        <v>195538.46870475562</v>
      </c>
      <c r="O63" s="34">
        <f t="shared" ref="O63:S63" ca="1" si="39">O52+O54-O57-O60</f>
        <v>317408.93762738525</v>
      </c>
      <c r="P63" s="34">
        <f t="shared" ca="1" si="39"/>
        <v>383137.28129887435</v>
      </c>
      <c r="Q63" s="34">
        <f t="shared" ca="1" si="39"/>
        <v>443743.78760675521</v>
      </c>
      <c r="R63" s="34">
        <f t="shared" ca="1" si="39"/>
        <v>491622.37670515833</v>
      </c>
      <c r="S63" s="35">
        <f t="shared" ca="1" si="39"/>
        <v>519947.29530085961</v>
      </c>
    </row>
    <row r="64" spans="2:19" x14ac:dyDescent="0.25">
      <c r="B64" s="36" t="s">
        <v>37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7">
        <f t="shared" ref="N64:S64" ca="1" si="40">N63/(1+wacc)^N67</f>
        <v>195538.46870475562</v>
      </c>
      <c r="O64" s="37">
        <f t="shared" ca="1" si="40"/>
        <v>317408.93762738525</v>
      </c>
      <c r="P64" s="37">
        <f t="shared" ca="1" si="40"/>
        <v>383137.28129887435</v>
      </c>
      <c r="Q64" s="37">
        <f t="shared" ca="1" si="40"/>
        <v>443743.78760675521</v>
      </c>
      <c r="R64" s="37">
        <f t="shared" ca="1" si="40"/>
        <v>491622.37670515833</v>
      </c>
      <c r="S64" s="38">
        <f t="shared" ca="1" si="40"/>
        <v>519947.29530085961</v>
      </c>
    </row>
    <row r="66" spans="2:19" x14ac:dyDescent="0.25">
      <c r="B66" t="s">
        <v>38</v>
      </c>
      <c r="N66" s="39">
        <f>YEARFRAC(D5,D6)</f>
        <v>0.27777777777777779</v>
      </c>
      <c r="O66" s="39">
        <f>N66+1</f>
        <v>1.2777777777777777</v>
      </c>
      <c r="P66" s="39">
        <f t="shared" ref="P66:S66" si="41">O66+1</f>
        <v>2.2777777777777777</v>
      </c>
      <c r="Q66" s="39">
        <f t="shared" si="41"/>
        <v>3.2777777777777777</v>
      </c>
      <c r="R66" s="39">
        <f t="shared" si="41"/>
        <v>4.2777777777777777</v>
      </c>
      <c r="S66" s="39">
        <f t="shared" si="41"/>
        <v>5.2777777777777777</v>
      </c>
    </row>
    <row r="67" spans="2:19" x14ac:dyDescent="0.25">
      <c r="B67" t="s">
        <v>39</v>
      </c>
      <c r="N67" s="39">
        <f>N66/2</f>
        <v>0.1388888888888889</v>
      </c>
      <c r="O67" s="39">
        <f>N66+0.5</f>
        <v>0.77777777777777779</v>
      </c>
      <c r="P67" s="39">
        <f>O67+1</f>
        <v>1.7777777777777777</v>
      </c>
      <c r="Q67" s="39">
        <f>P67+1</f>
        <v>2.7777777777777777</v>
      </c>
      <c r="R67" s="39">
        <f>Q67+1</f>
        <v>3.7777777777777777</v>
      </c>
      <c r="S67" s="39">
        <f>R67+1</f>
        <v>4.7777777777777777</v>
      </c>
    </row>
    <row r="69" spans="2:19" x14ac:dyDescent="0.25">
      <c r="B69" t="s">
        <v>40</v>
      </c>
      <c r="S69" s="23" t="e">
        <f ca="1">(S63*(1+tgr))/(wacc-tgr)</f>
        <v>#DIV/0!</v>
      </c>
    </row>
    <row r="70" spans="2:19" x14ac:dyDescent="0.25">
      <c r="B70" t="s">
        <v>41</v>
      </c>
      <c r="S70" s="23" t="e">
        <f ca="1">S69/(1+wacc)^S67</f>
        <v>#DIV/0!</v>
      </c>
    </row>
    <row r="71" spans="2:19" x14ac:dyDescent="0.25">
      <c r="B71" t="s">
        <v>42</v>
      </c>
      <c r="S71" s="30" t="e">
        <f ca="1">SUM(N64:S64,S70)</f>
        <v>#DIV/0!</v>
      </c>
    </row>
    <row r="72" spans="2:19" x14ac:dyDescent="0.25">
      <c r="B72" t="s">
        <v>43</v>
      </c>
      <c r="S72" s="23">
        <f>5783+10240</f>
        <v>16023</v>
      </c>
    </row>
    <row r="73" spans="2:19" x14ac:dyDescent="0.25">
      <c r="B73" t="s">
        <v>44</v>
      </c>
      <c r="S73" s="23">
        <f>[1]WACC!F15</f>
        <v>9705</v>
      </c>
    </row>
    <row r="74" spans="2:19" x14ac:dyDescent="0.25">
      <c r="B74" t="s">
        <v>45</v>
      </c>
      <c r="S74" s="30" t="e">
        <f ca="1">S71+S72-S73</f>
        <v>#DIV/0!</v>
      </c>
    </row>
    <row r="76" spans="2:19" x14ac:dyDescent="0.25">
      <c r="B76" t="s">
        <v>46</v>
      </c>
      <c r="S76" s="30">
        <v>2516</v>
      </c>
    </row>
    <row r="77" spans="2:19" x14ac:dyDescent="0.25">
      <c r="B77" t="s">
        <v>47</v>
      </c>
      <c r="S77" s="4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Historicals</vt:lpstr>
      <vt:lpstr>DCF Model</vt:lpstr>
      <vt:lpstr>tgr</vt:lpstr>
      <vt:lpstr>wacc</vt:lpstr>
      <vt:lpstr>y</vt:lpstr>
      <vt:lpstr>yurt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Jovany Valdez</dc:creator>
  <cp:lastModifiedBy>Valenzuela, Jovany Arturo</cp:lastModifiedBy>
  <dcterms:created xsi:type="dcterms:W3CDTF">2023-08-15T19:39:33Z</dcterms:created>
  <dcterms:modified xsi:type="dcterms:W3CDTF">2023-10-11T03:08:46Z</dcterms:modified>
</cp:coreProperties>
</file>