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B75E1B2E-5BFF-4A91-804E-51DF271CCBA5}" xr6:coauthVersionLast="47" xr6:coauthVersionMax="47" xr10:uidLastSave="{00000000-0000-0000-0000-000000000000}"/>
  <bookViews>
    <workbookView xWindow="-120" yWindow="-120" windowWidth="29040" windowHeight="15840" activeTab="1" xr2:uid="{A09DCB90-9DC2-45B7-9BC8-0512E2274036}"/>
  </bookViews>
  <sheets>
    <sheet name="Historicals" sheetId="1" r:id="rId1"/>
    <sheet name="DCF" sheetId="2" r:id="rId2"/>
    <sheet name="WACC" sheetId="3" r:id="rId3"/>
  </sheets>
  <calcPr calcId="191029" calcMode="autoNoTable"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65" i="2" l="1"/>
  <c r="G75" i="2" s="1"/>
  <c r="G68" i="2"/>
  <c r="G73" i="2" s="1"/>
  <c r="I41" i="2"/>
  <c r="N49" i="2" s="1"/>
  <c r="F75" i="2" l="1"/>
  <c r="F73" i="2"/>
  <c r="J35" i="2" l="1"/>
  <c r="I35" i="2"/>
  <c r="H35" i="2"/>
  <c r="H69" i="1"/>
  <c r="J70" i="1"/>
  <c r="I70" i="1"/>
  <c r="J69" i="1"/>
  <c r="I69" i="1"/>
  <c r="K54" i="1"/>
  <c r="L54" i="1" s="1"/>
  <c r="M54" i="1" s="1"/>
  <c r="N54" i="1" s="1"/>
  <c r="J54" i="1"/>
  <c r="I29" i="2" l="1"/>
  <c r="J29" i="2"/>
  <c r="K53" i="1"/>
  <c r="L53" i="1" s="1"/>
  <c r="M53" i="1" s="1"/>
  <c r="N53" i="1" s="1"/>
  <c r="J53" i="1"/>
  <c r="J58" i="1"/>
  <c r="J28" i="1"/>
  <c r="I28" i="1"/>
  <c r="H28" i="1"/>
  <c r="G28" i="1"/>
  <c r="N81" i="1"/>
  <c r="M81" i="1"/>
  <c r="L81" i="1"/>
  <c r="K81" i="1"/>
  <c r="J81" i="1"/>
  <c r="I81" i="1"/>
  <c r="H81" i="1"/>
  <c r="I80" i="1"/>
  <c r="H80" i="1"/>
  <c r="I111" i="1"/>
  <c r="H111" i="1"/>
  <c r="K110" i="1"/>
  <c r="L110" i="1" s="1"/>
  <c r="J110" i="1"/>
  <c r="I108" i="1"/>
  <c r="H108" i="1"/>
  <c r="K102" i="1"/>
  <c r="J104" i="1"/>
  <c r="J105" i="1"/>
  <c r="K46" i="1"/>
  <c r="L46" i="1" s="1"/>
  <c r="M46" i="1" s="1"/>
  <c r="N46" i="1" s="1"/>
  <c r="N105" i="1" s="1"/>
  <c r="J46" i="1"/>
  <c r="J103" i="1"/>
  <c r="J102" i="1"/>
  <c r="I105" i="1"/>
  <c r="H105" i="1"/>
  <c r="G98" i="1"/>
  <c r="G97" i="1"/>
  <c r="G99" i="1"/>
  <c r="J112" i="1"/>
  <c r="K108" i="1" s="1"/>
  <c r="I92" i="1"/>
  <c r="H92" i="1"/>
  <c r="G92" i="1"/>
  <c r="J108" i="1"/>
  <c r="I112" i="1"/>
  <c r="H112" i="1"/>
  <c r="G112" i="1"/>
  <c r="J109" i="1"/>
  <c r="I109" i="1"/>
  <c r="H109" i="1"/>
  <c r="G109" i="1"/>
  <c r="L105" i="1" l="1"/>
  <c r="M102" i="1" s="1"/>
  <c r="M105" i="1"/>
  <c r="N102" i="1" s="1"/>
  <c r="K105" i="1"/>
  <c r="L102" i="1" s="1"/>
  <c r="M110" i="1"/>
  <c r="N79" i="1"/>
  <c r="M79" i="1"/>
  <c r="L79" i="1"/>
  <c r="K79" i="1"/>
  <c r="J79" i="1"/>
  <c r="I79" i="1"/>
  <c r="H79" i="1"/>
  <c r="N78" i="1"/>
  <c r="M78" i="1"/>
  <c r="L78" i="1"/>
  <c r="K78" i="1"/>
  <c r="J78" i="1"/>
  <c r="I78" i="1"/>
  <c r="H78" i="1"/>
  <c r="N72" i="1"/>
  <c r="M72" i="1"/>
  <c r="L72" i="1"/>
  <c r="K72" i="1"/>
  <c r="J72" i="1"/>
  <c r="I72" i="1"/>
  <c r="H72" i="1"/>
  <c r="N71" i="1"/>
  <c r="M71" i="1"/>
  <c r="L71" i="1"/>
  <c r="K71" i="1"/>
  <c r="J71" i="1"/>
  <c r="I71" i="1"/>
  <c r="H71" i="1"/>
  <c r="H70" i="1"/>
  <c r="K44" i="1"/>
  <c r="J44" i="1"/>
  <c r="K50" i="1"/>
  <c r="L50" i="1" s="1"/>
  <c r="M50" i="1" s="1"/>
  <c r="N50" i="1" s="1"/>
  <c r="J50" i="1"/>
  <c r="J49" i="1"/>
  <c r="L44" i="1" l="1"/>
  <c r="N110" i="1"/>
  <c r="K41" i="2"/>
  <c r="L41" i="2" s="1"/>
  <c r="M41" i="2" s="1"/>
  <c r="N41" i="2" s="1"/>
  <c r="K40" i="2"/>
  <c r="L40" i="2" s="1"/>
  <c r="M40" i="2" s="1"/>
  <c r="N40" i="2" s="1"/>
  <c r="J43" i="1"/>
  <c r="M44" i="1" l="1"/>
  <c r="I48" i="2"/>
  <c r="B48" i="2"/>
  <c r="B47" i="2"/>
  <c r="K43" i="1"/>
  <c r="L43" i="1" s="1"/>
  <c r="M43" i="1" s="1"/>
  <c r="N43" i="1" s="1"/>
  <c r="K42" i="1"/>
  <c r="J42" i="1"/>
  <c r="N75" i="1"/>
  <c r="N76" i="1" s="1"/>
  <c r="M75" i="1"/>
  <c r="M76" i="1" s="1"/>
  <c r="L75" i="1"/>
  <c r="L76" i="1" s="1"/>
  <c r="K75" i="1"/>
  <c r="K76" i="1" s="1"/>
  <c r="J75" i="1"/>
  <c r="J76" i="1" s="1"/>
  <c r="N82" i="1"/>
  <c r="M82" i="1"/>
  <c r="L82" i="1"/>
  <c r="K82" i="1"/>
  <c r="J82" i="1"/>
  <c r="I82" i="1"/>
  <c r="H82" i="1"/>
  <c r="I73" i="1"/>
  <c r="J97" i="1"/>
  <c r="I67" i="1"/>
  <c r="H67" i="1"/>
  <c r="H73" i="1" s="1"/>
  <c r="I99" i="1"/>
  <c r="H99" i="1"/>
  <c r="I97" i="1"/>
  <c r="I98" i="1" s="1"/>
  <c r="I75" i="1"/>
  <c r="H75" i="1"/>
  <c r="N44" i="1" l="1"/>
  <c r="L42" i="1"/>
  <c r="L69" i="1" s="1"/>
  <c r="K69" i="1"/>
  <c r="I84" i="1"/>
  <c r="H97" i="1"/>
  <c r="H98" i="1" s="1"/>
  <c r="H84" i="1"/>
  <c r="I94" i="1"/>
  <c r="J94" i="1" s="1"/>
  <c r="H94" i="1"/>
  <c r="J66" i="1"/>
  <c r="I66" i="1"/>
  <c r="H66" i="1"/>
  <c r="G47" i="1"/>
  <c r="N30" i="2"/>
  <c r="M30" i="2"/>
  <c r="L30" i="2"/>
  <c r="K30" i="2"/>
  <c r="J30" i="2"/>
  <c r="I30" i="2"/>
  <c r="H30" i="2"/>
  <c r="M42" i="1" l="1"/>
  <c r="M69" i="1"/>
  <c r="K94" i="1"/>
  <c r="J91" i="1"/>
  <c r="J99" i="1" s="1"/>
  <c r="I76" i="1"/>
  <c r="H76" i="1"/>
  <c r="N24" i="2"/>
  <c r="M24" i="2"/>
  <c r="L24" i="2"/>
  <c r="K24" i="2"/>
  <c r="J24" i="2"/>
  <c r="N42" i="1" l="1"/>
  <c r="N69" i="1"/>
  <c r="J25" i="1"/>
  <c r="J67" i="1"/>
  <c r="L94" i="1"/>
  <c r="K91" i="1"/>
  <c r="I28" i="2"/>
  <c r="H28" i="2"/>
  <c r="G28" i="2"/>
  <c r="M94" i="1" l="1"/>
  <c r="L91" i="1"/>
  <c r="E10" i="3"/>
  <c r="E15" i="3" s="1"/>
  <c r="I14" i="2"/>
  <c r="H14" i="2"/>
  <c r="G14" i="2"/>
  <c r="K12" i="2"/>
  <c r="L12" i="2" s="1"/>
  <c r="M12" i="2" s="1"/>
  <c r="N12" i="2" s="1"/>
  <c r="H13" i="2"/>
  <c r="I13" i="2" s="1"/>
  <c r="J13" i="2" s="1"/>
  <c r="K13" i="2" s="1"/>
  <c r="L13" i="2" s="1"/>
  <c r="M13" i="2" s="1"/>
  <c r="N13" i="2" s="1"/>
  <c r="G8" i="2"/>
  <c r="G9" i="2" s="1"/>
  <c r="I31" i="2" l="1"/>
  <c r="I36" i="2"/>
  <c r="H31" i="2"/>
  <c r="H36" i="2"/>
  <c r="N94" i="1"/>
  <c r="N91" i="1" s="1"/>
  <c r="M91" i="1"/>
  <c r="H15" i="2"/>
  <c r="I15" i="2"/>
  <c r="L5" i="2"/>
  <c r="H87" i="1"/>
  <c r="I87" i="1" s="1"/>
  <c r="J87" i="1" s="1"/>
  <c r="K87" i="1" s="1"/>
  <c r="L87" i="1" s="1"/>
  <c r="M87" i="1" s="1"/>
  <c r="N87" i="1" s="1"/>
  <c r="I65" i="1"/>
  <c r="J65" i="1" s="1"/>
  <c r="K65" i="1" s="1"/>
  <c r="L65" i="1" s="1"/>
  <c r="M65" i="1" s="1"/>
  <c r="N65" i="1" s="1"/>
  <c r="I32" i="1" l="1"/>
  <c r="H32" i="1"/>
  <c r="G32" i="1"/>
  <c r="J12" i="1"/>
  <c r="L7" i="2"/>
  <c r="L6" i="2" a="1"/>
  <c r="L6" i="2" s="1"/>
  <c r="K12" i="1" l="1"/>
  <c r="K49" i="1" s="1"/>
  <c r="K35" i="2" l="1"/>
  <c r="K70" i="1"/>
  <c r="L12" i="1"/>
  <c r="L49" i="1" s="1"/>
  <c r="J60" i="1"/>
  <c r="I60" i="1"/>
  <c r="H60" i="1"/>
  <c r="G60" i="1"/>
  <c r="K55" i="1"/>
  <c r="J55" i="1"/>
  <c r="I55" i="1"/>
  <c r="H55" i="1"/>
  <c r="G55" i="1"/>
  <c r="I47" i="1"/>
  <c r="H47" i="1"/>
  <c r="H40" i="1"/>
  <c r="I40" i="1" s="1"/>
  <c r="J40" i="1" s="1"/>
  <c r="K40" i="1" s="1"/>
  <c r="L40" i="1" s="1"/>
  <c r="M40" i="1" s="1"/>
  <c r="N40" i="1" s="1"/>
  <c r="L35" i="2" l="1"/>
  <c r="L70" i="1"/>
  <c r="L55" i="1"/>
  <c r="L29" i="2"/>
  <c r="K29" i="2"/>
  <c r="M12" i="1"/>
  <c r="M49" i="1" s="1"/>
  <c r="H62" i="1"/>
  <c r="I62" i="1"/>
  <c r="G62" i="1"/>
  <c r="I13" i="1"/>
  <c r="H13" i="1"/>
  <c r="G13" i="1"/>
  <c r="I35" i="1"/>
  <c r="H35" i="1"/>
  <c r="G35" i="1"/>
  <c r="I34" i="1"/>
  <c r="H34" i="1"/>
  <c r="G34" i="1"/>
  <c r="J11" i="1"/>
  <c r="M35" i="2" l="1"/>
  <c r="M70" i="1"/>
  <c r="M55" i="1"/>
  <c r="M29" i="2"/>
  <c r="J14" i="2"/>
  <c r="J32" i="1"/>
  <c r="N12" i="1"/>
  <c r="N49" i="1" s="1"/>
  <c r="G16" i="1"/>
  <c r="G21" i="1" s="1"/>
  <c r="H16" i="1"/>
  <c r="I16" i="1"/>
  <c r="K11" i="1"/>
  <c r="K97" i="1" s="1"/>
  <c r="J14" i="1"/>
  <c r="J15" i="1"/>
  <c r="J13" i="1"/>
  <c r="N70" i="1" l="1"/>
  <c r="N35" i="2"/>
  <c r="N29" i="2" s="1"/>
  <c r="N55" i="1"/>
  <c r="K103" i="1"/>
  <c r="K104" i="1" s="1"/>
  <c r="K99" i="1"/>
  <c r="J31" i="2"/>
  <c r="J36" i="2"/>
  <c r="G23" i="1"/>
  <c r="G37" i="1"/>
  <c r="G24" i="2" s="1"/>
  <c r="K14" i="2"/>
  <c r="I20" i="2"/>
  <c r="I36" i="1"/>
  <c r="G20" i="2"/>
  <c r="G36" i="1"/>
  <c r="G26" i="1"/>
  <c r="J28" i="2"/>
  <c r="H20" i="2"/>
  <c r="H36" i="1"/>
  <c r="J15" i="2"/>
  <c r="K13" i="1"/>
  <c r="K32" i="1"/>
  <c r="L11" i="1"/>
  <c r="L97" i="1" s="1"/>
  <c r="K14" i="1"/>
  <c r="K15" i="1"/>
  <c r="I21" i="1"/>
  <c r="I26" i="1"/>
  <c r="J16" i="1"/>
  <c r="J26" i="1" s="1"/>
  <c r="J17" i="2" s="1"/>
  <c r="J18" i="2" s="1"/>
  <c r="H21" i="1"/>
  <c r="H26" i="1"/>
  <c r="I31" i="1"/>
  <c r="H31" i="1"/>
  <c r="K67" i="1" l="1"/>
  <c r="K25" i="1"/>
  <c r="L103" i="1"/>
  <c r="L104" i="1" s="1"/>
  <c r="L99" i="1"/>
  <c r="K31" i="2"/>
  <c r="K36" i="2"/>
  <c r="K15" i="2"/>
  <c r="I33" i="1"/>
  <c r="I17" i="2"/>
  <c r="I18" i="2" s="1"/>
  <c r="I21" i="2"/>
  <c r="H21" i="2"/>
  <c r="K28" i="2"/>
  <c r="G21" i="2"/>
  <c r="G23" i="2"/>
  <c r="G26" i="2" s="1"/>
  <c r="I23" i="1"/>
  <c r="I37" i="1"/>
  <c r="I24" i="2" s="1"/>
  <c r="I23" i="2" s="1"/>
  <c r="I26" i="2" s="1"/>
  <c r="I33" i="2" s="1"/>
  <c r="J36" i="1"/>
  <c r="J20" i="2"/>
  <c r="H23" i="1"/>
  <c r="H37" i="1"/>
  <c r="H24" i="2" s="1"/>
  <c r="H23" i="2" s="1"/>
  <c r="H26" i="2" s="1"/>
  <c r="H33" i="2" s="1"/>
  <c r="L14" i="2"/>
  <c r="L36" i="2" s="1"/>
  <c r="H33" i="1"/>
  <c r="H17" i="2"/>
  <c r="H18" i="2" s="1"/>
  <c r="G33" i="1"/>
  <c r="G17" i="2"/>
  <c r="G18" i="2" s="1"/>
  <c r="L32" i="1"/>
  <c r="J21" i="1"/>
  <c r="K16" i="1"/>
  <c r="K26" i="1" s="1"/>
  <c r="M11" i="1"/>
  <c r="M97" i="1" s="1"/>
  <c r="L14" i="1"/>
  <c r="L15" i="1"/>
  <c r="L13" i="1"/>
  <c r="H10" i="1"/>
  <c r="I10" i="1" s="1"/>
  <c r="L6" i="1" a="1"/>
  <c r="L6" i="1" s="1"/>
  <c r="L7" i="1"/>
  <c r="M103" i="1" l="1"/>
  <c r="M104" i="1" s="1"/>
  <c r="M99" i="1"/>
  <c r="K17" i="2"/>
  <c r="K18" i="2" s="1"/>
  <c r="K28" i="1"/>
  <c r="L67" i="1"/>
  <c r="L25" i="1"/>
  <c r="L28" i="2" s="1"/>
  <c r="L15" i="2"/>
  <c r="L31" i="2"/>
  <c r="J21" i="2"/>
  <c r="J23" i="2"/>
  <c r="J26" i="2" s="1"/>
  <c r="M14" i="2"/>
  <c r="K36" i="1"/>
  <c r="K20" i="2"/>
  <c r="J22" i="1"/>
  <c r="J23" i="1" s="1"/>
  <c r="K21" i="1"/>
  <c r="M32" i="1"/>
  <c r="L16" i="1"/>
  <c r="N11" i="1"/>
  <c r="N97" i="1" s="1"/>
  <c r="M14" i="1"/>
  <c r="M15" i="1"/>
  <c r="M13" i="1"/>
  <c r="J10" i="1"/>
  <c r="K10" i="1" s="1"/>
  <c r="L10" i="1" s="1"/>
  <c r="M10" i="1" s="1"/>
  <c r="N10" i="1" s="1"/>
  <c r="N103" i="1" l="1"/>
  <c r="N104" i="1" s="1"/>
  <c r="N99" i="1"/>
  <c r="M25" i="1"/>
  <c r="M28" i="2" s="1"/>
  <c r="M67" i="1"/>
  <c r="L26" i="1"/>
  <c r="M31" i="2"/>
  <c r="M36" i="2"/>
  <c r="K23" i="2"/>
  <c r="K26" i="2" s="1"/>
  <c r="K21" i="2"/>
  <c r="L36" i="1"/>
  <c r="L20" i="2"/>
  <c r="K22" i="1"/>
  <c r="K23" i="1" s="1"/>
  <c r="M15" i="2"/>
  <c r="N14" i="2"/>
  <c r="N36" i="2" s="1"/>
  <c r="N32" i="1"/>
  <c r="N13" i="1"/>
  <c r="N15" i="1"/>
  <c r="N14" i="1"/>
  <c r="M16" i="1"/>
  <c r="L21" i="1"/>
  <c r="L17" i="2" l="1"/>
  <c r="L18" i="2" s="1"/>
  <c r="L28" i="1"/>
  <c r="N25" i="1"/>
  <c r="N67" i="1"/>
  <c r="K109" i="1"/>
  <c r="K112" i="1" s="1"/>
  <c r="K66" i="1"/>
  <c r="M26" i="1"/>
  <c r="N15" i="2"/>
  <c r="N31" i="2"/>
  <c r="L23" i="2"/>
  <c r="L26" i="2" s="1"/>
  <c r="L21" i="2"/>
  <c r="N28" i="2"/>
  <c r="L22" i="1"/>
  <c r="L23" i="1" s="1"/>
  <c r="M36" i="1"/>
  <c r="M20" i="2"/>
  <c r="M21" i="1"/>
  <c r="N16" i="1"/>
  <c r="L109" i="1" l="1"/>
  <c r="L66" i="1"/>
  <c r="M17" i="2"/>
  <c r="M18" i="2" s="1"/>
  <c r="M28" i="1"/>
  <c r="L108" i="1"/>
  <c r="L112" i="1" s="1"/>
  <c r="K58" i="1"/>
  <c r="K60" i="1" s="1"/>
  <c r="N26" i="1"/>
  <c r="N36" i="1"/>
  <c r="N20" i="2"/>
  <c r="M22" i="1"/>
  <c r="M23" i="1" s="1"/>
  <c r="M23" i="2"/>
  <c r="M26" i="2" s="1"/>
  <c r="M21" i="2"/>
  <c r="N21" i="1"/>
  <c r="M109" i="1" l="1"/>
  <c r="M66" i="1"/>
  <c r="N17" i="2"/>
  <c r="N28" i="1"/>
  <c r="L58" i="1"/>
  <c r="L60" i="1" s="1"/>
  <c r="M108" i="1"/>
  <c r="M112" i="1" s="1"/>
  <c r="N22" i="1"/>
  <c r="N23" i="1" s="1"/>
  <c r="N21" i="2"/>
  <c r="N23" i="2"/>
  <c r="N26" i="2" s="1"/>
  <c r="G30" i="2"/>
  <c r="G33" i="2" s="1"/>
  <c r="J89" i="1"/>
  <c r="J92" i="1" s="1"/>
  <c r="N108" i="1" l="1"/>
  <c r="M58" i="1"/>
  <c r="M60" i="1" s="1"/>
  <c r="N109" i="1"/>
  <c r="N66" i="1"/>
  <c r="N46" i="2"/>
  <c r="N48" i="2" s="1"/>
  <c r="N18" i="2"/>
  <c r="K89" i="1"/>
  <c r="K92" i="1" s="1"/>
  <c r="J45" i="1"/>
  <c r="G31" i="2"/>
  <c r="G94" i="1"/>
  <c r="N112" i="1" l="1"/>
  <c r="N58" i="1" s="1"/>
  <c r="N60" i="1" s="1"/>
  <c r="L89" i="1"/>
  <c r="L92" i="1" s="1"/>
  <c r="K45" i="1"/>
  <c r="M89" i="1" l="1"/>
  <c r="M92" i="1" s="1"/>
  <c r="L45" i="1"/>
  <c r="N89" i="1" l="1"/>
  <c r="N92" i="1" s="1"/>
  <c r="N45" i="1" s="1"/>
  <c r="M45" i="1"/>
  <c r="J73" i="1"/>
  <c r="J84" i="1" s="1"/>
  <c r="J41" i="1" s="1"/>
  <c r="J47" i="1" l="1"/>
  <c r="J62" i="1" s="1"/>
  <c r="J33" i="2"/>
  <c r="J42" i="2" s="1"/>
  <c r="J43" i="2" s="1"/>
  <c r="K73" i="1"/>
  <c r="L73" i="1"/>
  <c r="L84" i="1" s="1"/>
  <c r="M73" i="1"/>
  <c r="M84" i="1" s="1"/>
  <c r="N73" i="1"/>
  <c r="N84" i="1" s="1"/>
  <c r="K84" i="1"/>
  <c r="K41" i="1" s="1"/>
  <c r="K33" i="2" l="1"/>
  <c r="K42" i="2" s="1"/>
  <c r="K43" i="2" s="1"/>
  <c r="K47" i="1"/>
  <c r="K62" i="1" s="1"/>
  <c r="L41" i="1"/>
  <c r="M41" i="1" s="1"/>
  <c r="M33" i="2" l="1"/>
  <c r="M42" i="2" s="1"/>
  <c r="M43" i="2" s="1"/>
  <c r="N41" i="1"/>
  <c r="M47" i="1"/>
  <c r="M62" i="1" s="1"/>
  <c r="L47" i="1"/>
  <c r="L62" i="1" s="1"/>
  <c r="L33" i="2"/>
  <c r="L42" i="2" s="1"/>
  <c r="L43" i="2" s="1"/>
  <c r="N47" i="1" l="1"/>
  <c r="N62" i="1" s="1"/>
  <c r="N33" i="2"/>
  <c r="N42" i="2" s="1"/>
  <c r="N43" i="2" s="1"/>
  <c r="N50" i="2" s="1"/>
  <c r="N51" i="2" l="1"/>
  <c r="N55" i="2" s="1"/>
  <c r="G47" i="2"/>
  <c r="G48" i="2" s="1"/>
  <c r="G49" i="2" s="1"/>
  <c r="G50" i="2"/>
  <c r="G72" i="2" l="1"/>
  <c r="N53" i="2"/>
  <c r="N54" i="2"/>
  <c r="G51" i="2"/>
  <c r="G81" i="2" l="1"/>
  <c r="G79" i="2"/>
  <c r="G80" i="2"/>
  <c r="G74" i="2"/>
  <c r="G76" i="2" s="1"/>
  <c r="G55" i="2"/>
  <c r="F72" i="2"/>
  <c r="G53" i="2"/>
  <c r="G54" i="2"/>
  <c r="F81" i="2" l="1"/>
  <c r="F79" i="2"/>
  <c r="F74" i="2"/>
  <c r="F76" i="2" s="1"/>
  <c r="F8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Jovany Valdez</author>
    <author>Matan Feldman</author>
  </authors>
  <commentList>
    <comment ref="B53" authorId="0" shapeId="0" xr:uid="{8D3DE22A-4E18-425D-BA83-4C8144EF87DA}">
      <text>
        <r>
          <rPr>
            <b/>
            <sz val="9"/>
            <color indexed="81"/>
            <rFont val="Tahoma"/>
            <family val="2"/>
          </rPr>
          <t>Jovany Valdez:</t>
        </r>
        <r>
          <rPr>
            <sz val="9"/>
            <color indexed="81"/>
            <rFont val="Tahoma"/>
            <family val="2"/>
          </rPr>
          <t xml:space="preserve">
FIX LONG TERM DEBT
</t>
        </r>
      </text>
    </comment>
    <comment ref="B110" authorId="1" shapeId="0" xr:uid="{1180BAF5-1E13-4E63-957F-49F13CDF6815}">
      <text>
        <r>
          <rPr>
            <sz val="9"/>
            <color indexed="81"/>
            <rFont val="Tahoma"/>
            <family val="2"/>
          </rPr>
          <t>Statement of shareholders equity schedule, p.41 Apple 2018 10K</t>
        </r>
      </text>
    </comment>
    <comment ref="B111" authorId="1" shapeId="0" xr:uid="{7B2F7DE4-F4C9-4C8A-B8E0-9CDF8A0BEBDE}">
      <text>
        <r>
          <rPr>
            <sz val="9"/>
            <color indexed="81"/>
            <rFont val="Tahoma"/>
            <family val="2"/>
          </rPr>
          <t>Statement of shareholders equity schedule, p.41 Apple 2018 10K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B61" authorId="0" shapeId="0" xr:uid="{0FEFF9C5-0A1A-4179-9D50-68403BC006FA}">
      <text>
        <r>
          <rPr>
            <b/>
            <sz val="9"/>
            <color indexed="81"/>
            <rFont val="Tahoma"/>
            <family val="2"/>
          </rPr>
          <t>Matan Feldman:</t>
        </r>
        <r>
          <rPr>
            <sz val="9"/>
            <color indexed="81"/>
            <rFont val="Tahoma"/>
            <family val="2"/>
          </rPr>
          <t xml:space="preserve">
Include all debt tranches</t>
        </r>
      </text>
    </comment>
    <comment ref="N61" authorId="0" shapeId="0" xr:uid="{EDEEF09C-E22E-4DF2-B01D-B9100CA83496}">
      <text>
        <r>
          <rPr>
            <b/>
            <sz val="9"/>
            <color indexed="81"/>
            <rFont val="Tahoma"/>
            <family val="2"/>
          </rPr>
          <t>Matan Feldman:</t>
        </r>
        <r>
          <rPr>
            <sz val="9"/>
            <color indexed="81"/>
            <rFont val="Tahoma"/>
            <family val="2"/>
          </rPr>
          <t xml:space="preserve">
Source: Q1 2020 10Q p.19 </t>
        </r>
      </text>
    </comment>
    <comment ref="B66" authorId="0" shapeId="0" xr:uid="{74DB4AC8-536D-4372-9692-B121F51CC3A5}">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<sst xmlns="http://schemas.openxmlformats.org/spreadsheetml/2006/main" count="205" uniqueCount="152">
  <si>
    <t>in millions of $</t>
  </si>
  <si>
    <t>Most recent fiscal year end</t>
  </si>
  <si>
    <t>End of first fiscal year</t>
  </si>
  <si>
    <t>Most recent quarter end date</t>
  </si>
  <si>
    <t xml:space="preserve">Valuation date </t>
  </si>
  <si>
    <t>Portion of year 1 cash flows in forecast</t>
  </si>
  <si>
    <t>Share price date</t>
  </si>
  <si>
    <t>Ticker</t>
  </si>
  <si>
    <t>TSM</t>
  </si>
  <si>
    <t>Share price</t>
  </si>
  <si>
    <t>Income Statement</t>
  </si>
  <si>
    <t>Revenue</t>
  </si>
  <si>
    <t>EBIT</t>
  </si>
  <si>
    <t>COGS</t>
  </si>
  <si>
    <t>EBITDA</t>
  </si>
  <si>
    <t>Gross Profit</t>
  </si>
  <si>
    <t>R&amp;D</t>
  </si>
  <si>
    <t>SG&amp;A</t>
  </si>
  <si>
    <t>EBT</t>
  </si>
  <si>
    <t>Tax Expense</t>
  </si>
  <si>
    <t>Earnings</t>
  </si>
  <si>
    <t>Depreciation &amp; amortization</t>
  </si>
  <si>
    <t>Stock based compensation</t>
  </si>
  <si>
    <t>Adjusted EBITDA</t>
  </si>
  <si>
    <t>Margins</t>
  </si>
  <si>
    <t>Tax Rate</t>
  </si>
  <si>
    <t>x</t>
  </si>
  <si>
    <t>Balance Sheet</t>
  </si>
  <si>
    <t>Foreign exchange</t>
  </si>
  <si>
    <t>Interest income</t>
  </si>
  <si>
    <t>Interest expense</t>
  </si>
  <si>
    <t>Other income</t>
  </si>
  <si>
    <t>Cash and cash equivalents</t>
  </si>
  <si>
    <t>Account Receivebles</t>
  </si>
  <si>
    <t>Inventories</t>
  </si>
  <si>
    <t>Other current assets</t>
  </si>
  <si>
    <t>Property, plant, and equipment</t>
  </si>
  <si>
    <t>Other non-current assets</t>
  </si>
  <si>
    <t>Total assets</t>
  </si>
  <si>
    <t>Accounts payable</t>
  </si>
  <si>
    <t>Other current liabilities</t>
  </si>
  <si>
    <t>Deferred revenue (current and non current)</t>
  </si>
  <si>
    <t>Commercial paper / revolver</t>
  </si>
  <si>
    <t>Long term debt (includes current portion)</t>
  </si>
  <si>
    <t>Other non current liabilities</t>
  </si>
  <si>
    <t>Total liabilities</t>
  </si>
  <si>
    <t>Common stock</t>
  </si>
  <si>
    <t xml:space="preserve">Retained earnings </t>
  </si>
  <si>
    <t>Other comprehensive income</t>
  </si>
  <si>
    <t>Total equity</t>
  </si>
  <si>
    <t>Balance Check</t>
  </si>
  <si>
    <t>Revenue Build</t>
  </si>
  <si>
    <t xml:space="preserve">EBIT </t>
  </si>
  <si>
    <t>Cash Flow Statement</t>
  </si>
  <si>
    <t>Schedules</t>
  </si>
  <si>
    <r>
      <t xml:space="preserve">D&amp;A </t>
    </r>
    <r>
      <rPr>
        <u/>
        <sz val="11"/>
        <color theme="1"/>
        <rFont val="Calibri"/>
        <family val="2"/>
        <scheme val="minor"/>
      </rPr>
      <t>not</t>
    </r>
    <r>
      <rPr>
        <sz val="11"/>
        <color theme="1"/>
        <rFont val="Calibri"/>
        <family val="2"/>
        <scheme val="minor"/>
      </rPr>
      <t xml:space="preserve"> related to PP&amp;E</t>
    </r>
  </si>
  <si>
    <t>as % of revenue</t>
  </si>
  <si>
    <t xml:space="preserve">Depreciation &amp; Amortization - Total </t>
  </si>
  <si>
    <t>WACC</t>
  </si>
  <si>
    <t>Cost of equity</t>
  </si>
  <si>
    <t>Weight of equity</t>
  </si>
  <si>
    <t>Cost of debt</t>
  </si>
  <si>
    <t>Weight of debt</t>
  </si>
  <si>
    <t>Discount Rate</t>
  </si>
  <si>
    <t>% growth</t>
  </si>
  <si>
    <t>% margin</t>
  </si>
  <si>
    <t>Tax on EBIT</t>
  </si>
  <si>
    <t>Tax rate</t>
  </si>
  <si>
    <t>NOPAT</t>
  </si>
  <si>
    <t>Risk free rate</t>
  </si>
  <si>
    <t>Beta</t>
  </si>
  <si>
    <t>Equity risk premium</t>
  </si>
  <si>
    <t>Country risk premium</t>
  </si>
  <si>
    <t>Financing</t>
  </si>
  <si>
    <t>Total Equity</t>
  </si>
  <si>
    <t>Total Debt</t>
  </si>
  <si>
    <t>Total Debt and Equity</t>
  </si>
  <si>
    <t>Weight of Debt</t>
  </si>
  <si>
    <t>Weight of Equity</t>
  </si>
  <si>
    <t>Changes in net working capital</t>
  </si>
  <si>
    <t>Capital expenditures</t>
  </si>
  <si>
    <t>Unlevered free cash flows</t>
  </si>
  <si>
    <t>Net income</t>
  </si>
  <si>
    <t>Depreciation and amortization</t>
  </si>
  <si>
    <t>Decreases / (Increases) in working capital assets</t>
  </si>
  <si>
    <t>Increases / (Decreases) in working capital liabilities</t>
  </si>
  <si>
    <t>Other non current assets</t>
  </si>
  <si>
    <t>Cash from operating activities</t>
  </si>
  <si>
    <t>Cash from investing activities</t>
  </si>
  <si>
    <t>Long term debt</t>
  </si>
  <si>
    <t>Revolver</t>
  </si>
  <si>
    <t>Share repurchases</t>
  </si>
  <si>
    <t>Common dividends</t>
  </si>
  <si>
    <t>Cash from financing activities</t>
  </si>
  <si>
    <t>Net change in cash during period</t>
  </si>
  <si>
    <t>Beginning of period</t>
  </si>
  <si>
    <t>Plus: Capital expenditures</t>
  </si>
  <si>
    <t>Less: Depreciation</t>
  </si>
  <si>
    <t>End of period</t>
  </si>
  <si>
    <t>D&amp;A related to PP&amp;E as a % of capex</t>
  </si>
  <si>
    <t>Less: Amortization of intangible assets</t>
  </si>
  <si>
    <t xml:space="preserve">Plus: Additions </t>
  </si>
  <si>
    <t>Plus: Net income</t>
  </si>
  <si>
    <t>Less: Dividends</t>
  </si>
  <si>
    <t>Less: Repurchases</t>
  </si>
  <si>
    <t>Depreciation &amp; Amortization</t>
  </si>
  <si>
    <t>Property Plant &amp; Equipment</t>
  </si>
  <si>
    <t>Retained Earnings</t>
  </si>
  <si>
    <t>Step</t>
  </si>
  <si>
    <t>Net working capital</t>
  </si>
  <si>
    <t>Unlevered free cash flows (UFCF) stub adjusted</t>
  </si>
  <si>
    <t>Present value of of unlevered free cash flows</t>
  </si>
  <si>
    <t>Total enterprise value (TEV)</t>
  </si>
  <si>
    <t>Present value of stage 1 cash flows</t>
  </si>
  <si>
    <t>Present value of terminal value</t>
  </si>
  <si>
    <t>Long term growth rate</t>
  </si>
  <si>
    <t>Terminal value - growth in perpetuity approach</t>
  </si>
  <si>
    <t>Valuation</t>
  </si>
  <si>
    <t>Terminal value - EBITDA multiple approach</t>
  </si>
  <si>
    <t>Terminal year EBITDA</t>
  </si>
  <si>
    <t>EBITDA multiple</t>
  </si>
  <si>
    <t>Enterprise value (stage 1 + 2)</t>
  </si>
  <si>
    <t>Period</t>
  </si>
  <si>
    <t>Terminal value as % of TEV</t>
  </si>
  <si>
    <t>Stage 1 cash flows as % of TEV</t>
  </si>
  <si>
    <t>Implied TV exit EBITDA multiple</t>
  </si>
  <si>
    <t>Net debt</t>
  </si>
  <si>
    <t>Source doc</t>
  </si>
  <si>
    <t>Source date</t>
  </si>
  <si>
    <t>Gross debt and equivalents</t>
  </si>
  <si>
    <t>Debt</t>
  </si>
  <si>
    <t>Convertible debt</t>
  </si>
  <si>
    <t>Preferred stock</t>
  </si>
  <si>
    <t>Noncontrolling (minority) interests</t>
  </si>
  <si>
    <t>Nonoperating assets</t>
  </si>
  <si>
    <t xml:space="preserve">Cash </t>
  </si>
  <si>
    <t xml:space="preserve">Equity investments </t>
  </si>
  <si>
    <t>Shares outstanding</t>
  </si>
  <si>
    <t>Basic shares</t>
  </si>
  <si>
    <t>Restricted stock / RSUs</t>
  </si>
  <si>
    <t>Options / warrants</t>
  </si>
  <si>
    <t>Convertible preferred stock</t>
  </si>
  <si>
    <t>Net diluted shares outstanding</t>
  </si>
  <si>
    <t>Perpetuity</t>
  </si>
  <si>
    <t>Enterprise value</t>
  </si>
  <si>
    <t xml:space="preserve">Equity value </t>
  </si>
  <si>
    <t>Equity value per share</t>
  </si>
  <si>
    <t>Year 1 Multiples</t>
  </si>
  <si>
    <t>EV / Revenue</t>
  </si>
  <si>
    <t xml:space="preserve">EV / EBITDA </t>
  </si>
  <si>
    <t>EV / EBIT</t>
  </si>
  <si>
    <t>DCF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</si>
</sst>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164" formatCode="0.0%"/>
    <numFmt numFmtId="165" formatCode="0.0%_);\(0.0%\);@_)"/>
    <numFmt numFmtId="168" formatCode="0000\P"/>
    <numFmt numFmtId="169" formatCode="0.0\x_);\(0.0\x\);@_)"/>
    <numFmt numFmtId="170" formatCode="_(#,##0.0%_);\(#,##0.0%\);_(&quot;–&quot;_)_%;_(@_)_%"/>
    <numFmt numFmtId="171" formatCode="#,##0.000_);\(#,##0.000\);@_)"/>
    <numFmt numFmtId="172" formatCode="#,##0.000_);\(#,##0.000\)"/>
    <numFmt numFmtId="173" formatCode="#,##0.000"/>
    <numFmt numFmtId="174" formatCode="#,##0_);\(#,##0\);@_)"/>
    <numFmt numFmtId="175" formatCode="&quot;$&quot;#,##0.00_);\(&quot;$&quot;#,##0.00\);@_)"/>
    <numFmt numFmtId="176" formatCode="_(0.0\x_)_';_(\(0.0\x\)_';_(&quot;–&quot;_)_%;_(@_)_%"/>
    <numFmt numFmtId="177" formatCode="_(0.0_)_'_x;_(\(0.0\)_';_(&quot;–&quot;_)_%;_(@_)_%"/>
  </numFmts>
  <fonts count="19"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5"/>
      <color theme="0"/>
      <name val="Calibri"/>
      <family val="2"/>
      <scheme val="minor"/>
    </font>
    <font>
      <i/>
      <sz val="11"/>
      <color theme="1"/>
      <name val="Calibri"/>
      <family val="2"/>
      <scheme val="minor"/>
    </font>
    <font>
      <sz val="11"/>
      <color rgb="FF0000FF"/>
      <name val="Calibri"/>
      <family val="2"/>
      <scheme val="minor"/>
    </font>
    <font>
      <b/>
      <sz val="9"/>
      <color indexed="81"/>
      <name val="Tahoma"/>
      <family val="2"/>
    </font>
    <font>
      <sz val="9"/>
      <color indexed="81"/>
      <name val="Tahoma"/>
      <family val="2"/>
    </font>
    <font>
      <b/>
      <i/>
      <sz val="11"/>
      <color theme="1"/>
      <name val="Calibri"/>
      <family val="2"/>
      <scheme val="minor"/>
    </font>
    <font>
      <u/>
      <sz val="11"/>
      <color theme="1"/>
      <name val="Calibri"/>
      <family val="2"/>
      <scheme val="minor"/>
    </font>
    <font>
      <sz val="11"/>
      <color theme="9" tint="0.39997558519241921"/>
      <name val="Calibri"/>
      <family val="2"/>
      <scheme val="minor"/>
    </font>
    <font>
      <i/>
      <sz val="11"/>
      <name val="Calibri"/>
      <family val="2"/>
      <scheme val="minor"/>
    </font>
    <font>
      <b/>
      <sz val="11"/>
      <color theme="9" tint="0.39997558519241921"/>
      <name val="Calibri"/>
      <family val="2"/>
      <scheme val="minor"/>
    </font>
    <font>
      <i/>
      <sz val="11"/>
      <color theme="9" tint="0.39997558519241921"/>
      <name val="Calibri"/>
      <family val="2"/>
      <scheme val="minor"/>
    </font>
    <font>
      <b/>
      <sz val="15"/>
      <color theme="0"/>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39997558519241921"/>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2">
    <xf numFmtId="0" fontId="0" fillId="0" borderId="0"/>
    <xf numFmtId="9" fontId="1" fillId="0" borderId="0" applyFont="0" applyFill="0" applyBorder="0" applyAlignment="0" applyProtection="0"/>
  </cellStyleXfs>
  <cellXfs count="82">
    <xf numFmtId="0" fontId="0" fillId="0" borderId="0" xfId="0"/>
    <xf numFmtId="0" fontId="0" fillId="0" borderId="0" xfId="1" applyNumberFormat="1" applyFont="1"/>
    <xf numFmtId="0" fontId="3" fillId="0" borderId="0" xfId="0" applyFont="1"/>
    <xf numFmtId="0" fontId="0" fillId="0" borderId="0" xfId="0" applyAlignment="1">
      <alignment horizontal="left"/>
    </xf>
    <xf numFmtId="0" fontId="3" fillId="0" borderId="0" xfId="0" applyFont="1" applyAlignment="1">
      <alignment horizontal="left"/>
    </xf>
    <xf numFmtId="37" fontId="8" fillId="0" borderId="0" xfId="0" applyNumberFormat="1" applyFont="1"/>
    <xf numFmtId="37" fontId="3" fillId="0" borderId="0" xfId="0" applyNumberFormat="1" applyFont="1"/>
    <xf numFmtId="0" fontId="6" fillId="2" borderId="0" xfId="0" applyFont="1" applyFill="1"/>
    <xf numFmtId="0" fontId="4" fillId="2" borderId="0" xfId="0" applyFont="1" applyFill="1"/>
    <xf numFmtId="0" fontId="2" fillId="2" borderId="0" xfId="0" applyFont="1" applyFill="1"/>
    <xf numFmtId="14" fontId="4" fillId="2" borderId="0" xfId="0" applyNumberFormat="1" applyFont="1" applyFill="1"/>
    <xf numFmtId="0" fontId="4" fillId="2" borderId="0" xfId="0" applyFont="1" applyFill="1" applyAlignment="1">
      <alignment horizontal="center"/>
    </xf>
    <xf numFmtId="165" fontId="0" fillId="0" borderId="0" xfId="0" applyNumberFormat="1"/>
    <xf numFmtId="37" fontId="0" fillId="0" borderId="0" xfId="0" applyNumberFormat="1"/>
    <xf numFmtId="0" fontId="7" fillId="0" borderId="0" xfId="0" applyFont="1" applyAlignment="1">
      <alignment horizontal="left"/>
    </xf>
    <xf numFmtId="0" fontId="7" fillId="0" borderId="0" xfId="0" applyFont="1"/>
    <xf numFmtId="37" fontId="7" fillId="0" borderId="0" xfId="0" applyNumberFormat="1" applyFont="1"/>
    <xf numFmtId="0" fontId="0" fillId="0" borderId="1" xfId="0" applyBorder="1"/>
    <xf numFmtId="14" fontId="0" fillId="0" borderId="1" xfId="0" applyNumberFormat="1" applyBorder="1"/>
    <xf numFmtId="9" fontId="0" fillId="0" borderId="0" xfId="1" applyFont="1"/>
    <xf numFmtId="164" fontId="0" fillId="0" borderId="0" xfId="1" applyNumberFormat="1" applyFont="1"/>
    <xf numFmtId="0" fontId="0" fillId="0" borderId="0" xfId="0" applyAlignment="1">
      <alignment horizontal="left" indent="1"/>
    </xf>
    <xf numFmtId="164" fontId="4" fillId="2" borderId="0" xfId="1" applyNumberFormat="1" applyFont="1" applyFill="1"/>
    <xf numFmtId="164" fontId="13" fillId="2" borderId="0" xfId="1" applyNumberFormat="1" applyFont="1" applyFill="1" applyAlignment="1"/>
    <xf numFmtId="37" fontId="13" fillId="0" borderId="0" xfId="0" applyNumberFormat="1" applyFont="1"/>
    <xf numFmtId="165" fontId="14" fillId="0" borderId="0" xfId="0" applyNumberFormat="1" applyFont="1"/>
    <xf numFmtId="37" fontId="15" fillId="0" borderId="0" xfId="0" applyNumberFormat="1" applyFont="1"/>
    <xf numFmtId="0" fontId="11" fillId="0" borderId="1" xfId="0" applyFont="1" applyBorder="1"/>
    <xf numFmtId="165" fontId="5" fillId="0" borderId="0" xfId="0" applyNumberFormat="1" applyFont="1"/>
    <xf numFmtId="165" fontId="4" fillId="2" borderId="0" xfId="0" applyNumberFormat="1" applyFont="1" applyFill="1"/>
    <xf numFmtId="44" fontId="4" fillId="2" borderId="0" xfId="0" applyNumberFormat="1" applyFont="1" applyFill="1"/>
    <xf numFmtId="165" fontId="16" fillId="0" borderId="0" xfId="0" applyNumberFormat="1" applyFont="1"/>
    <xf numFmtId="0" fontId="17" fillId="2" borderId="0" xfId="0" applyFont="1" applyFill="1"/>
    <xf numFmtId="0" fontId="7" fillId="0" borderId="0" xfId="0" applyFont="1" applyAlignment="1">
      <alignment horizontal="left" indent="1"/>
    </xf>
    <xf numFmtId="0" fontId="0" fillId="0" borderId="0" xfId="0" quotePrefix="1" applyAlignment="1">
      <alignment horizontal="left" indent="1"/>
    </xf>
    <xf numFmtId="0" fontId="3" fillId="0" borderId="0" xfId="0" applyFont="1" applyAlignment="1">
      <alignment horizontal="left" indent="1"/>
    </xf>
    <xf numFmtId="0" fontId="3" fillId="0" borderId="2" xfId="0" applyFont="1" applyBorder="1"/>
    <xf numFmtId="0" fontId="0" fillId="0" borderId="2" xfId="0" applyBorder="1"/>
    <xf numFmtId="0" fontId="3" fillId="0" borderId="1" xfId="0" applyFont="1" applyBorder="1"/>
    <xf numFmtId="0" fontId="12" fillId="0" borderId="0" xfId="0" applyFont="1"/>
    <xf numFmtId="164" fontId="8" fillId="0" borderId="0" xfId="1" applyNumberFormat="1" applyFont="1"/>
    <xf numFmtId="37" fontId="0" fillId="0" borderId="3" xfId="0" applyNumberFormat="1" applyBorder="1"/>
    <xf numFmtId="37" fontId="8" fillId="0" borderId="4" xfId="0" applyNumberFormat="1" applyFont="1" applyBorder="1"/>
    <xf numFmtId="37" fontId="3" fillId="0" borderId="4" xfId="0" applyNumberFormat="1" applyFont="1" applyBorder="1"/>
    <xf numFmtId="0" fontId="0" fillId="0" borderId="4" xfId="0" applyBorder="1"/>
    <xf numFmtId="165" fontId="5" fillId="0" borderId="4" xfId="0" applyNumberFormat="1" applyFont="1" applyBorder="1"/>
    <xf numFmtId="0" fontId="0" fillId="0" borderId="3" xfId="0" applyBorder="1"/>
    <xf numFmtId="37" fontId="0" fillId="0" borderId="4" xfId="0" applyNumberFormat="1" applyBorder="1"/>
    <xf numFmtId="37" fontId="8" fillId="0" borderId="3" xfId="0" applyNumberFormat="1" applyFont="1" applyBorder="1"/>
    <xf numFmtId="37" fontId="15" fillId="0" borderId="3" xfId="0" applyNumberFormat="1" applyFont="1" applyBorder="1"/>
    <xf numFmtId="165" fontId="14" fillId="0" borderId="4" xfId="0" applyNumberFormat="1" applyFont="1" applyBorder="1"/>
    <xf numFmtId="37" fontId="15" fillId="0" borderId="4" xfId="0" applyNumberFormat="1" applyFont="1" applyBorder="1"/>
    <xf numFmtId="165" fontId="16" fillId="0" borderId="4" xfId="0" applyNumberFormat="1" applyFont="1" applyBorder="1"/>
    <xf numFmtId="37" fontId="13" fillId="0" borderId="4" xfId="0" applyNumberFormat="1" applyFont="1" applyBorder="1"/>
    <xf numFmtId="168" fontId="0" fillId="0" borderId="0" xfId="0" applyNumberFormat="1"/>
    <xf numFmtId="0" fontId="0" fillId="0" borderId="0" xfId="0" applyBorder="1"/>
    <xf numFmtId="169" fontId="4" fillId="2" borderId="0" xfId="0" applyNumberFormat="1" applyFont="1" applyFill="1"/>
    <xf numFmtId="170" fontId="7" fillId="0" borderId="0" xfId="0" applyNumberFormat="1" applyFont="1"/>
    <xf numFmtId="169" fontId="7" fillId="0" borderId="0" xfId="0" applyNumberFormat="1" applyFont="1"/>
    <xf numFmtId="14" fontId="8" fillId="0" borderId="0" xfId="0" applyNumberFormat="1" applyFont="1" applyAlignment="1">
      <alignment horizontal="right"/>
    </xf>
    <xf numFmtId="14" fontId="18" fillId="0" borderId="0" xfId="0" applyNumberFormat="1" applyFont="1"/>
    <xf numFmtId="0" fontId="18" fillId="0" borderId="0" xfId="0" applyFont="1" applyAlignment="1">
      <alignment horizontal="left" indent="1"/>
    </xf>
    <xf numFmtId="0" fontId="0" fillId="0" borderId="0" xfId="0" applyAlignment="1">
      <alignment horizontal="left" vertical="center" indent="1"/>
    </xf>
    <xf numFmtId="0" fontId="3" fillId="0" borderId="0" xfId="0" applyFont="1" applyAlignment="1">
      <alignment vertical="center"/>
    </xf>
    <xf numFmtId="171" fontId="8" fillId="0" borderId="0" xfId="0" applyNumberFormat="1" applyFont="1"/>
    <xf numFmtId="172" fontId="8" fillId="0" borderId="0" xfId="0" applyNumberFormat="1" applyFont="1" applyAlignment="1">
      <alignment horizontal="right"/>
    </xf>
    <xf numFmtId="173" fontId="3" fillId="0" borderId="0" xfId="0" applyNumberFormat="1" applyFont="1"/>
    <xf numFmtId="174" fontId="18" fillId="0" borderId="0" xfId="0" applyNumberFormat="1" applyFont="1"/>
    <xf numFmtId="37" fontId="7" fillId="0" borderId="0" xfId="0" applyNumberFormat="1" applyFont="1" applyBorder="1" applyAlignment="1">
      <alignment horizontal="right"/>
    </xf>
    <xf numFmtId="175" fontId="3" fillId="0" borderId="0" xfId="0" applyNumberFormat="1" applyFont="1" applyBorder="1" applyAlignment="1">
      <alignment horizontal="right"/>
    </xf>
    <xf numFmtId="0" fontId="0" fillId="0" borderId="0" xfId="0" applyFont="1" applyBorder="1"/>
    <xf numFmtId="0" fontId="0" fillId="0" borderId="0" xfId="0" applyFont="1" applyBorder="1" applyAlignment="1">
      <alignment horizontal="right"/>
    </xf>
    <xf numFmtId="174" fontId="0" fillId="0" borderId="0" xfId="0" applyNumberFormat="1" applyFont="1" applyBorder="1" applyAlignment="1">
      <alignment horizontal="right"/>
    </xf>
    <xf numFmtId="37" fontId="0" fillId="0" borderId="0" xfId="0" applyNumberFormat="1" applyFont="1" applyBorder="1" applyAlignment="1">
      <alignment horizontal="right"/>
    </xf>
    <xf numFmtId="176" fontId="0" fillId="0" borderId="0" xfId="0" applyNumberFormat="1" applyFont="1" applyBorder="1" applyAlignment="1">
      <alignment horizontal="right"/>
    </xf>
    <xf numFmtId="177" fontId="0" fillId="0" borderId="0" xfId="0" applyNumberFormat="1" applyFont="1" applyBorder="1" applyAlignment="1">
      <alignment horizontal="right"/>
    </xf>
    <xf numFmtId="0" fontId="0" fillId="0" borderId="1" xfId="0" applyFont="1" applyBorder="1"/>
    <xf numFmtId="0" fontId="0" fillId="0" borderId="0" xfId="0" applyFont="1" applyAlignment="1">
      <alignment horizontal="left" vertical="center"/>
    </xf>
    <xf numFmtId="0" fontId="0" fillId="0" borderId="5" xfId="0" applyBorder="1"/>
    <xf numFmtId="14" fontId="8" fillId="0" borderId="5" xfId="0" applyNumberFormat="1" applyFont="1" applyBorder="1" applyAlignment="1">
      <alignment horizontal="right"/>
    </xf>
    <xf numFmtId="0" fontId="0" fillId="0" borderId="1" xfId="0" applyBorder="1" applyAlignment="1">
      <alignment horizontal="left"/>
    </xf>
    <xf numFmtId="14" fontId="8" fillId="0" borderId="1" xfId="0" applyNumberFormat="1"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https://www.bing.com/financeapi/forcetrigger?t=a24kjc&amp;q=XNYS%3aTSM&amp;form=skydnc</v>
    <v>Learn more on Bing</v>
  </rv>
  <rv s="1">
    <v>en-US</v>
    <v>a24kjc</v>
    <v>268435456</v>
    <v>1</v>
    <v>Powered by Refinitiv</v>
    <v>0</v>
    <v>Taiwan Semiconductor Manufacturing Co., Ltd. (XNYS:TSM)</v>
    <v>2</v>
    <v>3</v>
    <v>Finance</v>
    <v>4</v>
    <v>115.15</v>
    <v>81.209999999999994</v>
    <v>1.1242000000000001</v>
    <v>1.17</v>
    <v>1.926E-3</v>
    <v>1.0350999999999999E-2</v>
    <v>0.22</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115.15</v>
    <v>Semiconductors &amp; Semiconductor Equipment</v>
    <v>Stock</v>
    <v>45310.97930923594</v>
    <v>0</v>
    <v>111.02</v>
    <v>482854300000</v>
    <v>Taiwan Semiconductor Manufacturing Co., Ltd.</v>
    <v>Taiwan Semiconductor Manufacturing Co., Ltd.</v>
    <v>113.22</v>
    <v>21.448499999999999</v>
    <v>113.03</v>
    <v>114.2</v>
    <v>114.42</v>
    <v>5186414000</v>
    <v>TSM</v>
    <v>Taiwan Semiconductor Manufacturing Co., Ltd. (XNYS:TSM)</v>
    <v>37812587</v>
    <v>10587318</v>
    <v>1987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AF4B4-14EE-4AAB-81C0-88A9146F8A1B}">
  <dimension ref="A1:X113"/>
  <sheetViews>
    <sheetView showGridLines="0" topLeftCell="A45" workbookViewId="0">
      <selection activeCell="L31" sqref="L31"/>
    </sheetView>
  </sheetViews>
  <sheetFormatPr defaultRowHeight="15" x14ac:dyDescent="0.25"/>
  <cols>
    <col min="1" max="1" width="2.7109375" customWidth="1"/>
    <col min="7" max="7" width="10.7109375" bestFit="1" customWidth="1"/>
    <col min="8" max="8" width="10.7109375" customWidth="1"/>
    <col min="9" max="22" width="10.7109375" bestFit="1" customWidth="1"/>
  </cols>
  <sheetData>
    <row r="1" spans="1:24" x14ac:dyDescent="0.25">
      <c r="A1" s="1"/>
    </row>
    <row r="2" spans="1:24" ht="19.5" x14ac:dyDescent="0.3">
      <c r="A2" t="s">
        <v>26</v>
      </c>
      <c r="B2" s="32" t="e" vm="1">
        <v>#VALUE!</v>
      </c>
      <c r="C2" s="8"/>
      <c r="D2" s="8"/>
      <c r="E2" s="8"/>
      <c r="F2" s="8"/>
      <c r="G2" s="8"/>
      <c r="H2" s="8"/>
      <c r="I2" s="8"/>
      <c r="J2" s="8"/>
      <c r="K2" s="8"/>
      <c r="L2" s="8"/>
      <c r="M2" s="8"/>
      <c r="N2" s="8"/>
    </row>
    <row r="3" spans="1:24" x14ac:dyDescent="0.25">
      <c r="B3" s="27" t="s">
        <v>0</v>
      </c>
      <c r="C3" s="27"/>
      <c r="D3" s="27"/>
      <c r="E3" s="27"/>
      <c r="F3" s="27"/>
      <c r="G3" s="27"/>
      <c r="H3" s="27"/>
      <c r="I3" s="27"/>
      <c r="J3" s="27"/>
      <c r="K3" s="27"/>
      <c r="L3" s="27"/>
      <c r="M3" s="27"/>
      <c r="N3" s="27"/>
    </row>
    <row r="5" spans="1:24" x14ac:dyDescent="0.25">
      <c r="B5" t="s">
        <v>1</v>
      </c>
      <c r="G5" s="10">
        <v>45291</v>
      </c>
      <c r="I5" t="s">
        <v>7</v>
      </c>
      <c r="L5" s="11" t="s">
        <v>8</v>
      </c>
    </row>
    <row r="6" spans="1:24" x14ac:dyDescent="0.25">
      <c r="B6" t="s">
        <v>2</v>
      </c>
      <c r="G6" s="10">
        <v>34699</v>
      </c>
      <c r="I6" t="s">
        <v>9</v>
      </c>
      <c r="L6" s="30" cm="1">
        <f t="array" ref="L6">_FV(B2,"Previous close",TRUE)</f>
        <v>113.03</v>
      </c>
    </row>
    <row r="7" spans="1:24" x14ac:dyDescent="0.25">
      <c r="B7" t="s">
        <v>3</v>
      </c>
      <c r="G7" s="10">
        <v>45291</v>
      </c>
      <c r="I7" t="s">
        <v>6</v>
      </c>
      <c r="L7" s="10">
        <f ca="1">TODAY()</f>
        <v>45311</v>
      </c>
    </row>
    <row r="9" spans="1:24" x14ac:dyDescent="0.25">
      <c r="A9" t="s">
        <v>26</v>
      </c>
      <c r="B9" s="9" t="s">
        <v>10</v>
      </c>
      <c r="C9" s="8"/>
      <c r="D9" s="8"/>
      <c r="E9" s="8"/>
      <c r="F9" s="8"/>
      <c r="G9" s="8"/>
      <c r="H9" s="8"/>
      <c r="I9" s="8"/>
      <c r="J9" s="8"/>
      <c r="K9" s="8"/>
      <c r="L9" s="8"/>
      <c r="M9" s="8"/>
      <c r="N9" s="8"/>
    </row>
    <row r="10" spans="1:24" x14ac:dyDescent="0.25">
      <c r="B10" s="17"/>
      <c r="C10" s="17"/>
      <c r="D10" s="17"/>
      <c r="E10" s="17"/>
      <c r="F10" s="17"/>
      <c r="G10" s="18">
        <v>44561</v>
      </c>
      <c r="H10" s="18">
        <f t="shared" ref="H10:N10" si="0">EOMONTH(G10,12)</f>
        <v>44926</v>
      </c>
      <c r="I10" s="18">
        <f t="shared" si="0"/>
        <v>45291</v>
      </c>
      <c r="J10" s="18">
        <f t="shared" si="0"/>
        <v>45657</v>
      </c>
      <c r="K10" s="18">
        <f t="shared" si="0"/>
        <v>46022</v>
      </c>
      <c r="L10" s="18">
        <f t="shared" si="0"/>
        <v>46387</v>
      </c>
      <c r="M10" s="18">
        <f t="shared" si="0"/>
        <v>46752</v>
      </c>
      <c r="N10" s="18">
        <f t="shared" si="0"/>
        <v>47118</v>
      </c>
      <c r="Q10">
        <v>-1</v>
      </c>
    </row>
    <row r="11" spans="1:24" x14ac:dyDescent="0.25">
      <c r="B11" t="s">
        <v>11</v>
      </c>
      <c r="G11" s="5">
        <v>57224.800000000003</v>
      </c>
      <c r="H11" s="5">
        <v>73670.399999999994</v>
      </c>
      <c r="I11" s="48">
        <v>69298</v>
      </c>
      <c r="J11" s="13">
        <f>I11*(1+J31)</f>
        <v>83504.090000000011</v>
      </c>
      <c r="K11" s="13">
        <f>J11*(1+K31)</f>
        <v>103127.55115</v>
      </c>
      <c r="L11" s="13">
        <f>K11*(1+L31)</f>
        <v>129940.71444900001</v>
      </c>
      <c r="M11" s="13">
        <f>L11*(1+M31)</f>
        <v>165024.70735023002</v>
      </c>
      <c r="N11" s="13">
        <f>M11*(1+N31)</f>
        <v>212056.74894504555</v>
      </c>
    </row>
    <row r="12" spans="1:24" x14ac:dyDescent="0.25">
      <c r="B12" t="s">
        <v>13</v>
      </c>
      <c r="G12" s="5">
        <v>-27681.3</v>
      </c>
      <c r="H12" s="5">
        <v>-29792.9</v>
      </c>
      <c r="I12" s="42">
        <v>-31628</v>
      </c>
      <c r="J12" s="13">
        <f>I12*(1+J31)</f>
        <v>-38111.740000000005</v>
      </c>
      <c r="K12" s="13">
        <f>J12*(1+K31)</f>
        <v>-47067.998899999999</v>
      </c>
      <c r="L12" s="13">
        <f>K12*(1+L31)</f>
        <v>-59305.678613999997</v>
      </c>
      <c r="M12" s="13">
        <f>L12*(1+M31)</f>
        <v>-75318.211839779993</v>
      </c>
      <c r="N12" s="13">
        <f>M12*(1+N31)</f>
        <v>-96783.90221411729</v>
      </c>
    </row>
    <row r="13" spans="1:24" x14ac:dyDescent="0.25">
      <c r="B13" s="2" t="s">
        <v>15</v>
      </c>
      <c r="G13" s="6">
        <f t="shared" ref="G13:N13" si="1">SUM(G11:G12)</f>
        <v>29543.500000000004</v>
      </c>
      <c r="H13" s="6">
        <f t="shared" si="1"/>
        <v>43877.499999999993</v>
      </c>
      <c r="I13" s="43">
        <f t="shared" si="1"/>
        <v>37670</v>
      </c>
      <c r="J13" s="6">
        <f t="shared" si="1"/>
        <v>45392.350000000006</v>
      </c>
      <c r="K13" s="6">
        <f t="shared" si="1"/>
        <v>56059.552250000001</v>
      </c>
      <c r="L13" s="6">
        <f t="shared" si="1"/>
        <v>70635.035835000017</v>
      </c>
      <c r="M13" s="6">
        <f t="shared" si="1"/>
        <v>89706.495510450026</v>
      </c>
      <c r="N13" s="6">
        <f t="shared" si="1"/>
        <v>115272.84673092826</v>
      </c>
      <c r="Q13" s="1"/>
      <c r="R13" s="1"/>
      <c r="S13" s="1"/>
      <c r="T13" s="1"/>
      <c r="U13" s="1"/>
      <c r="V13" s="1"/>
      <c r="W13" s="1"/>
      <c r="X13" s="1"/>
    </row>
    <row r="14" spans="1:24" x14ac:dyDescent="0.25">
      <c r="B14" t="s">
        <v>16</v>
      </c>
      <c r="G14" s="5">
        <v>-4496.6000000000004</v>
      </c>
      <c r="H14" s="5">
        <v>-5312.9</v>
      </c>
      <c r="I14" s="42">
        <v>-5846</v>
      </c>
      <c r="J14" s="13">
        <f>J11*J34</f>
        <v>-6596.8231100000012</v>
      </c>
      <c r="K14" s="13">
        <f>K11*K34</f>
        <v>-8147.0765408500001</v>
      </c>
      <c r="L14" s="13">
        <f>L11*L34</f>
        <v>-10265.316441471001</v>
      </c>
      <c r="M14" s="13">
        <f>M11*M34</f>
        <v>-13036.951880668172</v>
      </c>
      <c r="N14" s="13">
        <f>N11*N34</f>
        <v>-16752.4831666586</v>
      </c>
    </row>
    <row r="15" spans="1:24" x14ac:dyDescent="0.25">
      <c r="B15" t="s">
        <v>17</v>
      </c>
      <c r="G15" s="5">
        <v>-1603.7</v>
      </c>
      <c r="H15" s="5">
        <v>-2064.5</v>
      </c>
      <c r="I15" s="42">
        <v>-2291</v>
      </c>
      <c r="J15" s="13">
        <f>J11*J35</f>
        <v>-2421.6186100000004</v>
      </c>
      <c r="K15" s="13">
        <f>K11*K35</f>
        <v>-2990.6989833500002</v>
      </c>
      <c r="L15" s="13">
        <f>L11*L35</f>
        <v>-3768.2807190210006</v>
      </c>
      <c r="M15" s="13">
        <f>M11*M35</f>
        <v>-4785.7165131566708</v>
      </c>
      <c r="N15" s="13">
        <f>N11*N35</f>
        <v>-6149.6457194063214</v>
      </c>
    </row>
    <row r="16" spans="1:24" x14ac:dyDescent="0.25">
      <c r="B16" s="2" t="s">
        <v>12</v>
      </c>
      <c r="G16" s="6">
        <f t="shared" ref="G16:N16" si="2">SUM(G13:G15)</f>
        <v>23443.200000000001</v>
      </c>
      <c r="H16" s="6">
        <f t="shared" si="2"/>
        <v>36500.099999999991</v>
      </c>
      <c r="I16" s="43">
        <f t="shared" si="2"/>
        <v>29533</v>
      </c>
      <c r="J16" s="6">
        <f t="shared" si="2"/>
        <v>36373.908280000011</v>
      </c>
      <c r="K16" s="6">
        <f t="shared" si="2"/>
        <v>44921.776725800002</v>
      </c>
      <c r="L16" s="6">
        <f t="shared" si="2"/>
        <v>56601.438674508012</v>
      </c>
      <c r="M16" s="6">
        <f t="shared" si="2"/>
        <v>71883.82711662518</v>
      </c>
      <c r="N16" s="6">
        <f t="shared" si="2"/>
        <v>92370.717844863335</v>
      </c>
    </row>
    <row r="17" spans="1:17" x14ac:dyDescent="0.25">
      <c r="B17" t="s">
        <v>29</v>
      </c>
      <c r="G17" s="5">
        <v>205.8</v>
      </c>
      <c r="H17" s="5">
        <v>729.7</v>
      </c>
      <c r="I17" s="42">
        <v>1548</v>
      </c>
    </row>
    <row r="18" spans="1:17" x14ac:dyDescent="0.25">
      <c r="B18" t="s">
        <v>28</v>
      </c>
      <c r="G18" s="5">
        <v>492.5</v>
      </c>
      <c r="H18" s="5">
        <v>146.6</v>
      </c>
      <c r="I18" s="42"/>
      <c r="J18" s="13"/>
      <c r="K18" s="13"/>
      <c r="L18" s="13"/>
      <c r="M18" s="13"/>
      <c r="N18" s="13"/>
    </row>
    <row r="19" spans="1:17" x14ac:dyDescent="0.25">
      <c r="B19" t="s">
        <v>30</v>
      </c>
      <c r="G19" s="5">
        <v>-195.2</v>
      </c>
      <c r="H19" s="5">
        <v>-382.4</v>
      </c>
      <c r="I19" s="42"/>
      <c r="J19" s="13"/>
      <c r="K19" s="13"/>
      <c r="L19" s="13"/>
      <c r="M19" s="13"/>
      <c r="N19" s="13"/>
    </row>
    <row r="20" spans="1:17" x14ac:dyDescent="0.25">
      <c r="B20" t="s">
        <v>31</v>
      </c>
      <c r="G20" s="5">
        <v>-32.5</v>
      </c>
      <c r="H20" s="5">
        <v>247.8</v>
      </c>
      <c r="I20" s="42">
        <v>302</v>
      </c>
      <c r="J20" s="13"/>
      <c r="K20" s="13"/>
      <c r="L20" s="13"/>
      <c r="M20" s="13"/>
      <c r="N20" s="13"/>
    </row>
    <row r="21" spans="1:17" x14ac:dyDescent="0.25">
      <c r="B21" s="2" t="s">
        <v>18</v>
      </c>
      <c r="G21" s="6">
        <f t="shared" ref="G21:N21" si="3">SUM(G16:G20)</f>
        <v>23913.8</v>
      </c>
      <c r="H21" s="6">
        <f t="shared" si="3"/>
        <v>37241.799999999988</v>
      </c>
      <c r="I21" s="43">
        <f t="shared" si="3"/>
        <v>31383</v>
      </c>
      <c r="J21" s="6">
        <f t="shared" si="3"/>
        <v>36373.908280000011</v>
      </c>
      <c r="K21" s="6">
        <f t="shared" si="3"/>
        <v>44921.776725800002</v>
      </c>
      <c r="L21" s="6">
        <f t="shared" si="3"/>
        <v>56601.438674508012</v>
      </c>
      <c r="M21" s="6">
        <f t="shared" si="3"/>
        <v>71883.82711662518</v>
      </c>
      <c r="N21" s="6">
        <f t="shared" si="3"/>
        <v>92370.717844863335</v>
      </c>
    </row>
    <row r="22" spans="1:17" x14ac:dyDescent="0.25">
      <c r="B22" t="s">
        <v>19</v>
      </c>
      <c r="G22" s="5">
        <v>-2529</v>
      </c>
      <c r="H22" s="5">
        <v>-4906.5</v>
      </c>
      <c r="I22" s="42">
        <v>-4533</v>
      </c>
      <c r="J22" s="13">
        <f>J21*J37</f>
        <v>4728.6080764000017</v>
      </c>
      <c r="K22" s="13">
        <f t="shared" ref="K22:N22" si="4">K21*K37</f>
        <v>5839.8309743540003</v>
      </c>
      <c r="L22" s="13">
        <f t="shared" si="4"/>
        <v>7358.1870276860418</v>
      </c>
      <c r="M22" s="13">
        <f t="shared" si="4"/>
        <v>9344.8975251612737</v>
      </c>
      <c r="N22" s="13">
        <f t="shared" si="4"/>
        <v>12008.193319832233</v>
      </c>
    </row>
    <row r="23" spans="1:17" x14ac:dyDescent="0.25">
      <c r="B23" s="2" t="s">
        <v>20</v>
      </c>
      <c r="G23" s="6">
        <f t="shared" ref="G23:N23" si="5">SUM(G21:G22)</f>
        <v>21384.799999999999</v>
      </c>
      <c r="H23" s="6">
        <f t="shared" si="5"/>
        <v>32335.299999999988</v>
      </c>
      <c r="I23" s="43">
        <f t="shared" si="5"/>
        <v>26850</v>
      </c>
      <c r="J23" s="6">
        <f t="shared" si="5"/>
        <v>41102.51635640001</v>
      </c>
      <c r="K23" s="6">
        <f t="shared" si="5"/>
        <v>50761.607700154003</v>
      </c>
      <c r="L23" s="6">
        <f t="shared" si="5"/>
        <v>63959.625702194055</v>
      </c>
      <c r="M23" s="6">
        <f t="shared" si="5"/>
        <v>81228.724641786452</v>
      </c>
      <c r="N23" s="6">
        <f t="shared" si="5"/>
        <v>104378.91116469557</v>
      </c>
    </row>
    <row r="24" spans="1:17" x14ac:dyDescent="0.25">
      <c r="B24" s="2"/>
    </row>
    <row r="25" spans="1:17" x14ac:dyDescent="0.25">
      <c r="B25" s="3" t="s">
        <v>21</v>
      </c>
      <c r="G25" s="5">
        <v>15227</v>
      </c>
      <c r="H25" s="5">
        <v>14228.9</v>
      </c>
      <c r="I25" s="5">
        <v>17060</v>
      </c>
      <c r="J25" s="13">
        <f>J99</f>
        <v>17846.102185599055</v>
      </c>
      <c r="K25" s="13">
        <f t="shared" ref="K25:N25" si="6">K99</f>
        <v>18982.772640205047</v>
      </c>
      <c r="L25" s="13">
        <f t="shared" si="6"/>
        <v>20487.476643769594</v>
      </c>
      <c r="M25" s="13">
        <f t="shared" si="6"/>
        <v>22415.365283801031</v>
      </c>
      <c r="N25" s="13">
        <f t="shared" si="6"/>
        <v>24953.990457226017</v>
      </c>
    </row>
    <row r="26" spans="1:17" x14ac:dyDescent="0.25">
      <c r="B26" s="4" t="s">
        <v>14</v>
      </c>
      <c r="G26" s="6">
        <f>G16+G25</f>
        <v>38670.199999999997</v>
      </c>
      <c r="H26" s="6">
        <f t="shared" ref="H26:I26" si="7">H16+H25</f>
        <v>50728.999999999993</v>
      </c>
      <c r="I26" s="6">
        <f t="shared" si="7"/>
        <v>46593</v>
      </c>
      <c r="J26" s="6">
        <f>J25+J16</f>
        <v>54220.010465599065</v>
      </c>
      <c r="K26" s="6">
        <f t="shared" ref="K26:N26" si="8">K25+K16</f>
        <v>63904.549366005049</v>
      </c>
      <c r="L26" s="6">
        <f t="shared" si="8"/>
        <v>77088.915318277606</v>
      </c>
      <c r="M26" s="6">
        <f t="shared" si="8"/>
        <v>94299.192400426211</v>
      </c>
      <c r="N26" s="6">
        <f t="shared" si="8"/>
        <v>117324.70830208935</v>
      </c>
    </row>
    <row r="27" spans="1:17" x14ac:dyDescent="0.25">
      <c r="B27" s="3" t="s">
        <v>22</v>
      </c>
      <c r="G27">
        <v>0</v>
      </c>
      <c r="H27">
        <v>0</v>
      </c>
      <c r="I27">
        <v>0</v>
      </c>
      <c r="J27">
        <v>0</v>
      </c>
      <c r="K27">
        <v>0</v>
      </c>
      <c r="L27">
        <v>0</v>
      </c>
      <c r="M27">
        <v>0</v>
      </c>
      <c r="N27">
        <v>0</v>
      </c>
    </row>
    <row r="28" spans="1:17" x14ac:dyDescent="0.25">
      <c r="B28" s="4" t="s">
        <v>23</v>
      </c>
      <c r="G28" s="6">
        <f>G26+G27</f>
        <v>38670.199999999997</v>
      </c>
      <c r="H28" s="6">
        <f t="shared" ref="H28:N28" si="9">H26+H27</f>
        <v>50728.999999999993</v>
      </c>
      <c r="I28" s="6">
        <f t="shared" si="9"/>
        <v>46593</v>
      </c>
      <c r="J28" s="6">
        <f t="shared" si="9"/>
        <v>54220.010465599065</v>
      </c>
      <c r="K28" s="6">
        <f t="shared" si="9"/>
        <v>63904.549366005049</v>
      </c>
      <c r="L28" s="6">
        <f t="shared" si="9"/>
        <v>77088.915318277606</v>
      </c>
      <c r="M28" s="6">
        <f t="shared" si="9"/>
        <v>94299.192400426211</v>
      </c>
      <c r="N28" s="6">
        <f t="shared" si="9"/>
        <v>117324.70830208935</v>
      </c>
    </row>
    <row r="29" spans="1:17" x14ac:dyDescent="0.25">
      <c r="B29" s="2"/>
    </row>
    <row r="30" spans="1:17" x14ac:dyDescent="0.25">
      <c r="A30" t="s">
        <v>26</v>
      </c>
      <c r="B30" s="2" t="s">
        <v>24</v>
      </c>
    </row>
    <row r="31" spans="1:17" x14ac:dyDescent="0.25">
      <c r="B31" t="s">
        <v>11</v>
      </c>
      <c r="G31" s="28"/>
      <c r="H31" s="28">
        <f>(H11/G11)-1</f>
        <v>0.28738588863569614</v>
      </c>
      <c r="I31" s="28">
        <f>(I11/H11)-1</f>
        <v>-5.9350838328555255E-2</v>
      </c>
      <c r="J31" s="29">
        <v>0.20499999999999999</v>
      </c>
      <c r="K31" s="29">
        <v>0.23499999999999999</v>
      </c>
      <c r="L31" s="29">
        <v>0.26</v>
      </c>
      <c r="M31" s="29">
        <v>0.27</v>
      </c>
      <c r="N31" s="29">
        <v>0.28499999999999998</v>
      </c>
      <c r="Q31" s="12"/>
    </row>
    <row r="32" spans="1:17" x14ac:dyDescent="0.25">
      <c r="B32" t="s">
        <v>13</v>
      </c>
      <c r="G32" s="28">
        <f>G12/G11</f>
        <v>-0.48372908249570112</v>
      </c>
      <c r="H32" s="28">
        <f t="shared" ref="H32:N32" si="10">H12/H11</f>
        <v>-0.40440801190165931</v>
      </c>
      <c r="I32" s="28">
        <f t="shared" si="10"/>
        <v>-0.45640566827325463</v>
      </c>
      <c r="J32" s="29">
        <f t="shared" si="10"/>
        <v>-0.45640566827325463</v>
      </c>
      <c r="K32" s="29">
        <f t="shared" si="10"/>
        <v>-0.45640566827325463</v>
      </c>
      <c r="L32" s="29">
        <f t="shared" si="10"/>
        <v>-0.45640566827325457</v>
      </c>
      <c r="M32" s="29">
        <f t="shared" si="10"/>
        <v>-0.45640566827325457</v>
      </c>
      <c r="N32" s="29">
        <f t="shared" si="10"/>
        <v>-0.45640566827325457</v>
      </c>
      <c r="Q32" s="12"/>
    </row>
    <row r="33" spans="1:24" x14ac:dyDescent="0.25">
      <c r="B33" t="s">
        <v>14</v>
      </c>
      <c r="G33" s="28">
        <f>G26/G11</f>
        <v>0.67575946093302197</v>
      </c>
      <c r="H33" s="28">
        <f>H26/H11</f>
        <v>0.68859406220137254</v>
      </c>
      <c r="I33" s="28">
        <f>I26/I11</f>
        <v>0.67235706658200811</v>
      </c>
      <c r="J33" s="29">
        <v>0.67500000000000004</v>
      </c>
      <c r="K33" s="29">
        <v>0.67300000000000004</v>
      </c>
      <c r="L33" s="29">
        <v>0.67100000000000004</v>
      </c>
      <c r="M33" s="29">
        <v>0.67</v>
      </c>
      <c r="N33" s="29">
        <v>0.66900000000000004</v>
      </c>
      <c r="Q33" s="12"/>
    </row>
    <row r="34" spans="1:24" x14ac:dyDescent="0.25">
      <c r="B34" t="s">
        <v>16</v>
      </c>
      <c r="G34" s="28">
        <f>G14/G11</f>
        <v>-7.8577819406970409E-2</v>
      </c>
      <c r="H34" s="28">
        <f>H14/H11</f>
        <v>-7.2117159673355927E-2</v>
      </c>
      <c r="I34" s="28">
        <f>I14/I11</f>
        <v>-8.4360298998528094E-2</v>
      </c>
      <c r="J34" s="29">
        <v>-7.9000000000000001E-2</v>
      </c>
      <c r="K34" s="29">
        <v>-7.9000000000000001E-2</v>
      </c>
      <c r="L34" s="29">
        <v>-7.9000000000000001E-2</v>
      </c>
      <c r="M34" s="29">
        <v>-7.9000000000000001E-2</v>
      </c>
      <c r="N34" s="29">
        <v>-7.9000000000000001E-2</v>
      </c>
      <c r="Q34" s="12"/>
    </row>
    <row r="35" spans="1:24" x14ac:dyDescent="0.25">
      <c r="B35" t="s">
        <v>17</v>
      </c>
      <c r="G35" s="28">
        <f>G15/G11</f>
        <v>-2.8024562776977815E-2</v>
      </c>
      <c r="H35" s="28">
        <f>H15/H11</f>
        <v>-2.8023466684041355E-2</v>
      </c>
      <c r="I35" s="28">
        <f>I15/I11</f>
        <v>-3.3060117175098845E-2</v>
      </c>
      <c r="J35" s="29">
        <v>-2.9000000000000001E-2</v>
      </c>
      <c r="K35" s="29">
        <v>-2.9000000000000001E-2</v>
      </c>
      <c r="L35" s="29">
        <v>-2.9000000000000001E-2</v>
      </c>
      <c r="M35" s="29">
        <v>-2.9000000000000001E-2</v>
      </c>
      <c r="N35" s="29">
        <v>-2.9000000000000001E-2</v>
      </c>
      <c r="Q35" s="12"/>
    </row>
    <row r="36" spans="1:24" x14ac:dyDescent="0.25">
      <c r="B36" t="s">
        <v>52</v>
      </c>
      <c r="G36" s="28">
        <f>G16/G11</f>
        <v>0.40966853532035064</v>
      </c>
      <c r="H36" s="28">
        <f t="shared" ref="H36:N36" si="11">H16/H11</f>
        <v>0.49545136174094334</v>
      </c>
      <c r="I36" s="28">
        <f t="shared" si="11"/>
        <v>0.4261739155531184</v>
      </c>
      <c r="J36" s="29">
        <f t="shared" si="11"/>
        <v>0.43559433172674544</v>
      </c>
      <c r="K36" s="29">
        <f t="shared" si="11"/>
        <v>0.43559433172674539</v>
      </c>
      <c r="L36" s="29">
        <f t="shared" si="11"/>
        <v>0.43559433172674544</v>
      </c>
      <c r="M36" s="29">
        <f t="shared" si="11"/>
        <v>0.43559433172674544</v>
      </c>
      <c r="N36" s="29">
        <f t="shared" si="11"/>
        <v>0.43559433172674539</v>
      </c>
      <c r="Q36" s="12"/>
    </row>
    <row r="37" spans="1:24" x14ac:dyDescent="0.25">
      <c r="B37" t="s">
        <v>25</v>
      </c>
      <c r="G37" s="28">
        <f>(G22/G21)*-1</f>
        <v>0.10575483611973004</v>
      </c>
      <c r="H37" s="28">
        <f>(H22/H21)*-1</f>
        <v>0.13174712285657517</v>
      </c>
      <c r="I37" s="28">
        <f>(I22/I21)*-1</f>
        <v>0.14444125800592678</v>
      </c>
      <c r="J37" s="29">
        <v>0.13</v>
      </c>
      <c r="K37" s="29">
        <v>0.13</v>
      </c>
      <c r="L37" s="29">
        <v>0.13</v>
      </c>
      <c r="M37" s="29">
        <v>0.13</v>
      </c>
      <c r="N37" s="29">
        <v>0.13</v>
      </c>
      <c r="Q37" s="12"/>
    </row>
    <row r="39" spans="1:24" x14ac:dyDescent="0.25">
      <c r="A39" t="s">
        <v>26</v>
      </c>
      <c r="B39" s="9" t="s">
        <v>27</v>
      </c>
      <c r="C39" s="8"/>
      <c r="D39" s="8"/>
      <c r="E39" s="8"/>
      <c r="F39" s="8"/>
      <c r="G39" s="8"/>
      <c r="H39" s="8"/>
      <c r="I39" s="8"/>
      <c r="J39" s="8"/>
      <c r="K39" s="8"/>
      <c r="L39" s="8"/>
      <c r="M39" s="8"/>
      <c r="N39" s="8"/>
    </row>
    <row r="40" spans="1:24" x14ac:dyDescent="0.25">
      <c r="B40" s="17"/>
      <c r="C40" s="17"/>
      <c r="D40" s="17"/>
      <c r="E40" s="17"/>
      <c r="F40" s="17"/>
      <c r="G40" s="18">
        <v>44561</v>
      </c>
      <c r="H40" s="18">
        <f t="shared" ref="H40:N40" si="12">EOMONTH(G40,12)</f>
        <v>44926</v>
      </c>
      <c r="I40" s="18">
        <f t="shared" si="12"/>
        <v>45291</v>
      </c>
      <c r="J40" s="18">
        <f t="shared" si="12"/>
        <v>45657</v>
      </c>
      <c r="K40" s="18">
        <f t="shared" si="12"/>
        <v>46022</v>
      </c>
      <c r="L40" s="18">
        <f t="shared" si="12"/>
        <v>46387</v>
      </c>
      <c r="M40" s="18">
        <f t="shared" si="12"/>
        <v>46752</v>
      </c>
      <c r="N40" s="18">
        <f t="shared" si="12"/>
        <v>47118</v>
      </c>
    </row>
    <row r="41" spans="1:24" x14ac:dyDescent="0.25">
      <c r="B41" t="s">
        <v>32</v>
      </c>
      <c r="G41" s="5">
        <v>42842.6</v>
      </c>
      <c r="H41" s="5">
        <v>50813.1</v>
      </c>
      <c r="I41" s="48">
        <v>54888</v>
      </c>
      <c r="J41" s="13">
        <f>J84+I41</f>
        <v>75799.138541999069</v>
      </c>
      <c r="K41" s="13">
        <f t="shared" ref="K41:N41" si="13">K84+J41</f>
        <v>108941.01673235813</v>
      </c>
      <c r="L41" s="13">
        <f t="shared" si="13"/>
        <v>158765.68163444678</v>
      </c>
      <c r="M41" s="13">
        <f t="shared" si="13"/>
        <v>230024.3928097274</v>
      </c>
      <c r="N41" s="13">
        <f t="shared" si="13"/>
        <v>330418.95155986171</v>
      </c>
    </row>
    <row r="42" spans="1:24" x14ac:dyDescent="0.25">
      <c r="B42" t="s">
        <v>33</v>
      </c>
      <c r="G42" s="5">
        <v>7150.8</v>
      </c>
      <c r="H42" s="5">
        <v>7530.4</v>
      </c>
      <c r="I42" s="42">
        <v>6568</v>
      </c>
      <c r="J42" s="13">
        <f>I42*(1+$J$31)</f>
        <v>7914.4400000000005</v>
      </c>
      <c r="K42" s="13">
        <f t="shared" ref="K42:N42" si="14">J42*(1+$J$31)</f>
        <v>9536.9002000000019</v>
      </c>
      <c r="L42" s="13">
        <f t="shared" si="14"/>
        <v>11491.964741000003</v>
      </c>
      <c r="M42" s="13">
        <f t="shared" si="14"/>
        <v>13847.817512905005</v>
      </c>
      <c r="N42" s="13">
        <f t="shared" si="14"/>
        <v>16686.620103050533</v>
      </c>
      <c r="P42" s="13"/>
      <c r="Q42" s="13"/>
      <c r="R42" s="13"/>
      <c r="S42" s="13"/>
      <c r="T42" s="13"/>
      <c r="U42" s="13"/>
      <c r="V42" s="13"/>
      <c r="W42" s="13"/>
      <c r="X42" s="13"/>
    </row>
    <row r="43" spans="1:24" x14ac:dyDescent="0.25">
      <c r="B43" t="s">
        <v>34</v>
      </c>
      <c r="G43" s="5">
        <v>6961.2</v>
      </c>
      <c r="H43" s="5">
        <v>7196.5</v>
      </c>
      <c r="I43" s="42">
        <v>8163</v>
      </c>
      <c r="J43" s="13">
        <f>I43*(J12/I12)</f>
        <v>9836.4150000000009</v>
      </c>
      <c r="K43" s="13">
        <f t="shared" ref="K43:N43" si="15">J43*(1+$J$31)</f>
        <v>11852.880075000001</v>
      </c>
      <c r="L43" s="13">
        <f t="shared" si="15"/>
        <v>14282.720490375003</v>
      </c>
      <c r="M43" s="13">
        <f t="shared" si="15"/>
        <v>17210.678190901879</v>
      </c>
      <c r="N43" s="13">
        <f t="shared" si="15"/>
        <v>20738.867220036766</v>
      </c>
      <c r="P43" s="13"/>
      <c r="R43" s="13"/>
      <c r="S43" s="13"/>
      <c r="T43" s="13"/>
      <c r="U43" s="13"/>
      <c r="V43" s="13"/>
      <c r="W43" s="13"/>
      <c r="X43" s="13"/>
    </row>
    <row r="44" spans="1:24" x14ac:dyDescent="0.25">
      <c r="B44" t="s">
        <v>35</v>
      </c>
      <c r="G44" s="5">
        <v>379.3</v>
      </c>
      <c r="H44" s="5">
        <v>1264.3</v>
      </c>
      <c r="I44" s="42">
        <v>1739</v>
      </c>
      <c r="J44" s="13">
        <f>I44*(1+J31)</f>
        <v>2095.4950000000003</v>
      </c>
      <c r="K44" s="13">
        <f t="shared" ref="K44:N44" si="16">J44*(1+K31)</f>
        <v>2587.9363250000001</v>
      </c>
      <c r="L44" s="13">
        <f t="shared" si="16"/>
        <v>3260.7997695000004</v>
      </c>
      <c r="M44" s="13">
        <f t="shared" si="16"/>
        <v>4141.2157072650007</v>
      </c>
      <c r="N44" s="13">
        <f t="shared" si="16"/>
        <v>5321.4621838355251</v>
      </c>
    </row>
    <row r="45" spans="1:24" x14ac:dyDescent="0.25">
      <c r="B45" t="s">
        <v>36</v>
      </c>
      <c r="G45" s="5">
        <v>71201.100000000006</v>
      </c>
      <c r="H45" s="5">
        <v>87661.5</v>
      </c>
      <c r="I45" s="42">
        <v>99667</v>
      </c>
      <c r="J45" s="13">
        <f>J92</f>
        <v>117131.60640440094</v>
      </c>
      <c r="K45" s="13">
        <f t="shared" ref="K45:N45" si="17">K92</f>
        <v>134460.3388728459</v>
      </c>
      <c r="L45" s="13">
        <f t="shared" si="17"/>
        <v>151651.83866597529</v>
      </c>
      <c r="M45" s="13">
        <f t="shared" si="17"/>
        <v>168704.733457036</v>
      </c>
      <c r="N45" s="13">
        <f t="shared" si="17"/>
        <v>185617.6371960073</v>
      </c>
    </row>
    <row r="46" spans="1:24" x14ac:dyDescent="0.25">
      <c r="B46" t="s">
        <v>37</v>
      </c>
      <c r="G46" s="5">
        <v>5758.5</v>
      </c>
      <c r="H46" s="5">
        <v>7085.1</v>
      </c>
      <c r="I46" s="42">
        <v>8907</v>
      </c>
      <c r="J46" s="13">
        <f>I46*(1+J31)</f>
        <v>10732.935000000001</v>
      </c>
      <c r="K46" s="13">
        <f t="shared" ref="K46:N46" si="18">J46*(1+K31)</f>
        <v>13255.174725000001</v>
      </c>
      <c r="L46" s="13">
        <f t="shared" si="18"/>
        <v>16701.520153500001</v>
      </c>
      <c r="M46" s="13">
        <f t="shared" si="18"/>
        <v>21210.930594945003</v>
      </c>
      <c r="N46" s="13">
        <f t="shared" si="18"/>
        <v>27256.045814504327</v>
      </c>
    </row>
    <row r="47" spans="1:24" x14ac:dyDescent="0.25">
      <c r="B47" s="2" t="s">
        <v>38</v>
      </c>
      <c r="G47" s="6">
        <f>SUM(G41:G46)</f>
        <v>134293.5</v>
      </c>
      <c r="H47" s="6">
        <f>SUM(H41:H46)</f>
        <v>161550.9</v>
      </c>
      <c r="I47" s="43">
        <f t="shared" ref="I47:N47" si="19">SUM(I41:I46)</f>
        <v>179932</v>
      </c>
      <c r="J47" s="6">
        <f t="shared" si="19"/>
        <v>223510.02994640003</v>
      </c>
      <c r="K47" s="6">
        <f t="shared" si="19"/>
        <v>280634.24693020404</v>
      </c>
      <c r="L47" s="6">
        <f t="shared" si="19"/>
        <v>356154.52545479708</v>
      </c>
      <c r="M47" s="6">
        <f t="shared" si="19"/>
        <v>455139.76827278023</v>
      </c>
      <c r="N47" s="6">
        <f t="shared" si="19"/>
        <v>586039.5840772962</v>
      </c>
    </row>
    <row r="48" spans="1:24" x14ac:dyDescent="0.25">
      <c r="H48" s="5"/>
      <c r="I48" s="42"/>
    </row>
    <row r="49" spans="1:24" x14ac:dyDescent="0.25">
      <c r="B49" s="3" t="s">
        <v>39</v>
      </c>
      <c r="G49" s="5">
        <v>1704.6</v>
      </c>
      <c r="H49" s="5">
        <v>1785.9</v>
      </c>
      <c r="I49" s="42">
        <v>1864</v>
      </c>
      <c r="J49" s="13">
        <f>I49*(J12/I12)</f>
        <v>2246.1200000000003</v>
      </c>
      <c r="K49" s="13">
        <f t="shared" ref="K49:N49" si="20">J49*(K12/J12)</f>
        <v>2773.9582</v>
      </c>
      <c r="L49" s="13">
        <f t="shared" si="20"/>
        <v>3495.187332</v>
      </c>
      <c r="M49" s="13">
        <f t="shared" si="20"/>
        <v>4438.8879116400003</v>
      </c>
      <c r="N49" s="13">
        <f t="shared" si="20"/>
        <v>5703.9709664574002</v>
      </c>
      <c r="Q49" s="13"/>
      <c r="R49" s="13"/>
      <c r="S49" s="13"/>
      <c r="T49" s="13"/>
      <c r="U49" s="13"/>
      <c r="V49" s="13"/>
      <c r="W49" s="13"/>
      <c r="X49" s="13"/>
    </row>
    <row r="50" spans="1:24" x14ac:dyDescent="0.25">
      <c r="B50" s="3" t="s">
        <v>40</v>
      </c>
      <c r="G50" s="5">
        <v>25633.3</v>
      </c>
      <c r="H50" s="5">
        <v>30318.400000000001</v>
      </c>
      <c r="I50" s="42">
        <v>27849</v>
      </c>
      <c r="J50" s="13">
        <f>I50*(1+J31)</f>
        <v>33558.045000000006</v>
      </c>
      <c r="K50" s="13">
        <f t="shared" ref="K50:N50" si="21">J50*(1+K31)</f>
        <v>41444.185575000003</v>
      </c>
      <c r="L50" s="13">
        <f t="shared" si="21"/>
        <v>52219.673824500002</v>
      </c>
      <c r="M50" s="13">
        <f t="shared" si="21"/>
        <v>66318.985757115006</v>
      </c>
      <c r="N50" s="13">
        <f t="shared" si="21"/>
        <v>85219.896697892778</v>
      </c>
      <c r="O50" s="40"/>
      <c r="P50" s="40"/>
      <c r="Q50" s="40"/>
      <c r="R50" s="13"/>
      <c r="S50" s="13"/>
      <c r="T50" s="13"/>
      <c r="U50" s="13"/>
      <c r="V50" s="13"/>
      <c r="W50" s="13"/>
      <c r="X50" s="13"/>
    </row>
    <row r="51" spans="1:24" x14ac:dyDescent="0.25">
      <c r="B51" s="3" t="s">
        <v>41</v>
      </c>
      <c r="G51" s="5"/>
      <c r="H51" s="5"/>
      <c r="I51" s="42"/>
      <c r="J51" s="13"/>
      <c r="K51" s="13"/>
      <c r="L51" s="13"/>
      <c r="M51" s="13"/>
      <c r="N51" s="13"/>
    </row>
    <row r="52" spans="1:24" x14ac:dyDescent="0.25">
      <c r="B52" s="3" t="s">
        <v>42</v>
      </c>
      <c r="G52" s="5"/>
      <c r="H52" s="5"/>
      <c r="I52" s="42"/>
      <c r="J52" s="13"/>
      <c r="K52" s="13"/>
      <c r="L52" s="13"/>
      <c r="M52" s="13"/>
      <c r="N52" s="13"/>
    </row>
    <row r="53" spans="1:24" x14ac:dyDescent="0.25">
      <c r="B53" s="3" t="s">
        <v>43</v>
      </c>
      <c r="G53" s="5">
        <v>22111.7</v>
      </c>
      <c r="H53" s="5">
        <v>27305.3</v>
      </c>
      <c r="I53" s="42">
        <v>29723</v>
      </c>
      <c r="J53" s="13">
        <f>I53</f>
        <v>29723</v>
      </c>
      <c r="K53" s="13">
        <f t="shared" ref="K53:N53" si="22">J53</f>
        <v>29723</v>
      </c>
      <c r="L53" s="13">
        <f t="shared" si="22"/>
        <v>29723</v>
      </c>
      <c r="M53" s="13">
        <f t="shared" si="22"/>
        <v>29723</v>
      </c>
      <c r="N53" s="13">
        <f t="shared" si="22"/>
        <v>29723</v>
      </c>
    </row>
    <row r="54" spans="1:24" x14ac:dyDescent="0.25">
      <c r="B54" s="3" t="s">
        <v>44</v>
      </c>
      <c r="G54" s="5">
        <v>7277.9</v>
      </c>
      <c r="H54" s="5">
        <v>7190.7</v>
      </c>
      <c r="I54" s="42">
        <v>7208</v>
      </c>
      <c r="J54" s="13">
        <f>I54*(1+J31)</f>
        <v>8685.6400000000012</v>
      </c>
      <c r="K54" s="13">
        <f t="shared" ref="K54:N54" si="23">J54*(1+K31)</f>
        <v>10726.7654</v>
      </c>
      <c r="L54" s="13">
        <f t="shared" si="23"/>
        <v>13515.724404000001</v>
      </c>
      <c r="M54" s="13">
        <f t="shared" si="23"/>
        <v>17164.969993080002</v>
      </c>
      <c r="N54" s="13">
        <f t="shared" si="23"/>
        <v>22056.986441107802</v>
      </c>
    </row>
    <row r="55" spans="1:24" x14ac:dyDescent="0.25">
      <c r="B55" s="4" t="s">
        <v>45</v>
      </c>
      <c r="G55" s="6">
        <f t="shared" ref="G55:N55" si="24">SUM(G49:G54)</f>
        <v>56727.5</v>
      </c>
      <c r="H55" s="6">
        <f t="shared" si="24"/>
        <v>66600.3</v>
      </c>
      <c r="I55" s="43">
        <f t="shared" si="24"/>
        <v>66644</v>
      </c>
      <c r="J55" s="6">
        <f t="shared" si="24"/>
        <v>74212.805000000008</v>
      </c>
      <c r="K55" s="6">
        <f t="shared" si="24"/>
        <v>84667.909175000008</v>
      </c>
      <c r="L55" s="6">
        <f t="shared" si="24"/>
        <v>98953.585560500011</v>
      </c>
      <c r="M55" s="6">
        <f t="shared" si="24"/>
        <v>117645.84366183501</v>
      </c>
      <c r="N55" s="6">
        <f t="shared" si="24"/>
        <v>142703.85410545798</v>
      </c>
    </row>
    <row r="56" spans="1:24" x14ac:dyDescent="0.25">
      <c r="H56" s="5"/>
      <c r="I56" s="42"/>
    </row>
    <row r="57" spans="1:24" x14ac:dyDescent="0.25">
      <c r="B57" s="3" t="s">
        <v>46</v>
      </c>
      <c r="G57" s="5">
        <v>11682.3</v>
      </c>
      <c r="H57" s="5">
        <v>10694.2</v>
      </c>
      <c r="I57" s="42">
        <v>10707</v>
      </c>
    </row>
    <row r="58" spans="1:24" x14ac:dyDescent="0.25">
      <c r="B58" s="3" t="s">
        <v>47</v>
      </c>
      <c r="G58" s="5">
        <v>68054</v>
      </c>
      <c r="H58" s="5">
        <v>84441.600000000006</v>
      </c>
      <c r="I58" s="42">
        <v>92591</v>
      </c>
      <c r="J58" s="13">
        <f>J112</f>
        <v>124341.51635640001</v>
      </c>
      <c r="K58" s="13">
        <f t="shared" ref="K58:N58" si="25">K112</f>
        <v>165751.12405655402</v>
      </c>
      <c r="L58" s="13">
        <f t="shared" si="25"/>
        <v>220358.74975874808</v>
      </c>
      <c r="M58" s="13">
        <f t="shared" si="25"/>
        <v>292235.47440053453</v>
      </c>
      <c r="N58" s="13">
        <f t="shared" si="25"/>
        <v>387262.3855652301</v>
      </c>
    </row>
    <row r="59" spans="1:24" x14ac:dyDescent="0.25">
      <c r="B59" s="3" t="s">
        <v>48</v>
      </c>
      <c r="G59" s="5">
        <v>-2170</v>
      </c>
      <c r="H59" s="5">
        <v>-185</v>
      </c>
      <c r="I59" s="42">
        <v>9990</v>
      </c>
    </row>
    <row r="60" spans="1:24" x14ac:dyDescent="0.25">
      <c r="B60" s="4" t="s">
        <v>49</v>
      </c>
      <c r="G60" s="6">
        <f>SUM(G57:G59)</f>
        <v>77566.3</v>
      </c>
      <c r="H60" s="6">
        <f t="shared" ref="H60:N60" si="26">SUM(H57:H59)</f>
        <v>94950.8</v>
      </c>
      <c r="I60" s="43">
        <f t="shared" si="26"/>
        <v>113288</v>
      </c>
      <c r="J60" s="6">
        <f t="shared" si="26"/>
        <v>124341.51635640001</v>
      </c>
      <c r="K60" s="6">
        <f t="shared" si="26"/>
        <v>165751.12405655402</v>
      </c>
      <c r="L60" s="6">
        <f t="shared" si="26"/>
        <v>220358.74975874808</v>
      </c>
      <c r="M60" s="6">
        <f t="shared" si="26"/>
        <v>292235.47440053453</v>
      </c>
      <c r="N60" s="6">
        <f t="shared" si="26"/>
        <v>387262.3855652301</v>
      </c>
    </row>
    <row r="62" spans="1:24" x14ac:dyDescent="0.25">
      <c r="B62" s="14" t="s">
        <v>50</v>
      </c>
      <c r="C62" s="15"/>
      <c r="D62" s="15"/>
      <c r="E62" s="15"/>
      <c r="F62" s="15"/>
      <c r="G62" s="16">
        <f t="shared" ref="G62:N62" si="27">G60+G55-G47</f>
        <v>0.29999999998835847</v>
      </c>
      <c r="H62" s="16">
        <f t="shared" si="27"/>
        <v>0.20000000001164153</v>
      </c>
      <c r="I62" s="16">
        <f t="shared" si="27"/>
        <v>0</v>
      </c>
      <c r="J62" s="16">
        <f t="shared" si="27"/>
        <v>-24955.708589999995</v>
      </c>
      <c r="K62" s="16">
        <f t="shared" si="27"/>
        <v>-30215.213698650012</v>
      </c>
      <c r="L62" s="16">
        <f t="shared" si="27"/>
        <v>-36842.190135548997</v>
      </c>
      <c r="M62" s="16">
        <f t="shared" si="27"/>
        <v>-45258.450210410694</v>
      </c>
      <c r="N62" s="16">
        <f t="shared" si="27"/>
        <v>-56073.344406608143</v>
      </c>
    </row>
    <row r="64" spans="1:24" x14ac:dyDescent="0.25">
      <c r="A64" t="s">
        <v>26</v>
      </c>
      <c r="B64" s="9" t="s">
        <v>53</v>
      </c>
      <c r="C64" s="8"/>
      <c r="D64" s="8"/>
      <c r="E64" s="8"/>
      <c r="F64" s="8"/>
      <c r="G64" s="8"/>
      <c r="H64" s="8"/>
      <c r="I64" s="8"/>
      <c r="J64" s="8"/>
      <c r="K64" s="8"/>
      <c r="L64" s="8"/>
      <c r="M64" s="8"/>
      <c r="N64" s="8"/>
    </row>
    <row r="65" spans="2:14" x14ac:dyDescent="0.25">
      <c r="B65" s="17"/>
      <c r="C65" s="17"/>
      <c r="D65" s="17"/>
      <c r="E65" s="17"/>
      <c r="F65" s="17"/>
      <c r="G65" s="18"/>
      <c r="H65" s="18">
        <v>44926</v>
      </c>
      <c r="I65" s="18">
        <f t="shared" ref="I65:N65" si="28">EOMONTH(H65,12)</f>
        <v>45291</v>
      </c>
      <c r="J65" s="18">
        <f t="shared" si="28"/>
        <v>45657</v>
      </c>
      <c r="K65" s="18">
        <f t="shared" si="28"/>
        <v>46022</v>
      </c>
      <c r="L65" s="18">
        <f t="shared" si="28"/>
        <v>46387</v>
      </c>
      <c r="M65" s="18">
        <f t="shared" si="28"/>
        <v>46752</v>
      </c>
      <c r="N65" s="18">
        <f t="shared" si="28"/>
        <v>47118</v>
      </c>
    </row>
    <row r="66" spans="2:14" x14ac:dyDescent="0.25">
      <c r="B66" t="s">
        <v>82</v>
      </c>
      <c r="G66" s="13"/>
      <c r="H66" s="13">
        <f t="shared" ref="H66:N66" si="29">H23</f>
        <v>32335.299999999988</v>
      </c>
      <c r="I66" s="41">
        <f t="shared" si="29"/>
        <v>26850</v>
      </c>
      <c r="J66" s="13">
        <f t="shared" si="29"/>
        <v>41102.51635640001</v>
      </c>
      <c r="K66" s="13">
        <f t="shared" si="29"/>
        <v>50761.607700154003</v>
      </c>
      <c r="L66" s="13">
        <f t="shared" si="29"/>
        <v>63959.625702194055</v>
      </c>
      <c r="M66" s="13">
        <f t="shared" si="29"/>
        <v>81228.724641786452</v>
      </c>
      <c r="N66" s="13">
        <f t="shared" si="29"/>
        <v>104378.91116469557</v>
      </c>
    </row>
    <row r="67" spans="2:14" x14ac:dyDescent="0.25">
      <c r="B67" t="s">
        <v>83</v>
      </c>
      <c r="G67" s="13"/>
      <c r="H67" s="13">
        <f t="shared" ref="H67:N67" si="30">H99</f>
        <v>14228.9</v>
      </c>
      <c r="I67" s="47">
        <f t="shared" si="30"/>
        <v>17060</v>
      </c>
      <c r="J67" s="13">
        <f t="shared" si="30"/>
        <v>17846.102185599055</v>
      </c>
      <c r="K67" s="13">
        <f t="shared" si="30"/>
        <v>18982.772640205047</v>
      </c>
      <c r="L67" s="13">
        <f t="shared" si="30"/>
        <v>20487.476643769594</v>
      </c>
      <c r="M67" s="13">
        <f t="shared" si="30"/>
        <v>22415.365283801031</v>
      </c>
      <c r="N67" s="13">
        <f t="shared" si="30"/>
        <v>24953.990457226017</v>
      </c>
    </row>
    <row r="68" spans="2:14" x14ac:dyDescent="0.25">
      <c r="B68" t="s">
        <v>22</v>
      </c>
      <c r="I68" s="44"/>
    </row>
    <row r="69" spans="2:14" x14ac:dyDescent="0.25">
      <c r="B69" t="s">
        <v>84</v>
      </c>
      <c r="H69" s="13">
        <f>SUM(G42:G44)-SUM(H42:H44)</f>
        <v>-1499.8999999999996</v>
      </c>
      <c r="I69" s="47">
        <f t="shared" ref="I69:N69" si="31">SUM(H42:H44)-SUM(I42:I44)</f>
        <v>-478.80000000000109</v>
      </c>
      <c r="J69" s="13">
        <f t="shared" si="31"/>
        <v>-3376.3500000000022</v>
      </c>
      <c r="K69" s="13">
        <f t="shared" si="31"/>
        <v>-4131.3666000000012</v>
      </c>
      <c r="L69" s="13">
        <f t="shared" si="31"/>
        <v>-5057.7684008750039</v>
      </c>
      <c r="M69" s="13">
        <f t="shared" si="31"/>
        <v>-6164.2264101968758</v>
      </c>
      <c r="N69" s="13">
        <f t="shared" si="31"/>
        <v>-7547.2380958509384</v>
      </c>
    </row>
    <row r="70" spans="2:14" x14ac:dyDescent="0.25">
      <c r="B70" t="s">
        <v>85</v>
      </c>
      <c r="H70" s="13">
        <f>SUM(H49:H50)-SUM(G49:G50)</f>
        <v>4766.4000000000051</v>
      </c>
      <c r="I70" s="47">
        <f t="shared" ref="I70:N70" si="32">SUM(I49:I50)-SUM(H49:H50)</f>
        <v>-2391.3000000000029</v>
      </c>
      <c r="J70" s="13">
        <f t="shared" si="32"/>
        <v>6091.1650000000081</v>
      </c>
      <c r="K70" s="13">
        <f t="shared" si="32"/>
        <v>8413.9787749999959</v>
      </c>
      <c r="L70" s="13">
        <f t="shared" si="32"/>
        <v>11496.717381499999</v>
      </c>
      <c r="M70" s="13">
        <f t="shared" si="32"/>
        <v>15043.012512255009</v>
      </c>
      <c r="N70" s="13">
        <f t="shared" si="32"/>
        <v>20165.99399559517</v>
      </c>
    </row>
    <row r="71" spans="2:14" x14ac:dyDescent="0.25">
      <c r="B71" t="s">
        <v>86</v>
      </c>
      <c r="H71" s="13">
        <f>G46-H46</f>
        <v>-1326.6000000000004</v>
      </c>
      <c r="I71" s="47">
        <f t="shared" ref="I71:N71" si="33">H46-I46</f>
        <v>-1821.8999999999996</v>
      </c>
      <c r="J71" s="13">
        <f t="shared" si="33"/>
        <v>-1825.9350000000013</v>
      </c>
      <c r="K71" s="13">
        <f t="shared" si="33"/>
        <v>-2522.2397249999995</v>
      </c>
      <c r="L71" s="13">
        <f t="shared" si="33"/>
        <v>-3446.3454285000007</v>
      </c>
      <c r="M71" s="13">
        <f t="shared" si="33"/>
        <v>-4509.4104414450012</v>
      </c>
      <c r="N71" s="13">
        <f t="shared" si="33"/>
        <v>-6045.115219559324</v>
      </c>
    </row>
    <row r="72" spans="2:14" x14ac:dyDescent="0.25">
      <c r="B72" t="s">
        <v>44</v>
      </c>
      <c r="H72" s="13">
        <f>H54-G54</f>
        <v>-87.199999999999818</v>
      </c>
      <c r="I72" s="47">
        <f t="shared" ref="I72:N72" si="34">I54-H54</f>
        <v>17.300000000000182</v>
      </c>
      <c r="J72" s="13">
        <f t="shared" si="34"/>
        <v>1477.6400000000012</v>
      </c>
      <c r="K72" s="13">
        <f t="shared" si="34"/>
        <v>2041.125399999999</v>
      </c>
      <c r="L72" s="13">
        <f t="shared" si="34"/>
        <v>2788.9590040000003</v>
      </c>
      <c r="M72" s="13">
        <f t="shared" si="34"/>
        <v>3649.2455890800011</v>
      </c>
      <c r="N72" s="13">
        <f t="shared" si="34"/>
        <v>4892.0164480277999</v>
      </c>
    </row>
    <row r="73" spans="2:14" x14ac:dyDescent="0.25">
      <c r="B73" s="2" t="s">
        <v>87</v>
      </c>
      <c r="G73" s="6"/>
      <c r="H73" s="6">
        <f t="shared" ref="H73:N73" si="35">SUM(H66:H72)</f>
        <v>48416.9</v>
      </c>
      <c r="I73" s="43">
        <f t="shared" si="35"/>
        <v>39235.299999999996</v>
      </c>
      <c r="J73" s="6">
        <f t="shared" si="35"/>
        <v>61315.138541999069</v>
      </c>
      <c r="K73" s="6">
        <f t="shared" si="35"/>
        <v>73545.878190359057</v>
      </c>
      <c r="L73" s="6">
        <f t="shared" si="35"/>
        <v>90228.66490208864</v>
      </c>
      <c r="M73" s="6">
        <f t="shared" si="35"/>
        <v>111662.71117528062</v>
      </c>
      <c r="N73" s="6">
        <f t="shared" si="35"/>
        <v>140798.55875013431</v>
      </c>
    </row>
    <row r="74" spans="2:14" x14ac:dyDescent="0.25">
      <c r="I74" s="44"/>
    </row>
    <row r="75" spans="2:14" x14ac:dyDescent="0.25">
      <c r="B75" t="s">
        <v>80</v>
      </c>
      <c r="G75" s="5"/>
      <c r="H75" s="5">
        <f>-H90</f>
        <v>-35232</v>
      </c>
      <c r="I75" s="42">
        <f>-I90</f>
        <v>-30448</v>
      </c>
      <c r="J75" s="5">
        <f t="shared" ref="J75:N75" si="36">-J90</f>
        <v>-31052</v>
      </c>
      <c r="K75" s="5">
        <f t="shared" si="36"/>
        <v>-31052</v>
      </c>
      <c r="L75" s="5">
        <f t="shared" si="36"/>
        <v>-31052</v>
      </c>
      <c r="M75" s="5">
        <f t="shared" si="36"/>
        <v>-31052</v>
      </c>
      <c r="N75" s="5">
        <f t="shared" si="36"/>
        <v>-31052</v>
      </c>
    </row>
    <row r="76" spans="2:14" x14ac:dyDescent="0.25">
      <c r="B76" s="2" t="s">
        <v>88</v>
      </c>
      <c r="G76" s="6"/>
      <c r="H76" s="6">
        <f t="shared" ref="H76:I76" si="37">SUM(H75)</f>
        <v>-35232</v>
      </c>
      <c r="I76" s="43">
        <f t="shared" si="37"/>
        <v>-30448</v>
      </c>
      <c r="J76" s="6">
        <f t="shared" ref="J76" si="38">SUM(J75)</f>
        <v>-31052</v>
      </c>
      <c r="K76" s="6">
        <f t="shared" ref="K76" si="39">SUM(K75)</f>
        <v>-31052</v>
      </c>
      <c r="L76" s="6">
        <f t="shared" ref="L76" si="40">SUM(L75)</f>
        <v>-31052</v>
      </c>
      <c r="M76" s="6">
        <f t="shared" ref="M76" si="41">SUM(M75)</f>
        <v>-31052</v>
      </c>
      <c r="N76" s="6">
        <f t="shared" ref="N76" si="42">SUM(N75)</f>
        <v>-31052</v>
      </c>
    </row>
    <row r="77" spans="2:14" x14ac:dyDescent="0.25">
      <c r="I77" s="44"/>
    </row>
    <row r="78" spans="2:14" x14ac:dyDescent="0.25">
      <c r="B78" t="s">
        <v>89</v>
      </c>
      <c r="H78" s="13">
        <f>H53-G53</f>
        <v>5193.5999999999985</v>
      </c>
      <c r="I78" s="47">
        <f t="shared" ref="I78:N78" si="43">I53-H53</f>
        <v>2417.7000000000007</v>
      </c>
      <c r="J78" s="13">
        <f t="shared" si="43"/>
        <v>0</v>
      </c>
      <c r="K78" s="13">
        <f t="shared" si="43"/>
        <v>0</v>
      </c>
      <c r="L78" s="13">
        <f t="shared" si="43"/>
        <v>0</v>
      </c>
      <c r="M78" s="13">
        <f t="shared" si="43"/>
        <v>0</v>
      </c>
      <c r="N78" s="13">
        <f t="shared" si="43"/>
        <v>0</v>
      </c>
    </row>
    <row r="79" spans="2:14" x14ac:dyDescent="0.25">
      <c r="B79" t="s">
        <v>90</v>
      </c>
      <c r="H79" s="13">
        <f>H52-G52</f>
        <v>0</v>
      </c>
      <c r="I79" s="47">
        <f t="shared" ref="I79:N79" si="44">I52-H52</f>
        <v>0</v>
      </c>
      <c r="J79" s="13">
        <f t="shared" si="44"/>
        <v>0</v>
      </c>
      <c r="K79" s="13">
        <f t="shared" si="44"/>
        <v>0</v>
      </c>
      <c r="L79" s="13">
        <f t="shared" si="44"/>
        <v>0</v>
      </c>
      <c r="M79" s="13">
        <f t="shared" si="44"/>
        <v>0</v>
      </c>
      <c r="N79" s="13">
        <f t="shared" si="44"/>
        <v>0</v>
      </c>
    </row>
    <row r="80" spans="2:14" x14ac:dyDescent="0.25">
      <c r="B80" t="s">
        <v>91</v>
      </c>
      <c r="H80" s="13">
        <f>H111</f>
        <v>-6665.6999999999825</v>
      </c>
      <c r="I80" s="47">
        <f t="shared" ref="I80" si="45">I111</f>
        <v>-9348.6000000000058</v>
      </c>
    </row>
    <row r="81" spans="1:18" x14ac:dyDescent="0.25">
      <c r="B81" t="s">
        <v>92</v>
      </c>
      <c r="H81" s="13">
        <f>H110</f>
        <v>-9282</v>
      </c>
      <c r="I81" s="47">
        <f t="shared" ref="I81:N81" si="46">I110</f>
        <v>-9352</v>
      </c>
      <c r="J81" s="13">
        <f t="shared" si="46"/>
        <v>-9352</v>
      </c>
      <c r="K81" s="13">
        <f t="shared" si="46"/>
        <v>-9352</v>
      </c>
      <c r="L81" s="13">
        <f t="shared" si="46"/>
        <v>-9352</v>
      </c>
      <c r="M81" s="13">
        <f t="shared" si="46"/>
        <v>-9352</v>
      </c>
      <c r="N81" s="13">
        <f t="shared" si="46"/>
        <v>-9352</v>
      </c>
    </row>
    <row r="82" spans="1:18" x14ac:dyDescent="0.25">
      <c r="B82" s="2" t="s">
        <v>93</v>
      </c>
      <c r="G82" s="2"/>
      <c r="H82" s="6">
        <f t="shared" ref="H82:N82" si="47">SUM(H78:H81)</f>
        <v>-10754.099999999984</v>
      </c>
      <c r="I82" s="43">
        <f t="shared" si="47"/>
        <v>-16282.900000000005</v>
      </c>
      <c r="J82" s="6">
        <f t="shared" si="47"/>
        <v>-9352</v>
      </c>
      <c r="K82" s="6">
        <f t="shared" si="47"/>
        <v>-9352</v>
      </c>
      <c r="L82" s="6">
        <f t="shared" si="47"/>
        <v>-9352</v>
      </c>
      <c r="M82" s="6">
        <f t="shared" si="47"/>
        <v>-9352</v>
      </c>
      <c r="N82" s="6">
        <f t="shared" si="47"/>
        <v>-9352</v>
      </c>
    </row>
    <row r="83" spans="1:18" x14ac:dyDescent="0.25">
      <c r="I83" s="44"/>
    </row>
    <row r="84" spans="1:18" x14ac:dyDescent="0.25">
      <c r="B84" s="2" t="s">
        <v>94</v>
      </c>
      <c r="G84" s="6"/>
      <c r="H84" s="6">
        <f t="shared" ref="H84:N84" si="48">H82+H76+H73</f>
        <v>2430.8000000000175</v>
      </c>
      <c r="I84" s="43">
        <f t="shared" si="48"/>
        <v>-7495.6000000000131</v>
      </c>
      <c r="J84" s="6">
        <f t="shared" si="48"/>
        <v>20911.138541999069</v>
      </c>
      <c r="K84" s="6">
        <f t="shared" si="48"/>
        <v>33141.878190359057</v>
      </c>
      <c r="L84" s="6">
        <f t="shared" si="48"/>
        <v>49824.66490208864</v>
      </c>
      <c r="M84" s="6">
        <f t="shared" si="48"/>
        <v>71258.711175280623</v>
      </c>
      <c r="N84" s="6">
        <f t="shared" si="48"/>
        <v>100394.55875013431</v>
      </c>
    </row>
    <row r="86" spans="1:18" x14ac:dyDescent="0.25">
      <c r="A86" t="s">
        <v>26</v>
      </c>
      <c r="B86" s="9" t="s">
        <v>54</v>
      </c>
      <c r="C86" s="8"/>
      <c r="D86" s="8"/>
      <c r="E86" s="8"/>
      <c r="F86" s="8"/>
      <c r="G86" s="8"/>
      <c r="H86" s="8"/>
      <c r="I86" s="8"/>
      <c r="J86" s="8"/>
      <c r="K86" s="8"/>
      <c r="L86" s="8"/>
      <c r="M86" s="8"/>
      <c r="N86" s="8"/>
    </row>
    <row r="87" spans="1:18" x14ac:dyDescent="0.25">
      <c r="B87" s="17"/>
      <c r="C87" s="17"/>
      <c r="D87" s="17"/>
      <c r="E87" s="17"/>
      <c r="F87" s="17"/>
      <c r="G87" s="18">
        <v>44561</v>
      </c>
      <c r="H87" s="18">
        <f t="shared" ref="H87:N87" si="49">EOMONTH(G87,12)</f>
        <v>44926</v>
      </c>
      <c r="I87" s="18">
        <f t="shared" si="49"/>
        <v>45291</v>
      </c>
      <c r="J87" s="18">
        <f t="shared" si="49"/>
        <v>45657</v>
      </c>
      <c r="K87" s="18">
        <f t="shared" si="49"/>
        <v>46022</v>
      </c>
      <c r="L87" s="18">
        <f t="shared" si="49"/>
        <v>46387</v>
      </c>
      <c r="M87" s="18">
        <f t="shared" si="49"/>
        <v>46752</v>
      </c>
      <c r="N87" s="18">
        <f t="shared" si="49"/>
        <v>47118</v>
      </c>
    </row>
    <row r="88" spans="1:18" x14ac:dyDescent="0.25">
      <c r="B88" s="36" t="s">
        <v>106</v>
      </c>
      <c r="C88" s="37"/>
      <c r="D88" s="37"/>
      <c r="E88" s="37"/>
      <c r="F88" s="37"/>
      <c r="G88" s="37"/>
      <c r="H88" s="37"/>
      <c r="I88" s="37"/>
      <c r="J88" s="37"/>
      <c r="K88" s="37"/>
      <c r="L88" s="37"/>
      <c r="M88" s="37"/>
      <c r="N88" s="37"/>
    </row>
    <row r="89" spans="1:18" x14ac:dyDescent="0.25">
      <c r="B89" s="3" t="s">
        <v>95</v>
      </c>
      <c r="G89" s="13"/>
      <c r="H89" s="13"/>
      <c r="I89" s="41"/>
      <c r="J89" s="13">
        <f t="shared" ref="I89:N89" si="50">I92</f>
        <v>99667</v>
      </c>
      <c r="K89" s="13">
        <f t="shared" si="50"/>
        <v>117131.60640440094</v>
      </c>
      <c r="L89" s="13">
        <f t="shared" si="50"/>
        <v>134460.3388728459</v>
      </c>
      <c r="M89" s="13">
        <f t="shared" si="50"/>
        <v>151651.83866597529</v>
      </c>
      <c r="N89" s="13">
        <f t="shared" si="50"/>
        <v>168704.733457036</v>
      </c>
    </row>
    <row r="90" spans="1:18" x14ac:dyDescent="0.25">
      <c r="B90" s="34" t="s">
        <v>96</v>
      </c>
      <c r="G90" s="5">
        <v>30252</v>
      </c>
      <c r="H90" s="5">
        <v>35232</v>
      </c>
      <c r="I90" s="42">
        <v>30448</v>
      </c>
      <c r="J90" s="5">
        <v>31052</v>
      </c>
      <c r="K90" s="5">
        <v>31052</v>
      </c>
      <c r="L90" s="5">
        <v>31052</v>
      </c>
      <c r="M90" s="5">
        <v>31052</v>
      </c>
      <c r="N90" s="5">
        <v>31052</v>
      </c>
      <c r="P90" s="19"/>
      <c r="Q90" s="19"/>
      <c r="R90" s="19"/>
    </row>
    <row r="91" spans="1:18" x14ac:dyDescent="0.25">
      <c r="B91" s="34" t="s">
        <v>97</v>
      </c>
      <c r="G91" s="5">
        <v>-13191.19</v>
      </c>
      <c r="H91" s="5">
        <v>-12727.84</v>
      </c>
      <c r="I91" s="42">
        <v>-13191.19</v>
      </c>
      <c r="J91" s="13">
        <f>-J90*J94</f>
        <v>-13587.393595599056</v>
      </c>
      <c r="K91" s="13">
        <f t="shared" ref="K91:N91" si="51">-K90*K94</f>
        <v>-13723.267531555046</v>
      </c>
      <c r="L91" s="13">
        <f t="shared" si="51"/>
        <v>-13860.500206870596</v>
      </c>
      <c r="M91" s="13">
        <f t="shared" si="51"/>
        <v>-13999.105208939302</v>
      </c>
      <c r="N91" s="13">
        <f t="shared" si="51"/>
        <v>-14139.096261028695</v>
      </c>
    </row>
    <row r="92" spans="1:18" x14ac:dyDescent="0.25">
      <c r="B92" s="35" t="s">
        <v>98</v>
      </c>
      <c r="G92" s="6">
        <f>G45</f>
        <v>71201.100000000006</v>
      </c>
      <c r="H92" s="6">
        <f t="shared" ref="H92:I92" si="52">H45</f>
        <v>87661.5</v>
      </c>
      <c r="I92" s="43">
        <f t="shared" si="52"/>
        <v>99667</v>
      </c>
      <c r="J92" s="6">
        <f t="shared" ref="H92:N92" si="53">SUM(J89:J91)</f>
        <v>117131.60640440094</v>
      </c>
      <c r="K92" s="6">
        <f t="shared" si="53"/>
        <v>134460.3388728459</v>
      </c>
      <c r="L92" s="6">
        <f t="shared" si="53"/>
        <v>151651.83866597529</v>
      </c>
      <c r="M92" s="6">
        <f t="shared" si="53"/>
        <v>168704.733457036</v>
      </c>
      <c r="N92" s="6">
        <f t="shared" si="53"/>
        <v>185617.6371960073</v>
      </c>
    </row>
    <row r="93" spans="1:18" x14ac:dyDescent="0.25">
      <c r="I93" s="44"/>
      <c r="P93" s="39" t="s">
        <v>108</v>
      </c>
    </row>
    <row r="94" spans="1:18" x14ac:dyDescent="0.25">
      <c r="B94" s="3" t="s">
        <v>99</v>
      </c>
      <c r="G94" s="28">
        <f>-G91/G90</f>
        <v>0.43604356736744682</v>
      </c>
      <c r="H94" s="28">
        <f t="shared" ref="H94:I94" si="54">-H91/H90</f>
        <v>0.36125794732061761</v>
      </c>
      <c r="I94" s="45">
        <f t="shared" si="54"/>
        <v>0.43323666579085657</v>
      </c>
      <c r="J94" s="28">
        <f>I94*(1+$P$94)</f>
        <v>0.43756903244876516</v>
      </c>
      <c r="K94" s="28">
        <f t="shared" ref="K94:N94" si="55">J94*(1+$P$94)</f>
        <v>0.44194472277325281</v>
      </c>
      <c r="L94" s="28">
        <f t="shared" si="55"/>
        <v>0.44636417000098533</v>
      </c>
      <c r="M94" s="28">
        <f t="shared" si="55"/>
        <v>0.45082781170099517</v>
      </c>
      <c r="N94" s="28">
        <f t="shared" si="55"/>
        <v>0.45533608981800511</v>
      </c>
      <c r="P94" s="29">
        <v>0.01</v>
      </c>
    </row>
    <row r="95" spans="1:18" x14ac:dyDescent="0.25">
      <c r="B95" s="3"/>
    </row>
    <row r="96" spans="1:18" x14ac:dyDescent="0.25">
      <c r="B96" s="38" t="s">
        <v>105</v>
      </c>
      <c r="C96" s="17"/>
      <c r="D96" s="17"/>
      <c r="E96" s="17"/>
      <c r="F96" s="17"/>
      <c r="G96" s="17"/>
      <c r="H96" s="17"/>
      <c r="I96" s="17"/>
      <c r="J96" s="17"/>
      <c r="K96" s="17"/>
      <c r="L96" s="17"/>
      <c r="M96" s="17"/>
      <c r="N96" s="17"/>
    </row>
    <row r="97" spans="2:16" x14ac:dyDescent="0.25">
      <c r="B97" s="3" t="s">
        <v>55</v>
      </c>
      <c r="G97" s="13">
        <f>G99+G91</f>
        <v>2035.8099999999995</v>
      </c>
      <c r="H97" s="13">
        <f t="shared" ref="H97:I97" si="56">H91+H67</f>
        <v>1501.0599999999995</v>
      </c>
      <c r="I97" s="41">
        <f t="shared" si="56"/>
        <v>3868.8099999999995</v>
      </c>
      <c r="J97" s="13">
        <f>J11*J98</f>
        <v>4258.7085900000002</v>
      </c>
      <c r="K97" s="13">
        <f t="shared" ref="K97:N97" si="57">K11*K98</f>
        <v>5259.5051086499998</v>
      </c>
      <c r="L97" s="13">
        <f t="shared" si="57"/>
        <v>6626.976436899</v>
      </c>
      <c r="M97" s="13">
        <f t="shared" si="57"/>
        <v>8416.2600748617297</v>
      </c>
      <c r="N97" s="13">
        <f t="shared" si="57"/>
        <v>10814.894196197321</v>
      </c>
    </row>
    <row r="98" spans="2:16" x14ac:dyDescent="0.25">
      <c r="B98" s="21" t="s">
        <v>56</v>
      </c>
      <c r="G98" s="28">
        <f>G97/G11</f>
        <v>3.5575659504270864E-2</v>
      </c>
      <c r="H98" s="28">
        <f t="shared" ref="H98:I98" si="58">H97/H11</f>
        <v>2.0375347493701672E-2</v>
      </c>
      <c r="I98" s="45">
        <f t="shared" si="58"/>
        <v>5.5828595341856899E-2</v>
      </c>
      <c r="J98" s="28">
        <v>5.0999999999999997E-2</v>
      </c>
      <c r="K98" s="28">
        <v>5.0999999999999997E-2</v>
      </c>
      <c r="L98" s="28">
        <v>5.0999999999999997E-2</v>
      </c>
      <c r="M98" s="28">
        <v>5.0999999999999997E-2</v>
      </c>
      <c r="N98" s="28">
        <v>5.0999999999999997E-2</v>
      </c>
      <c r="P98" s="12"/>
    </row>
    <row r="99" spans="2:16" x14ac:dyDescent="0.25">
      <c r="B99" s="4" t="s">
        <v>57</v>
      </c>
      <c r="G99" s="6">
        <f t="shared" ref="G99:I99" si="59">G25</f>
        <v>15227</v>
      </c>
      <c r="H99" s="6">
        <f t="shared" si="59"/>
        <v>14228.9</v>
      </c>
      <c r="I99" s="43">
        <f t="shared" si="59"/>
        <v>17060</v>
      </c>
      <c r="J99" s="6">
        <f>-J91+J97</f>
        <v>17846.102185599055</v>
      </c>
      <c r="K99" s="6">
        <f t="shared" ref="K99:N99" si="60">-K91+K97</f>
        <v>18982.772640205047</v>
      </c>
      <c r="L99" s="6">
        <f t="shared" si="60"/>
        <v>20487.476643769594</v>
      </c>
      <c r="M99" s="6">
        <f t="shared" si="60"/>
        <v>22415.365283801031</v>
      </c>
      <c r="N99" s="6">
        <f t="shared" si="60"/>
        <v>24953.990457226017</v>
      </c>
    </row>
    <row r="101" spans="2:16" x14ac:dyDescent="0.25">
      <c r="B101" s="38" t="s">
        <v>37</v>
      </c>
      <c r="C101" s="17"/>
      <c r="D101" s="17"/>
      <c r="E101" s="17"/>
      <c r="F101" s="17"/>
      <c r="G101" s="17"/>
      <c r="H101" s="17"/>
      <c r="I101" s="17"/>
      <c r="J101" s="17"/>
      <c r="K101" s="17"/>
      <c r="L101" s="17"/>
      <c r="M101" s="17"/>
      <c r="N101" s="17"/>
    </row>
    <row r="102" spans="2:16" x14ac:dyDescent="0.25">
      <c r="B102" s="3" t="s">
        <v>95</v>
      </c>
      <c r="I102" s="46"/>
      <c r="J102" s="13">
        <f>I105</f>
        <v>8907</v>
      </c>
      <c r="K102" s="13">
        <f t="shared" ref="K102:N102" si="61">J105</f>
        <v>10732.935000000001</v>
      </c>
      <c r="L102" s="13">
        <f t="shared" si="61"/>
        <v>13255.174725000001</v>
      </c>
      <c r="M102" s="13">
        <f t="shared" si="61"/>
        <v>16701.520153500001</v>
      </c>
      <c r="N102" s="13">
        <f t="shared" si="61"/>
        <v>21210.930594945003</v>
      </c>
    </row>
    <row r="103" spans="2:16" x14ac:dyDescent="0.25">
      <c r="B103" s="21" t="s">
        <v>100</v>
      </c>
      <c r="G103" s="13"/>
      <c r="I103" s="44"/>
      <c r="J103" s="13">
        <f>-J97</f>
        <v>-4258.7085900000002</v>
      </c>
      <c r="K103" s="13">
        <f t="shared" ref="K103:N103" si="62">-K97</f>
        <v>-5259.5051086499998</v>
      </c>
      <c r="L103" s="13">
        <f t="shared" si="62"/>
        <v>-6626.976436899</v>
      </c>
      <c r="M103" s="13">
        <f t="shared" si="62"/>
        <v>-8416.2600748617297</v>
      </c>
      <c r="N103" s="13">
        <f t="shared" si="62"/>
        <v>-10814.894196197321</v>
      </c>
    </row>
    <row r="104" spans="2:16" x14ac:dyDescent="0.25">
      <c r="B104" s="21" t="s">
        <v>101</v>
      </c>
      <c r="I104" s="44"/>
      <c r="J104" s="13">
        <f>J102-J103-J105</f>
        <v>2432.7735899999989</v>
      </c>
      <c r="K104" s="13">
        <f t="shared" ref="K104:N104" si="63">K102-K103-K105</f>
        <v>2737.2653836499994</v>
      </c>
      <c r="L104" s="13">
        <f t="shared" si="63"/>
        <v>3180.6310083989993</v>
      </c>
      <c r="M104" s="13">
        <f t="shared" si="63"/>
        <v>3906.8496334167285</v>
      </c>
      <c r="N104" s="13">
        <f t="shared" si="63"/>
        <v>4769.7789766379974</v>
      </c>
    </row>
    <row r="105" spans="2:16" x14ac:dyDescent="0.25">
      <c r="B105" s="35" t="s">
        <v>98</v>
      </c>
      <c r="G105" s="13"/>
      <c r="H105" s="6">
        <f t="shared" ref="H105:I105" si="64">H46</f>
        <v>7085.1</v>
      </c>
      <c r="I105" s="43">
        <f t="shared" si="64"/>
        <v>8907</v>
      </c>
      <c r="J105" s="6">
        <f>J46</f>
        <v>10732.935000000001</v>
      </c>
      <c r="K105" s="6">
        <f t="shared" ref="K105:N105" si="65">K46</f>
        <v>13255.174725000001</v>
      </c>
      <c r="L105" s="6">
        <f t="shared" si="65"/>
        <v>16701.520153500001</v>
      </c>
      <c r="M105" s="6">
        <f t="shared" si="65"/>
        <v>21210.930594945003</v>
      </c>
      <c r="N105" s="6">
        <f t="shared" si="65"/>
        <v>27256.045814504327</v>
      </c>
    </row>
    <row r="107" spans="2:16" x14ac:dyDescent="0.25">
      <c r="B107" s="38" t="s">
        <v>107</v>
      </c>
      <c r="C107" s="17"/>
      <c r="D107" s="17"/>
      <c r="E107" s="17"/>
      <c r="F107" s="17"/>
      <c r="G107" s="17"/>
      <c r="H107" s="17"/>
      <c r="I107" s="17"/>
      <c r="J107" s="17"/>
      <c r="K107" s="17"/>
      <c r="L107" s="17"/>
      <c r="M107" s="17"/>
      <c r="N107" s="17"/>
    </row>
    <row r="108" spans="2:16" x14ac:dyDescent="0.25">
      <c r="B108" s="3" t="s">
        <v>95</v>
      </c>
      <c r="G108" s="13"/>
      <c r="H108" s="13">
        <f>G112</f>
        <v>68054</v>
      </c>
      <c r="I108" s="41">
        <f t="shared" ref="I108" si="66">H112</f>
        <v>84441.600000000006</v>
      </c>
      <c r="J108" s="13">
        <f>I112</f>
        <v>92591</v>
      </c>
      <c r="K108" s="13">
        <f t="shared" ref="K108:N108" si="67">J112</f>
        <v>124341.51635640001</v>
      </c>
      <c r="L108" s="13">
        <f t="shared" si="67"/>
        <v>165751.12405655402</v>
      </c>
      <c r="M108" s="13">
        <f t="shared" si="67"/>
        <v>220358.74975874808</v>
      </c>
      <c r="N108" s="13">
        <f t="shared" si="67"/>
        <v>292235.47440053453</v>
      </c>
    </row>
    <row r="109" spans="2:16" x14ac:dyDescent="0.25">
      <c r="B109" s="21" t="s">
        <v>102</v>
      </c>
      <c r="G109" s="13">
        <f>G23</f>
        <v>21384.799999999999</v>
      </c>
      <c r="H109" s="13">
        <f t="shared" ref="H109:N109" si="68">H23</f>
        <v>32335.299999999988</v>
      </c>
      <c r="I109" s="47">
        <f t="shared" si="68"/>
        <v>26850</v>
      </c>
      <c r="J109" s="13">
        <f t="shared" si="68"/>
        <v>41102.51635640001</v>
      </c>
      <c r="K109" s="13">
        <f t="shared" si="68"/>
        <v>50761.607700154003</v>
      </c>
      <c r="L109" s="13">
        <f t="shared" si="68"/>
        <v>63959.625702194055</v>
      </c>
      <c r="M109" s="13">
        <f t="shared" si="68"/>
        <v>81228.724641786452</v>
      </c>
      <c r="N109" s="13">
        <f t="shared" si="68"/>
        <v>104378.91116469557</v>
      </c>
    </row>
    <row r="110" spans="2:16" x14ac:dyDescent="0.25">
      <c r="B110" s="21" t="s">
        <v>103</v>
      </c>
      <c r="G110" s="5">
        <v>-9581.2999999999993</v>
      </c>
      <c r="H110" s="5">
        <v>-9282</v>
      </c>
      <c r="I110" s="42">
        <v>-9352</v>
      </c>
      <c r="J110" s="13">
        <f>I110</f>
        <v>-9352</v>
      </c>
      <c r="K110" s="13">
        <f t="shared" ref="K110:N110" si="69">J110</f>
        <v>-9352</v>
      </c>
      <c r="L110" s="13">
        <f t="shared" si="69"/>
        <v>-9352</v>
      </c>
      <c r="M110" s="13">
        <f t="shared" si="69"/>
        <v>-9352</v>
      </c>
      <c r="N110" s="13">
        <f t="shared" si="69"/>
        <v>-9352</v>
      </c>
    </row>
    <row r="111" spans="2:16" x14ac:dyDescent="0.25">
      <c r="B111" s="21" t="s">
        <v>104</v>
      </c>
      <c r="G111" s="13"/>
      <c r="H111" s="13">
        <f>H112-SUM(H108:H110)</f>
        <v>-6665.6999999999825</v>
      </c>
      <c r="I111" s="47">
        <f t="shared" ref="I111" si="70">I112-SUM(I108:I110)</f>
        <v>-9348.6000000000058</v>
      </c>
    </row>
    <row r="112" spans="2:16" x14ac:dyDescent="0.25">
      <c r="B112" s="35" t="s">
        <v>98</v>
      </c>
      <c r="G112" s="6">
        <f>G58</f>
        <v>68054</v>
      </c>
      <c r="H112" s="6">
        <f t="shared" ref="H112:I112" si="71">H58</f>
        <v>84441.600000000006</v>
      </c>
      <c r="I112" s="43">
        <f t="shared" si="71"/>
        <v>92591</v>
      </c>
      <c r="J112" s="6">
        <f>SUM(J108:J111)</f>
        <v>124341.51635640001</v>
      </c>
      <c r="K112" s="6">
        <f t="shared" ref="K112:N112" si="72">SUM(K108:K111)</f>
        <v>165751.12405655402</v>
      </c>
      <c r="L112" s="6">
        <f t="shared" si="72"/>
        <v>220358.74975874808</v>
      </c>
      <c r="M112" s="6">
        <f t="shared" si="72"/>
        <v>292235.47440053453</v>
      </c>
      <c r="N112" s="6">
        <f t="shared" si="72"/>
        <v>387262.3855652301</v>
      </c>
    </row>
    <row r="113" spans="8:8" x14ac:dyDescent="0.25">
      <c r="H113" s="13"/>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89435-0DA4-4035-BCED-E59CE98B239F}">
  <dimension ref="A1:N81"/>
  <sheetViews>
    <sheetView showGridLines="0" tabSelected="1" topLeftCell="A49" workbookViewId="0">
      <selection activeCell="D83" sqref="D83"/>
    </sheetView>
  </sheetViews>
  <sheetFormatPr defaultRowHeight="15" x14ac:dyDescent="0.25"/>
  <cols>
    <col min="1" max="1" width="2.7109375" customWidth="1"/>
    <col min="7" max="14" width="10.7109375" bestFit="1" customWidth="1"/>
  </cols>
  <sheetData>
    <row r="1" spans="1:14" x14ac:dyDescent="0.25">
      <c r="A1" s="1"/>
    </row>
    <row r="2" spans="1:14" ht="19.5" x14ac:dyDescent="0.3">
      <c r="A2" t="s">
        <v>26</v>
      </c>
      <c r="B2" s="32" t="e" vm="1">
        <v>#VALUE!</v>
      </c>
      <c r="C2" s="8"/>
      <c r="D2" s="8"/>
      <c r="E2" s="8"/>
      <c r="F2" s="8"/>
      <c r="G2" s="8"/>
      <c r="H2" s="8"/>
      <c r="I2" s="8"/>
      <c r="J2" s="8"/>
      <c r="K2" s="8"/>
      <c r="L2" s="8"/>
      <c r="M2" s="8"/>
      <c r="N2" s="8"/>
    </row>
    <row r="3" spans="1:14" x14ac:dyDescent="0.25">
      <c r="B3" s="27" t="s">
        <v>0</v>
      </c>
      <c r="C3" s="27"/>
      <c r="D3" s="27"/>
      <c r="E3" s="27"/>
      <c r="F3" s="27"/>
      <c r="G3" s="27"/>
      <c r="H3" s="27"/>
      <c r="I3" s="27"/>
      <c r="J3" s="27"/>
      <c r="K3" s="27"/>
      <c r="L3" s="27"/>
      <c r="M3" s="27"/>
      <c r="N3" s="27"/>
    </row>
    <row r="5" spans="1:14" x14ac:dyDescent="0.25">
      <c r="B5" t="s">
        <v>1</v>
      </c>
      <c r="G5" s="10">
        <v>45291</v>
      </c>
      <c r="I5" t="s">
        <v>63</v>
      </c>
      <c r="L5" s="23">
        <f>WACC!E15</f>
        <v>0.10032080000000002</v>
      </c>
    </row>
    <row r="6" spans="1:14" x14ac:dyDescent="0.25">
      <c r="B6" t="s">
        <v>2</v>
      </c>
      <c r="G6" s="8"/>
      <c r="I6" t="s">
        <v>9</v>
      </c>
      <c r="L6" s="30" cm="1">
        <f t="array" ref="L6">_FV(B2,"Previous close",TRUE)</f>
        <v>113.03</v>
      </c>
    </row>
    <row r="7" spans="1:14" x14ac:dyDescent="0.25">
      <c r="B7" t="s">
        <v>3</v>
      </c>
      <c r="G7" s="10">
        <v>45291</v>
      </c>
      <c r="I7" t="s">
        <v>6</v>
      </c>
      <c r="L7" s="10">
        <f ca="1">TODAY()</f>
        <v>45311</v>
      </c>
    </row>
    <row r="8" spans="1:14" x14ac:dyDescent="0.25">
      <c r="B8" t="s">
        <v>4</v>
      </c>
      <c r="G8" s="10">
        <f ca="1">TODAY()</f>
        <v>45311</v>
      </c>
    </row>
    <row r="9" spans="1:14" x14ac:dyDescent="0.25">
      <c r="B9" t="s">
        <v>5</v>
      </c>
      <c r="G9" s="22">
        <f ca="1">(G8-G7)/365</f>
        <v>5.4794520547945202E-2</v>
      </c>
    </row>
    <row r="11" spans="1:14" x14ac:dyDescent="0.25">
      <c r="A11" t="s">
        <v>26</v>
      </c>
      <c r="B11" s="9" t="s">
        <v>51</v>
      </c>
      <c r="C11" s="8"/>
      <c r="D11" s="8"/>
      <c r="E11" s="8"/>
      <c r="F11" s="8"/>
      <c r="G11" s="8"/>
      <c r="H11" s="8"/>
      <c r="I11" s="8"/>
      <c r="J11" s="8"/>
      <c r="K11" s="8"/>
      <c r="L11" s="8"/>
      <c r="M11" s="8"/>
      <c r="N11" s="8"/>
    </row>
    <row r="12" spans="1:14" x14ac:dyDescent="0.25">
      <c r="B12" s="15" t="s">
        <v>122</v>
      </c>
      <c r="C12" s="15"/>
      <c r="D12" s="15"/>
      <c r="E12" s="15"/>
      <c r="F12" s="15"/>
      <c r="G12" s="15"/>
      <c r="H12" s="15"/>
      <c r="I12" s="15"/>
      <c r="J12" s="15">
        <v>1</v>
      </c>
      <c r="K12" s="15">
        <f>J12+1</f>
        <v>2</v>
      </c>
      <c r="L12" s="15">
        <f t="shared" ref="L12:N12" si="0">K12+1</f>
        <v>3</v>
      </c>
      <c r="M12" s="15">
        <f t="shared" si="0"/>
        <v>4</v>
      </c>
      <c r="N12" s="15">
        <f t="shared" si="0"/>
        <v>5</v>
      </c>
    </row>
    <row r="13" spans="1:14" x14ac:dyDescent="0.25">
      <c r="B13" s="17"/>
      <c r="C13" s="17"/>
      <c r="D13" s="17"/>
      <c r="E13" s="17"/>
      <c r="F13" s="17"/>
      <c r="G13" s="18">
        <v>44561</v>
      </c>
      <c r="H13" s="18">
        <f t="shared" ref="H13:N13" si="1">EOMONTH(G13,12)</f>
        <v>44926</v>
      </c>
      <c r="I13" s="18">
        <f t="shared" si="1"/>
        <v>45291</v>
      </c>
      <c r="J13" s="18">
        <f t="shared" si="1"/>
        <v>45657</v>
      </c>
      <c r="K13" s="18">
        <f t="shared" si="1"/>
        <v>46022</v>
      </c>
      <c r="L13" s="18">
        <f t="shared" si="1"/>
        <v>46387</v>
      </c>
      <c r="M13" s="18">
        <f t="shared" si="1"/>
        <v>46752</v>
      </c>
      <c r="N13" s="18">
        <f t="shared" si="1"/>
        <v>47118</v>
      </c>
    </row>
    <row r="14" spans="1:14" x14ac:dyDescent="0.25">
      <c r="B14" s="2" t="s">
        <v>11</v>
      </c>
      <c r="G14" s="26">
        <f>Historicals!G11</f>
        <v>57224.800000000003</v>
      </c>
      <c r="H14" s="26">
        <f>Historicals!H11</f>
        <v>73670.399999999994</v>
      </c>
      <c r="I14" s="49">
        <f>Historicals!I11</f>
        <v>69298</v>
      </c>
      <c r="J14" s="26">
        <f>Historicals!J11</f>
        <v>83504.090000000011</v>
      </c>
      <c r="K14" s="26">
        <f>Historicals!K11</f>
        <v>103127.55115</v>
      </c>
      <c r="L14" s="26">
        <f>Historicals!L11</f>
        <v>129940.71444900001</v>
      </c>
      <c r="M14" s="26">
        <f>Historicals!M11</f>
        <v>165024.70735023002</v>
      </c>
      <c r="N14" s="26">
        <f>Historicals!N11</f>
        <v>212056.74894504555</v>
      </c>
    </row>
    <row r="15" spans="1:14" x14ac:dyDescent="0.25">
      <c r="B15" s="15" t="s">
        <v>64</v>
      </c>
      <c r="C15" s="15"/>
      <c r="D15" s="15"/>
      <c r="E15" s="15"/>
      <c r="F15" s="15"/>
      <c r="G15" s="15"/>
      <c r="H15" s="25">
        <f>(H14/G14)-1</f>
        <v>0.28738588863569614</v>
      </c>
      <c r="I15" s="50">
        <f t="shared" ref="I15:N15" si="2">(I14/H14)-1</f>
        <v>-5.9350838328555255E-2</v>
      </c>
      <c r="J15" s="25">
        <f t="shared" si="2"/>
        <v>0.20500000000000007</v>
      </c>
      <c r="K15" s="25">
        <f t="shared" si="2"/>
        <v>0.23499999999999988</v>
      </c>
      <c r="L15" s="25">
        <f t="shared" si="2"/>
        <v>0.26</v>
      </c>
      <c r="M15" s="25">
        <f t="shared" si="2"/>
        <v>0.27</v>
      </c>
      <c r="N15" s="25">
        <f t="shared" si="2"/>
        <v>0.28499999999999992</v>
      </c>
    </row>
    <row r="16" spans="1:14" x14ac:dyDescent="0.25">
      <c r="I16" s="44"/>
    </row>
    <row r="17" spans="2:14" x14ac:dyDescent="0.25">
      <c r="B17" s="2" t="s">
        <v>14</v>
      </c>
      <c r="G17" s="26">
        <f>Historicals!G26</f>
        <v>38670.199999999997</v>
      </c>
      <c r="H17" s="26">
        <f>Historicals!H26</f>
        <v>50728.999999999993</v>
      </c>
      <c r="I17" s="51">
        <f>Historicals!I26</f>
        <v>46593</v>
      </c>
      <c r="J17" s="26">
        <f>Historicals!J26</f>
        <v>54220.010465599065</v>
      </c>
      <c r="K17" s="26">
        <f>Historicals!K26</f>
        <v>63904.549366005049</v>
      </c>
      <c r="L17" s="26">
        <f>Historicals!L26</f>
        <v>77088.915318277606</v>
      </c>
      <c r="M17" s="26">
        <f>Historicals!M26</f>
        <v>94299.192400426211</v>
      </c>
      <c r="N17" s="26">
        <f>Historicals!N26</f>
        <v>117324.70830208935</v>
      </c>
    </row>
    <row r="18" spans="2:14" x14ac:dyDescent="0.25">
      <c r="B18" s="25" t="s">
        <v>65</v>
      </c>
      <c r="C18" s="25"/>
      <c r="D18" s="25"/>
      <c r="E18" s="25"/>
      <c r="F18" s="25"/>
      <c r="G18" s="25">
        <f>G17/G14</f>
        <v>0.67575946093302197</v>
      </c>
      <c r="H18" s="25">
        <f t="shared" ref="H18:N18" si="3">H17/H14</f>
        <v>0.68859406220137254</v>
      </c>
      <c r="I18" s="50">
        <f t="shared" si="3"/>
        <v>0.67235706658200811</v>
      </c>
      <c r="J18" s="25">
        <f t="shared" si="3"/>
        <v>0.64930963819375864</v>
      </c>
      <c r="K18" s="25">
        <f t="shared" si="3"/>
        <v>0.61966514916130677</v>
      </c>
      <c r="L18" s="25">
        <f t="shared" si="3"/>
        <v>0.59326220919413197</v>
      </c>
      <c r="M18" s="25">
        <f t="shared" si="3"/>
        <v>0.57142469097246229</v>
      </c>
      <c r="N18" s="25">
        <f t="shared" si="3"/>
        <v>0.55327033393544112</v>
      </c>
    </row>
    <row r="19" spans="2:14" x14ac:dyDescent="0.25">
      <c r="I19" s="44"/>
    </row>
    <row r="20" spans="2:14" x14ac:dyDescent="0.25">
      <c r="B20" s="2" t="s">
        <v>12</v>
      </c>
      <c r="G20" s="26">
        <f>Historicals!G16</f>
        <v>23443.200000000001</v>
      </c>
      <c r="H20" s="26">
        <f>Historicals!H16</f>
        <v>36500.099999999991</v>
      </c>
      <c r="I20" s="51">
        <f>Historicals!I16</f>
        <v>29533</v>
      </c>
      <c r="J20" s="26">
        <f>Historicals!J16</f>
        <v>36373.908280000011</v>
      </c>
      <c r="K20" s="26">
        <f>Historicals!K16</f>
        <v>44921.776725800002</v>
      </c>
      <c r="L20" s="26">
        <f>Historicals!L16</f>
        <v>56601.438674508012</v>
      </c>
      <c r="M20" s="26">
        <f>Historicals!M16</f>
        <v>71883.82711662518</v>
      </c>
      <c r="N20" s="26">
        <f>Historicals!N16</f>
        <v>92370.717844863335</v>
      </c>
    </row>
    <row r="21" spans="2:14" x14ac:dyDescent="0.25">
      <c r="B21" s="15" t="s">
        <v>65</v>
      </c>
      <c r="C21" s="15"/>
      <c r="D21" s="15"/>
      <c r="E21" s="15"/>
      <c r="F21" s="15"/>
      <c r="G21" s="25">
        <f>G20/G14</f>
        <v>0.40966853532035064</v>
      </c>
      <c r="H21" s="25">
        <f t="shared" ref="H21:N21" si="4">H20/H14</f>
        <v>0.49545136174094334</v>
      </c>
      <c r="I21" s="50">
        <f t="shared" si="4"/>
        <v>0.4261739155531184</v>
      </c>
      <c r="J21" s="25">
        <f t="shared" si="4"/>
        <v>0.43559433172674544</v>
      </c>
      <c r="K21" s="25">
        <f t="shared" si="4"/>
        <v>0.43559433172674539</v>
      </c>
      <c r="L21" s="25">
        <f t="shared" si="4"/>
        <v>0.43559433172674544</v>
      </c>
      <c r="M21" s="25">
        <f t="shared" si="4"/>
        <v>0.43559433172674544</v>
      </c>
      <c r="N21" s="25">
        <f t="shared" si="4"/>
        <v>0.43559433172674539</v>
      </c>
    </row>
    <row r="22" spans="2:14" x14ac:dyDescent="0.25">
      <c r="I22" s="44"/>
    </row>
    <row r="23" spans="2:14" x14ac:dyDescent="0.25">
      <c r="B23" t="s">
        <v>66</v>
      </c>
      <c r="G23" s="13">
        <f>G20*G24</f>
        <v>2479.2317741220554</v>
      </c>
      <c r="H23" s="13">
        <f t="shared" ref="H23:N23" si="5">H20*H24</f>
        <v>4808.7831589772777</v>
      </c>
      <c r="I23" s="47">
        <f t="shared" si="5"/>
        <v>4265.7836726890355</v>
      </c>
      <c r="J23" s="13">
        <f t="shared" si="5"/>
        <v>4728.6080764000017</v>
      </c>
      <c r="K23" s="13">
        <f t="shared" si="5"/>
        <v>5839.8309743540003</v>
      </c>
      <c r="L23" s="13">
        <f t="shared" si="5"/>
        <v>7358.1870276860418</v>
      </c>
      <c r="M23" s="13">
        <f t="shared" si="5"/>
        <v>9344.8975251612737</v>
      </c>
      <c r="N23" s="13">
        <f t="shared" si="5"/>
        <v>12008.193319832233</v>
      </c>
    </row>
    <row r="24" spans="2:14" x14ac:dyDescent="0.25">
      <c r="B24" s="21" t="s">
        <v>67</v>
      </c>
      <c r="G24" s="31">
        <f>Historicals!G37</f>
        <v>0.10575483611973004</v>
      </c>
      <c r="H24" s="31">
        <f>Historicals!H37</f>
        <v>0.13174712285657517</v>
      </c>
      <c r="I24" s="52">
        <f>Historicals!I37</f>
        <v>0.14444125800592678</v>
      </c>
      <c r="J24" s="31">
        <f>Historicals!J37</f>
        <v>0.13</v>
      </c>
      <c r="K24" s="31">
        <f>Historicals!K37</f>
        <v>0.13</v>
      </c>
      <c r="L24" s="31">
        <f>Historicals!L37</f>
        <v>0.13</v>
      </c>
      <c r="M24" s="31">
        <f>Historicals!M37</f>
        <v>0.13</v>
      </c>
      <c r="N24" s="31">
        <f>Historicals!N37</f>
        <v>0.13</v>
      </c>
    </row>
    <row r="25" spans="2:14" x14ac:dyDescent="0.25">
      <c r="I25" s="44"/>
    </row>
    <row r="26" spans="2:14" x14ac:dyDescent="0.25">
      <c r="B26" s="2" t="s">
        <v>68</v>
      </c>
      <c r="C26" s="2"/>
      <c r="D26" s="2"/>
      <c r="E26" s="2"/>
      <c r="F26" s="2"/>
      <c r="G26" s="6">
        <f>G20-G23</f>
        <v>20963.968225877947</v>
      </c>
      <c r="H26" s="6">
        <f t="shared" ref="H26:N26" si="6">H20-H23</f>
        <v>31691.316841022715</v>
      </c>
      <c r="I26" s="43">
        <f t="shared" si="6"/>
        <v>25267.216327310965</v>
      </c>
      <c r="J26" s="6">
        <f t="shared" si="6"/>
        <v>31645.300203600011</v>
      </c>
      <c r="K26" s="6">
        <f t="shared" si="6"/>
        <v>39081.945751446001</v>
      </c>
      <c r="L26" s="6">
        <f t="shared" si="6"/>
        <v>49243.251646821969</v>
      </c>
      <c r="M26" s="6">
        <f t="shared" si="6"/>
        <v>62538.929591463908</v>
      </c>
      <c r="N26" s="6">
        <f t="shared" si="6"/>
        <v>80362.524525031098</v>
      </c>
    </row>
    <row r="27" spans="2:14" x14ac:dyDescent="0.25">
      <c r="I27" s="44"/>
    </row>
    <row r="28" spans="2:14" x14ac:dyDescent="0.25">
      <c r="B28" t="s">
        <v>21</v>
      </c>
      <c r="G28" s="24">
        <f>Historicals!G25</f>
        <v>15227</v>
      </c>
      <c r="H28" s="24">
        <f>Historicals!H25</f>
        <v>14228.9</v>
      </c>
      <c r="I28" s="53">
        <f>Historicals!I25</f>
        <v>17060</v>
      </c>
      <c r="J28" s="24">
        <f>Historicals!J25</f>
        <v>17846.102185599055</v>
      </c>
      <c r="K28" s="24">
        <f>Historicals!K25</f>
        <v>18982.772640205047</v>
      </c>
      <c r="L28" s="24">
        <f>Historicals!L25</f>
        <v>20487.476643769594</v>
      </c>
      <c r="M28" s="24">
        <f>Historicals!M25</f>
        <v>22415.365283801031</v>
      </c>
      <c r="N28" s="24">
        <f>Historicals!N25</f>
        <v>24953.990457226017</v>
      </c>
    </row>
    <row r="29" spans="2:14" x14ac:dyDescent="0.25">
      <c r="B29" t="s">
        <v>79</v>
      </c>
      <c r="G29" s="13"/>
      <c r="H29" s="13"/>
      <c r="I29" s="47">
        <f>H35-I35</f>
        <v>-2870.100000000004</v>
      </c>
      <c r="J29" s="13">
        <f t="shared" ref="J29:N29" si="7">I35-J35</f>
        <v>2714.815000000006</v>
      </c>
      <c r="K29" s="13">
        <f t="shared" si="7"/>
        <v>4282.6121749999947</v>
      </c>
      <c r="L29" s="13">
        <f t="shared" si="7"/>
        <v>6438.9489806249949</v>
      </c>
      <c r="M29" s="13">
        <f t="shared" si="7"/>
        <v>8878.7861020581331</v>
      </c>
      <c r="N29" s="13">
        <f t="shared" si="7"/>
        <v>12618.755899744232</v>
      </c>
    </row>
    <row r="30" spans="2:14" x14ac:dyDescent="0.25">
      <c r="B30" t="s">
        <v>80</v>
      </c>
      <c r="G30" s="24">
        <f>Historicals!G75</f>
        <v>0</v>
      </c>
      <c r="H30" s="24">
        <f>Historicals!H75</f>
        <v>-35232</v>
      </c>
      <c r="I30" s="53">
        <f>Historicals!I75</f>
        <v>-30448</v>
      </c>
      <c r="J30" s="24">
        <f>Historicals!J75</f>
        <v>-31052</v>
      </c>
      <c r="K30" s="24">
        <f>Historicals!K75</f>
        <v>-31052</v>
      </c>
      <c r="L30" s="24">
        <f>Historicals!L75</f>
        <v>-31052</v>
      </c>
      <c r="M30" s="24">
        <f>Historicals!M75</f>
        <v>-31052</v>
      </c>
      <c r="N30" s="24">
        <f>Historicals!N75</f>
        <v>-31052</v>
      </c>
    </row>
    <row r="31" spans="2:14" x14ac:dyDescent="0.25">
      <c r="B31" s="33" t="s">
        <v>56</v>
      </c>
      <c r="G31" s="25">
        <f>G30/G14</f>
        <v>0</v>
      </c>
      <c r="H31" s="25">
        <f t="shared" ref="H31:N31" si="8">H30/H14</f>
        <v>-0.47823820693249941</v>
      </c>
      <c r="I31" s="50">
        <f t="shared" si="8"/>
        <v>-0.43937775981990823</v>
      </c>
      <c r="J31" s="25">
        <f t="shared" si="8"/>
        <v>-0.37186202496189102</v>
      </c>
      <c r="K31" s="25">
        <f t="shared" si="8"/>
        <v>-0.3011028542201547</v>
      </c>
      <c r="L31" s="25">
        <f t="shared" si="8"/>
        <v>-0.23897051922234502</v>
      </c>
      <c r="M31" s="25">
        <f t="shared" si="8"/>
        <v>-0.18816576316720079</v>
      </c>
      <c r="N31" s="25">
        <f t="shared" si="8"/>
        <v>-0.14643250051922241</v>
      </c>
    </row>
    <row r="32" spans="2:14" x14ac:dyDescent="0.25">
      <c r="I32" s="44"/>
    </row>
    <row r="33" spans="1:14" x14ac:dyDescent="0.25">
      <c r="B33" s="2" t="s">
        <v>81</v>
      </c>
      <c r="G33" s="6">
        <f t="shared" ref="G33:N33" si="9">G30+G29+G28+G26</f>
        <v>36190.96822587795</v>
      </c>
      <c r="H33" s="6">
        <f t="shared" si="9"/>
        <v>10688.216841022717</v>
      </c>
      <c r="I33" s="43">
        <f t="shared" si="9"/>
        <v>9009.1163273109596</v>
      </c>
      <c r="J33" s="6">
        <f t="shared" si="9"/>
        <v>21154.217389199071</v>
      </c>
      <c r="K33" s="6">
        <f t="shared" si="9"/>
        <v>31295.330566651042</v>
      </c>
      <c r="L33" s="6">
        <f t="shared" si="9"/>
        <v>45117.677271216555</v>
      </c>
      <c r="M33" s="6">
        <f t="shared" si="9"/>
        <v>62781.080977323072</v>
      </c>
      <c r="N33" s="6">
        <f t="shared" si="9"/>
        <v>86883.27088200135</v>
      </c>
    </row>
    <row r="34" spans="1:14" x14ac:dyDescent="0.25">
      <c r="I34" s="44"/>
    </row>
    <row r="35" spans="1:14" x14ac:dyDescent="0.25">
      <c r="B35" t="s">
        <v>109</v>
      </c>
      <c r="G35" s="13"/>
      <c r="H35" s="24">
        <f>SUM(Historicals!H42:H44)-SUM(Historicals!H49:H50)</f>
        <v>-16113.100000000004</v>
      </c>
      <c r="I35" s="53">
        <f>SUM(Historicals!I42:I44)-SUM(Historicals!I49:I50)</f>
        <v>-13243</v>
      </c>
      <c r="J35" s="24">
        <f>SUM(Historicals!J42:J44)-SUM(Historicals!J49:J50)</f>
        <v>-15957.815000000006</v>
      </c>
      <c r="K35" s="24">
        <f>SUM(Historicals!K42:K44)-SUM(Historicals!K49:K50)</f>
        <v>-20240.427175000001</v>
      </c>
      <c r="L35" s="24">
        <f>SUM(Historicals!L42:L44)-SUM(Historicals!L49:L50)</f>
        <v>-26679.376155624996</v>
      </c>
      <c r="M35" s="24">
        <f>SUM(Historicals!M42:M44)-SUM(Historicals!M49:M50)</f>
        <v>-35558.162257683129</v>
      </c>
      <c r="N35" s="24">
        <f>SUM(Historicals!N42:N44)-SUM(Historicals!N49:N50)</f>
        <v>-48176.918157427361</v>
      </c>
    </row>
    <row r="36" spans="1:14" x14ac:dyDescent="0.25">
      <c r="B36" s="33" t="s">
        <v>56</v>
      </c>
      <c r="H36" s="25">
        <f>H35/H14</f>
        <v>-0.21871877986274005</v>
      </c>
      <c r="I36" s="50">
        <f t="shared" ref="I36" si="10">I35/I14</f>
        <v>-0.19110219631158187</v>
      </c>
      <c r="J36" s="25">
        <f t="shared" ref="J36" si="11">J35/J14</f>
        <v>-0.1911021963115819</v>
      </c>
      <c r="K36" s="25">
        <f t="shared" ref="K36" si="12">K35/K14</f>
        <v>-0.19626595365927102</v>
      </c>
      <c r="L36" s="25">
        <f t="shared" ref="L36" si="13">L35/L14</f>
        <v>-0.20531960493488202</v>
      </c>
      <c r="M36" s="25">
        <f t="shared" ref="M36" si="14">M35/M14</f>
        <v>-0.21547174861651749</v>
      </c>
      <c r="N36" s="25">
        <f t="shared" ref="N36" si="15">N35/N14</f>
        <v>-0.22718879921106588</v>
      </c>
    </row>
    <row r="39" spans="1:14" x14ac:dyDescent="0.25">
      <c r="A39" t="s">
        <v>26</v>
      </c>
      <c r="B39" s="9" t="s">
        <v>151</v>
      </c>
      <c r="C39" s="8"/>
      <c r="D39" s="8"/>
      <c r="E39" s="8"/>
      <c r="F39" s="8"/>
      <c r="G39" s="8"/>
      <c r="H39" s="8"/>
      <c r="I39" s="8"/>
      <c r="J39" s="8"/>
      <c r="K39" s="8"/>
      <c r="L39" s="8"/>
      <c r="M39" s="8"/>
      <c r="N39" s="8"/>
    </row>
    <row r="40" spans="1:14" x14ac:dyDescent="0.25">
      <c r="B40" s="15" t="s">
        <v>122</v>
      </c>
      <c r="C40" s="15"/>
      <c r="D40" s="15"/>
      <c r="E40" s="15"/>
      <c r="F40" s="15"/>
      <c r="G40" s="15"/>
      <c r="H40" s="15"/>
      <c r="I40" s="15">
        <v>0</v>
      </c>
      <c r="J40" s="15">
        <v>1</v>
      </c>
      <c r="K40" s="15">
        <f>J40+1</f>
        <v>2</v>
      </c>
      <c r="L40" s="15">
        <f t="shared" ref="L40" si="16">K40+1</f>
        <v>3</v>
      </c>
      <c r="M40" s="15">
        <f t="shared" ref="M40" si="17">L40+1</f>
        <v>4</v>
      </c>
      <c r="N40" s="15">
        <f t="shared" ref="N40" si="18">M40+1</f>
        <v>5</v>
      </c>
    </row>
    <row r="41" spans="1:14" x14ac:dyDescent="0.25">
      <c r="B41" s="17"/>
      <c r="C41" s="17"/>
      <c r="D41" s="17"/>
      <c r="E41" s="17"/>
      <c r="F41" s="17"/>
      <c r="G41" s="18"/>
      <c r="H41" s="18"/>
      <c r="I41" s="18">
        <f ca="1">TODAY()</f>
        <v>45311</v>
      </c>
      <c r="J41" s="18">
        <v>45657</v>
      </c>
      <c r="K41" s="18">
        <f t="shared" ref="K41" si="19">EOMONTH(J41,12)</f>
        <v>46022</v>
      </c>
      <c r="L41" s="18">
        <f t="shared" ref="L41" si="20">EOMONTH(K41,12)</f>
        <v>46387</v>
      </c>
      <c r="M41" s="18">
        <f t="shared" ref="M41" si="21">EOMONTH(L41,12)</f>
        <v>46752</v>
      </c>
      <c r="N41" s="18">
        <f t="shared" ref="N41" si="22">EOMONTH(M41,12)</f>
        <v>47118</v>
      </c>
    </row>
    <row r="42" spans="1:14" x14ac:dyDescent="0.25">
      <c r="B42" t="s">
        <v>110</v>
      </c>
      <c r="J42" s="13">
        <f ca="1">J33*(1-G9)</f>
        <v>19995.082189790905</v>
      </c>
      <c r="K42" s="13">
        <f t="shared" ref="K42:N42" si="23">K33</f>
        <v>31295.330566651042</v>
      </c>
      <c r="L42" s="13">
        <f t="shared" si="23"/>
        <v>45117.677271216555</v>
      </c>
      <c r="M42" s="13">
        <f t="shared" si="23"/>
        <v>62781.080977323072</v>
      </c>
      <c r="N42" s="13">
        <f t="shared" si="23"/>
        <v>86883.27088200135</v>
      </c>
    </row>
    <row r="43" spans="1:14" x14ac:dyDescent="0.25">
      <c r="B43" s="2" t="s">
        <v>111</v>
      </c>
      <c r="J43" s="6">
        <f ca="1">J42/(1+$L$5)^((J41-$I$41)/365)</f>
        <v>18262.706965766447</v>
      </c>
      <c r="K43" s="6">
        <f t="shared" ref="K43:N43" ca="1" si="24">K42/(1+$L$5)^((K41-$I$41)/365)</f>
        <v>25977.788556579231</v>
      </c>
      <c r="L43" s="6">
        <f t="shared" ca="1" si="24"/>
        <v>34036.90362325796</v>
      </c>
      <c r="M43" s="6">
        <f t="shared" ca="1" si="24"/>
        <v>43044.015388556341</v>
      </c>
      <c r="N43" s="6">
        <f t="shared" ca="1" si="24"/>
        <v>54123.649987337747</v>
      </c>
    </row>
    <row r="45" spans="1:14" x14ac:dyDescent="0.25">
      <c r="B45" s="38" t="s">
        <v>116</v>
      </c>
      <c r="C45" s="17"/>
      <c r="D45" s="17"/>
      <c r="E45" s="17"/>
      <c r="F45" s="17"/>
      <c r="G45" s="17"/>
      <c r="H45" s="55"/>
      <c r="I45" s="38" t="s">
        <v>118</v>
      </c>
      <c r="J45" s="17"/>
      <c r="K45" s="17"/>
      <c r="L45" s="17"/>
      <c r="M45" s="17"/>
      <c r="N45" s="17"/>
    </row>
    <row r="46" spans="1:14" x14ac:dyDescent="0.25">
      <c r="B46" t="s">
        <v>115</v>
      </c>
      <c r="G46" s="22">
        <v>0.02</v>
      </c>
      <c r="I46" t="s">
        <v>119</v>
      </c>
      <c r="N46" s="13">
        <f>N17</f>
        <v>117324.70830208935</v>
      </c>
    </row>
    <row r="47" spans="1:14" x14ac:dyDescent="0.25">
      <c r="B47" s="54" t="str">
        <f>YEAR(N41)&amp;" FCF x (1+g)"</f>
        <v>2028 FCF x (1+g)</v>
      </c>
      <c r="G47" s="13">
        <f ca="1">N43*(1+G46)</f>
        <v>55206.122987084505</v>
      </c>
      <c r="I47" t="s">
        <v>120</v>
      </c>
      <c r="N47" s="56">
        <v>10</v>
      </c>
    </row>
    <row r="48" spans="1:14" x14ac:dyDescent="0.25">
      <c r="B48" t="str">
        <f>"Terminal value in "&amp;YEAR(N41)</f>
        <v>Terminal value in 2028</v>
      </c>
      <c r="G48" s="13">
        <f ca="1">G47/(L5-G46)</f>
        <v>687320.38260431297</v>
      </c>
      <c r="I48" t="str">
        <f>"Terminal value in "&amp;YEAR(N41)</f>
        <v>Terminal value in 2028</v>
      </c>
      <c r="N48" s="13">
        <f>N46*N47</f>
        <v>1173247.0830208934</v>
      </c>
    </row>
    <row r="49" spans="2:14" x14ac:dyDescent="0.25">
      <c r="B49" t="s">
        <v>114</v>
      </c>
      <c r="G49" s="13">
        <f ca="1">G48/(1+$L$5)^((N41-I41)/365)</f>
        <v>428163.98875868373</v>
      </c>
      <c r="I49" t="s">
        <v>114</v>
      </c>
      <c r="N49" s="13">
        <f ca="1">N48/(1+$L$5)^((N41-$I$41)/365)</f>
        <v>730870.44059758692</v>
      </c>
    </row>
    <row r="50" spans="2:14" x14ac:dyDescent="0.25">
      <c r="B50" t="s">
        <v>113</v>
      </c>
      <c r="G50" s="13">
        <f ca="1">SUM(J43:N43)</f>
        <v>175445.06452149776</v>
      </c>
      <c r="I50" t="s">
        <v>113</v>
      </c>
      <c r="N50" s="13">
        <f ca="1">SUM(J43:N43)</f>
        <v>175445.06452149776</v>
      </c>
    </row>
    <row r="51" spans="2:14" x14ac:dyDescent="0.25">
      <c r="B51" s="2" t="s">
        <v>112</v>
      </c>
      <c r="G51" s="6">
        <f ca="1">SUM(G49:G50)</f>
        <v>603609.05328018148</v>
      </c>
      <c r="I51" s="2" t="s">
        <v>121</v>
      </c>
      <c r="N51" s="6">
        <f ca="1">SUM(N49:N50)</f>
        <v>906315.50511908461</v>
      </c>
    </row>
    <row r="53" spans="2:14" x14ac:dyDescent="0.25">
      <c r="B53" s="14" t="s">
        <v>123</v>
      </c>
      <c r="G53" s="57">
        <f ca="1">G49/G51</f>
        <v>0.7093399054104973</v>
      </c>
      <c r="I53" s="14" t="s">
        <v>123</v>
      </c>
      <c r="N53" s="57">
        <f ca="1">N49/N51</f>
        <v>0.80641943834068552</v>
      </c>
    </row>
    <row r="54" spans="2:14" x14ac:dyDescent="0.25">
      <c r="B54" s="14" t="s">
        <v>124</v>
      </c>
      <c r="G54" s="57">
        <f ca="1">G50/G51</f>
        <v>0.29066009458950276</v>
      </c>
      <c r="I54" s="14" t="s">
        <v>124</v>
      </c>
      <c r="N54" s="57">
        <f ca="1">N50/N51</f>
        <v>0.19358056165931453</v>
      </c>
    </row>
    <row r="55" spans="2:14" x14ac:dyDescent="0.25">
      <c r="B55" s="14" t="s">
        <v>125</v>
      </c>
      <c r="G55" s="58">
        <f ca="1">G51/N17</f>
        <v>5.1447735265277643</v>
      </c>
      <c r="I55" s="14" t="s">
        <v>125</v>
      </c>
      <c r="N55" s="58">
        <f ca="1">N51/N17</f>
        <v>7.7248477173750167</v>
      </c>
    </row>
    <row r="57" spans="2:14" x14ac:dyDescent="0.25">
      <c r="B57" s="38" t="s">
        <v>126</v>
      </c>
      <c r="C57" s="17"/>
      <c r="D57" s="17"/>
      <c r="E57" s="17"/>
      <c r="F57" s="17"/>
      <c r="G57" s="17"/>
      <c r="I57" s="38" t="s">
        <v>137</v>
      </c>
      <c r="J57" s="17"/>
      <c r="K57" s="38"/>
      <c r="L57" s="17"/>
      <c r="M57" s="17"/>
      <c r="N57" s="17"/>
    </row>
    <row r="58" spans="2:14" x14ac:dyDescent="0.25">
      <c r="B58" s="78" t="s">
        <v>127</v>
      </c>
      <c r="C58" s="78"/>
      <c r="D58" s="78"/>
      <c r="E58" s="78"/>
      <c r="F58" s="78"/>
      <c r="G58" s="79"/>
      <c r="I58" s="78" t="s">
        <v>127</v>
      </c>
      <c r="J58" s="78"/>
      <c r="K58" s="78"/>
      <c r="L58" s="78"/>
      <c r="M58" s="78"/>
      <c r="N58" s="79"/>
    </row>
    <row r="59" spans="2:14" x14ac:dyDescent="0.25">
      <c r="B59" s="80" t="s">
        <v>128</v>
      </c>
      <c r="C59" s="17"/>
      <c r="D59" s="17"/>
      <c r="E59" s="17"/>
      <c r="F59" s="17"/>
      <c r="G59" s="81"/>
      <c r="I59" s="80" t="s">
        <v>128</v>
      </c>
      <c r="J59" s="17"/>
      <c r="K59" s="17"/>
      <c r="L59" s="17"/>
      <c r="M59" s="17"/>
      <c r="N59" s="81"/>
    </row>
    <row r="60" spans="2:14" x14ac:dyDescent="0.25">
      <c r="B60" s="77" t="s">
        <v>129</v>
      </c>
      <c r="G60" s="60"/>
      <c r="I60" t="s">
        <v>138</v>
      </c>
      <c r="L60" s="59"/>
      <c r="M60" s="59"/>
      <c r="N60" s="64"/>
    </row>
    <row r="61" spans="2:14" x14ac:dyDescent="0.25">
      <c r="B61" s="21" t="s">
        <v>130</v>
      </c>
      <c r="G61" s="5"/>
      <c r="I61" s="3" t="s">
        <v>139</v>
      </c>
      <c r="L61" s="59"/>
      <c r="M61" s="59"/>
      <c r="N61" s="64"/>
    </row>
    <row r="62" spans="2:14" x14ac:dyDescent="0.25">
      <c r="B62" s="21" t="s">
        <v>131</v>
      </c>
      <c r="G62" s="5"/>
      <c r="I62" s="3" t="s">
        <v>140</v>
      </c>
      <c r="L62" s="59"/>
      <c r="M62" s="59"/>
      <c r="N62" s="65"/>
    </row>
    <row r="63" spans="2:14" x14ac:dyDescent="0.25">
      <c r="B63" s="21" t="s">
        <v>132</v>
      </c>
      <c r="G63" s="5"/>
      <c r="I63" t="s">
        <v>131</v>
      </c>
      <c r="L63" s="59"/>
      <c r="M63" s="59"/>
      <c r="N63" s="65"/>
    </row>
    <row r="64" spans="2:14" x14ac:dyDescent="0.25">
      <c r="B64" s="61" t="s">
        <v>133</v>
      </c>
      <c r="G64" s="5"/>
      <c r="I64" t="s">
        <v>141</v>
      </c>
      <c r="L64" s="59"/>
      <c r="M64" s="59"/>
      <c r="N64" s="65"/>
    </row>
    <row r="65" spans="2:14" x14ac:dyDescent="0.25">
      <c r="B65" s="77" t="s">
        <v>134</v>
      </c>
      <c r="I65" s="4" t="s">
        <v>142</v>
      </c>
      <c r="N65" s="66">
        <f>SUM(N60:N64)</f>
        <v>0</v>
      </c>
    </row>
    <row r="66" spans="2:14" x14ac:dyDescent="0.25">
      <c r="B66" s="62" t="s">
        <v>135</v>
      </c>
      <c r="G66" s="5"/>
    </row>
    <row r="67" spans="2:14" x14ac:dyDescent="0.25">
      <c r="B67" s="62" t="s">
        <v>136</v>
      </c>
      <c r="G67" s="5"/>
    </row>
    <row r="68" spans="2:14" x14ac:dyDescent="0.25">
      <c r="B68" s="63" t="s">
        <v>126</v>
      </c>
      <c r="G68" s="6">
        <f>SUM(G61:G64)-SUM(G66:G67)</f>
        <v>0</v>
      </c>
    </row>
    <row r="70" spans="2:14" x14ac:dyDescent="0.25">
      <c r="B70" s="38" t="s">
        <v>117</v>
      </c>
      <c r="C70" s="17"/>
      <c r="D70" s="17"/>
      <c r="E70" s="76"/>
      <c r="F70" s="76"/>
      <c r="G70" s="76"/>
    </row>
    <row r="71" spans="2:14" x14ac:dyDescent="0.25">
      <c r="E71" s="70"/>
      <c r="F71" s="71" t="s">
        <v>143</v>
      </c>
      <c r="G71" s="71" t="s">
        <v>14</v>
      </c>
    </row>
    <row r="72" spans="2:14" x14ac:dyDescent="0.25">
      <c r="B72" t="s">
        <v>144</v>
      </c>
      <c r="E72" s="70"/>
      <c r="F72" s="72">
        <f ca="1">G51</f>
        <v>603609.05328018148</v>
      </c>
      <c r="G72" s="72">
        <f ca="1">N51</f>
        <v>906315.50511908461</v>
      </c>
    </row>
    <row r="73" spans="2:14" x14ac:dyDescent="0.25">
      <c r="B73" t="s">
        <v>126</v>
      </c>
      <c r="E73" s="70"/>
      <c r="F73" s="68">
        <f>$G$68</f>
        <v>0</v>
      </c>
      <c r="G73" s="68">
        <f t="shared" ref="G73" si="25">$G$68</f>
        <v>0</v>
      </c>
    </row>
    <row r="74" spans="2:14" x14ac:dyDescent="0.25">
      <c r="B74" t="s">
        <v>145</v>
      </c>
      <c r="E74" s="70"/>
      <c r="F74" s="73">
        <f ca="1">F72-F73</f>
        <v>603609.05328018148</v>
      </c>
      <c r="G74" s="73">
        <f ca="1">G72-G73</f>
        <v>906315.50511908461</v>
      </c>
    </row>
    <row r="75" spans="2:14" x14ac:dyDescent="0.25">
      <c r="B75" t="s">
        <v>137</v>
      </c>
      <c r="E75" s="70"/>
      <c r="F75" s="73">
        <f>$N$65</f>
        <v>0</v>
      </c>
      <c r="G75" s="73">
        <f>$N$65</f>
        <v>0</v>
      </c>
    </row>
    <row r="76" spans="2:14" x14ac:dyDescent="0.25">
      <c r="B76" s="2" t="s">
        <v>146</v>
      </c>
      <c r="E76" s="70"/>
      <c r="F76" s="69" t="e">
        <f ca="1">F74/F75</f>
        <v>#DIV/0!</v>
      </c>
      <c r="G76" s="69" t="e">
        <f t="shared" ref="G76" ca="1" si="26">G74/G75</f>
        <v>#DIV/0!</v>
      </c>
    </row>
    <row r="77" spans="2:14" x14ac:dyDescent="0.25">
      <c r="B77" s="2"/>
      <c r="E77" s="70"/>
      <c r="F77" s="69"/>
      <c r="G77" s="69"/>
    </row>
    <row r="78" spans="2:14" x14ac:dyDescent="0.25">
      <c r="B78" s="39" t="s">
        <v>147</v>
      </c>
      <c r="E78" s="70"/>
      <c r="F78" s="71" t="s">
        <v>143</v>
      </c>
      <c r="G78" s="71" t="s">
        <v>14</v>
      </c>
    </row>
    <row r="79" spans="2:14" x14ac:dyDescent="0.25">
      <c r="B79" t="s">
        <v>148</v>
      </c>
      <c r="E79" s="70"/>
      <c r="F79" s="74" t="e">
        <f ca="1">F72/$E$14</f>
        <v>#DIV/0!</v>
      </c>
      <c r="G79" s="74" t="e">
        <f ca="1">G72/$E$14</f>
        <v>#DIV/0!</v>
      </c>
    </row>
    <row r="80" spans="2:14" x14ac:dyDescent="0.25">
      <c r="B80" t="s">
        <v>149</v>
      </c>
      <c r="E80" s="70"/>
      <c r="F80" s="75" t="e">
        <f ca="1">F72/$E$16</f>
        <v>#DIV/0!</v>
      </c>
      <c r="G80" s="75" t="e">
        <f ca="1">G72/$E$16</f>
        <v>#DIV/0!</v>
      </c>
    </row>
    <row r="81" spans="2:7" x14ac:dyDescent="0.25">
      <c r="B81" s="67" t="s">
        <v>150</v>
      </c>
      <c r="E81" s="70"/>
      <c r="F81" s="75" t="e">
        <f ca="1">F72/$E$18</f>
        <v>#DIV/0!</v>
      </c>
      <c r="G81" s="75" t="e">
        <f ca="1">G72/$E$18</f>
        <v>#DIV/0!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6639B-0AC8-4E8C-A7EE-CA467D1B5371}">
  <dimension ref="A1:N15"/>
  <sheetViews>
    <sheetView showGridLines="0" workbookViewId="0">
      <selection activeCell="E8" sqref="E8"/>
    </sheetView>
  </sheetViews>
  <sheetFormatPr defaultRowHeight="15" x14ac:dyDescent="0.25"/>
  <cols>
    <col min="1" max="1" width="2.7109375" customWidth="1"/>
  </cols>
  <sheetData>
    <row r="1" spans="1:14" x14ac:dyDescent="0.25">
      <c r="A1" s="1"/>
    </row>
    <row r="2" spans="1:14" ht="19.5" x14ac:dyDescent="0.3">
      <c r="A2" t="s">
        <v>26</v>
      </c>
      <c r="B2" s="7" t="e" vm="1">
        <v>#VALUE!</v>
      </c>
      <c r="C2" s="8"/>
      <c r="D2" s="8"/>
      <c r="E2" s="8"/>
      <c r="F2" s="8"/>
      <c r="G2" s="8"/>
      <c r="H2" s="8"/>
      <c r="I2" s="8"/>
      <c r="J2" s="8"/>
      <c r="K2" s="8"/>
      <c r="L2" s="8"/>
      <c r="M2" s="8"/>
      <c r="N2" s="8"/>
    </row>
    <row r="3" spans="1:14" x14ac:dyDescent="0.25">
      <c r="B3" s="27" t="s">
        <v>0</v>
      </c>
      <c r="C3" s="27"/>
      <c r="D3" s="27"/>
      <c r="E3" s="27"/>
      <c r="F3" s="27"/>
      <c r="G3" s="27"/>
      <c r="H3" s="27"/>
      <c r="I3" s="27"/>
      <c r="J3" s="27"/>
      <c r="K3" s="27"/>
      <c r="L3" s="27"/>
      <c r="M3" s="27"/>
      <c r="N3" s="27"/>
    </row>
    <row r="5" spans="1:14" x14ac:dyDescent="0.25">
      <c r="B5" s="9" t="s">
        <v>58</v>
      </c>
      <c r="C5" s="8"/>
      <c r="D5" s="8"/>
      <c r="E5" s="8"/>
      <c r="G5" s="9" t="s">
        <v>73</v>
      </c>
      <c r="H5" s="8"/>
      <c r="I5" s="8"/>
      <c r="J5" s="8"/>
      <c r="K5" s="8"/>
      <c r="L5" s="9"/>
      <c r="M5" s="8"/>
      <c r="N5" s="8"/>
    </row>
    <row r="6" spans="1:14" x14ac:dyDescent="0.25">
      <c r="B6" t="s">
        <v>69</v>
      </c>
      <c r="E6" s="20">
        <v>4.1399999999999999E-2</v>
      </c>
      <c r="G6" t="s">
        <v>74</v>
      </c>
    </row>
    <row r="7" spans="1:14" x14ac:dyDescent="0.25">
      <c r="B7" t="s">
        <v>70</v>
      </c>
      <c r="E7">
        <v>1.1200000000000001</v>
      </c>
      <c r="G7" t="s">
        <v>75</v>
      </c>
    </row>
    <row r="8" spans="1:14" x14ac:dyDescent="0.25">
      <c r="B8" t="s">
        <v>71</v>
      </c>
      <c r="E8" s="20">
        <v>5.4800000000000001E-2</v>
      </c>
      <c r="G8" t="s">
        <v>76</v>
      </c>
    </row>
    <row r="9" spans="1:14" x14ac:dyDescent="0.25">
      <c r="B9" t="s">
        <v>72</v>
      </c>
      <c r="E9" s="20">
        <v>8.8000000000000005E-3</v>
      </c>
      <c r="G9" t="s">
        <v>77</v>
      </c>
    </row>
    <row r="10" spans="1:14" x14ac:dyDescent="0.25">
      <c r="B10" t="s">
        <v>59</v>
      </c>
      <c r="E10" s="20">
        <f>E6+E7*E8+E9</f>
        <v>0.11157600000000001</v>
      </c>
      <c r="G10" t="s">
        <v>78</v>
      </c>
    </row>
    <row r="11" spans="1:14" x14ac:dyDescent="0.25">
      <c r="B11" t="s">
        <v>60</v>
      </c>
      <c r="E11" s="20">
        <v>0.8</v>
      </c>
    </row>
    <row r="12" spans="1:14" x14ac:dyDescent="0.25">
      <c r="B12" t="s">
        <v>61</v>
      </c>
      <c r="E12" s="20">
        <v>7.0000000000000007E-2</v>
      </c>
    </row>
    <row r="13" spans="1:14" x14ac:dyDescent="0.25">
      <c r="B13" t="s">
        <v>62</v>
      </c>
      <c r="E13" s="20">
        <v>0.2</v>
      </c>
    </row>
    <row r="14" spans="1:14" x14ac:dyDescent="0.25">
      <c r="B14" t="s">
        <v>25</v>
      </c>
      <c r="E14" s="19">
        <v>0.21</v>
      </c>
    </row>
    <row r="15" spans="1:14" x14ac:dyDescent="0.25">
      <c r="B15" s="2" t="s">
        <v>58</v>
      </c>
      <c r="E15" s="20">
        <f>(E10*E11)+(E12*E13)*(1-E14)</f>
        <v>0.10032080000000002</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Historicals</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Valenzuela, Jovany Arturo</dc:creator>
  <cp:lastModifiedBy>Valenzuela, Jovany Arturo</cp:lastModifiedBy>
  <cp:lastPrinted>2024-01-19T04:45:56Z</cp:lastPrinted>
  <dcterms:created xsi:type="dcterms:W3CDTF">2024-01-18T18:02:59Z</dcterms:created>
  <dcterms:modified xsi:type="dcterms:W3CDTF">2024-01-20T06:24:30Z</dcterms:modified>
</cp:coreProperties>
</file>