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DE79FDB-B056-4323-8AF4-D4D6F989FA73}" xr6:coauthVersionLast="47" xr6:coauthVersionMax="47" xr10:uidLastSave="{00000000-0000-0000-0000-000000000000}"/>
  <bookViews>
    <workbookView xWindow="-120" yWindow="-120" windowWidth="29040" windowHeight="15840" xr2:uid="{0A6FAC41-C2C4-48E5-AA85-8063DD4A5C11}"/>
  </bookViews>
  <sheets>
    <sheet name="Historicals" sheetId="2" r:id="rId1"/>
    <sheet name="DCF Model" sheetId="1" r:id="rId2"/>
  </sheets>
  <externalReferences>
    <externalReference r:id="rId3"/>
  </externalReferences>
  <definedNames>
    <definedName name="tgr">'DCF Model'!$E$16</definedName>
    <definedName name="wacc">'DCF Model'!$E$14</definedName>
    <definedName name="y">'DCF Model'!$E$14</definedName>
    <definedName name="yurt">'DCF Model'!$E$14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2" l="1"/>
  <c r="M34" i="2"/>
  <c r="L34" i="2"/>
  <c r="K34" i="2"/>
  <c r="J34" i="2"/>
  <c r="I34" i="2"/>
  <c r="H34" i="2"/>
  <c r="G34" i="2"/>
  <c r="N33" i="2"/>
  <c r="M33" i="2"/>
  <c r="L33" i="2"/>
  <c r="K33" i="2"/>
  <c r="J33" i="2"/>
  <c r="I33" i="2"/>
  <c r="H33" i="2"/>
  <c r="G33" i="2"/>
  <c r="N31" i="2"/>
  <c r="M31" i="2"/>
  <c r="L31" i="2"/>
  <c r="K31" i="2"/>
  <c r="J31" i="2"/>
  <c r="I31" i="2"/>
  <c r="H31" i="2"/>
  <c r="G31" i="2"/>
  <c r="N20" i="2" l="1"/>
  <c r="M20" i="2"/>
  <c r="L20" i="2"/>
  <c r="G37" i="2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L23" i="2" l="1"/>
  <c r="L26" i="2" s="1"/>
  <c r="M23" i="2"/>
  <c r="M26" i="2" s="1"/>
  <c r="M28" i="2" s="1"/>
  <c r="M32" i="2"/>
  <c r="N23" i="2"/>
  <c r="N26" i="2" s="1"/>
  <c r="N28" i="2" s="1"/>
  <c r="N32" i="2"/>
  <c r="L28" i="2"/>
  <c r="L35" i="2"/>
  <c r="K20" i="2"/>
  <c r="J20" i="2"/>
  <c r="I20" i="2"/>
  <c r="H20" i="2"/>
  <c r="G20" i="2"/>
  <c r="F20" i="2"/>
  <c r="F23" i="2" s="1"/>
  <c r="F26" i="2" s="1"/>
  <c r="F28" i="2" s="1"/>
  <c r="M35" i="2" l="1"/>
  <c r="H23" i="2"/>
  <c r="H26" i="2" s="1"/>
  <c r="H35" i="2" s="1"/>
  <c r="H32" i="2"/>
  <c r="J23" i="2"/>
  <c r="J26" i="2" s="1"/>
  <c r="J32" i="2"/>
  <c r="N35" i="2"/>
  <c r="K23" i="2"/>
  <c r="K26" i="2" s="1"/>
  <c r="K35" i="2" s="1"/>
  <c r="K32" i="2"/>
  <c r="I23" i="2"/>
  <c r="I26" i="2" s="1"/>
  <c r="I35" i="2" s="1"/>
  <c r="I32" i="2"/>
  <c r="L32" i="2"/>
  <c r="G23" i="2"/>
  <c r="G26" i="2" s="1"/>
  <c r="G28" i="2" s="1"/>
  <c r="G32" i="2"/>
  <c r="J28" i="2"/>
  <c r="J35" i="2"/>
  <c r="H28" i="2"/>
  <c r="G16" i="2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K28" i="2" l="1"/>
  <c r="G35" i="2"/>
  <c r="I28" i="2"/>
  <c r="E19" i="1"/>
  <c r="F19" i="1"/>
  <c r="G19" i="1"/>
  <c r="H19" i="1"/>
  <c r="I19" i="1"/>
  <c r="J19" i="1"/>
  <c r="K19" i="1"/>
  <c r="K27" i="1" s="1"/>
  <c r="L19" i="1"/>
  <c r="L37" i="1" s="1"/>
  <c r="M19" i="1"/>
  <c r="N19" i="1"/>
  <c r="O19" i="1"/>
  <c r="P19" i="1"/>
  <c r="Q19" i="1"/>
  <c r="R19" i="1"/>
  <c r="S19" i="1"/>
  <c r="S20" i="1" s="1"/>
  <c r="F20" i="1"/>
  <c r="G20" i="1"/>
  <c r="H20" i="1"/>
  <c r="I20" i="1"/>
  <c r="J20" i="1"/>
  <c r="N20" i="1"/>
  <c r="N40" i="1" s="1"/>
  <c r="O20" i="1"/>
  <c r="P20" i="1"/>
  <c r="Q20" i="1"/>
  <c r="R20" i="1"/>
  <c r="S73" i="1"/>
  <c r="S72" i="1"/>
  <c r="N66" i="1"/>
  <c r="O66" i="1" s="1"/>
  <c r="P66" i="1" s="1"/>
  <c r="Q66" i="1" s="1"/>
  <c r="R66" i="1" s="1"/>
  <c r="S66" i="1" s="1"/>
  <c r="F57" i="1"/>
  <c r="M54" i="1"/>
  <c r="L54" i="1"/>
  <c r="K54" i="1"/>
  <c r="J54" i="1"/>
  <c r="I54" i="1"/>
  <c r="H54" i="1"/>
  <c r="G54" i="1"/>
  <c r="F54" i="1"/>
  <c r="E54" i="1"/>
  <c r="S50" i="1"/>
  <c r="N50" i="1"/>
  <c r="K43" i="1"/>
  <c r="F43" i="1"/>
  <c r="F44" i="1" s="1"/>
  <c r="S41" i="1"/>
  <c r="S40" i="1"/>
  <c r="S39" i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P35" i="1"/>
  <c r="Q35" i="1" s="1"/>
  <c r="R35" i="1" s="1"/>
  <c r="S35" i="1" s="1"/>
  <c r="O35" i="1"/>
  <c r="I34" i="1"/>
  <c r="L32" i="1"/>
  <c r="L60" i="1" s="1"/>
  <c r="K32" i="1"/>
  <c r="K60" i="1" s="1"/>
  <c r="J32" i="1"/>
  <c r="J60" i="1" s="1"/>
  <c r="I32" i="1"/>
  <c r="I60" i="1" s="1"/>
  <c r="H32" i="1"/>
  <c r="H34" i="1" s="1"/>
  <c r="G32" i="1"/>
  <c r="G60" i="1" s="1"/>
  <c r="F32" i="1"/>
  <c r="F60" i="1" s="1"/>
  <c r="E32" i="1"/>
  <c r="E60" i="1" s="1"/>
  <c r="I30" i="1"/>
  <c r="M29" i="1"/>
  <c r="M57" i="1" s="1"/>
  <c r="L29" i="1"/>
  <c r="L57" i="1" s="1"/>
  <c r="K29" i="1"/>
  <c r="K57" i="1" s="1"/>
  <c r="J29" i="1"/>
  <c r="J57" i="1" s="1"/>
  <c r="I29" i="1"/>
  <c r="I57" i="1" s="1"/>
  <c r="H29" i="1"/>
  <c r="H30" i="1" s="1"/>
  <c r="G29" i="1"/>
  <c r="G30" i="1" s="1"/>
  <c r="F29" i="1"/>
  <c r="E29" i="1"/>
  <c r="E57" i="1" s="1"/>
  <c r="L27" i="1"/>
  <c r="H27" i="1"/>
  <c r="G27" i="1"/>
  <c r="F25" i="1"/>
  <c r="E25" i="1"/>
  <c r="Q23" i="1"/>
  <c r="I23" i="1"/>
  <c r="S22" i="1"/>
  <c r="S23" i="1" s="1"/>
  <c r="R22" i="1"/>
  <c r="Q22" i="1"/>
  <c r="P22" i="1"/>
  <c r="P23" i="1" s="1"/>
  <c r="P46" i="1" s="1"/>
  <c r="O22" i="1"/>
  <c r="O23" i="1" s="1"/>
  <c r="O46" i="1" s="1"/>
  <c r="N22" i="1"/>
  <c r="M22" i="1"/>
  <c r="M43" i="1" s="1"/>
  <c r="M44" i="1" s="1"/>
  <c r="L22" i="1"/>
  <c r="L43" i="1" s="1"/>
  <c r="K22" i="1"/>
  <c r="K23" i="1" s="1"/>
  <c r="J22" i="1"/>
  <c r="J43" i="1" s="1"/>
  <c r="J44" i="1" s="1"/>
  <c r="I22" i="1"/>
  <c r="I43" i="1" s="1"/>
  <c r="I44" i="1" s="1"/>
  <c r="H22" i="1"/>
  <c r="H23" i="1" s="1"/>
  <c r="G22" i="1"/>
  <c r="G23" i="1" s="1"/>
  <c r="F22" i="1"/>
  <c r="E22" i="1"/>
  <c r="E43" i="1" s="1"/>
  <c r="E44" i="1" s="1"/>
  <c r="P40" i="1"/>
  <c r="O40" i="1"/>
  <c r="J27" i="1"/>
  <c r="I27" i="1"/>
  <c r="H37" i="1"/>
  <c r="G37" i="1"/>
  <c r="E30" i="1"/>
  <c r="F18" i="1"/>
  <c r="G18" i="1" s="1"/>
  <c r="L44" i="1" l="1"/>
  <c r="L20" i="1"/>
  <c r="M20" i="1"/>
  <c r="K44" i="1"/>
  <c r="K20" i="1"/>
  <c r="K37" i="1"/>
  <c r="K55" i="1" s="1"/>
  <c r="G61" i="1"/>
  <c r="O45" i="1"/>
  <c r="O47" i="1"/>
  <c r="G25" i="1"/>
  <c r="H18" i="1"/>
  <c r="P45" i="1"/>
  <c r="Q46" i="1"/>
  <c r="P47" i="1"/>
  <c r="L55" i="1"/>
  <c r="N39" i="1"/>
  <c r="N41" i="1"/>
  <c r="F58" i="1"/>
  <c r="E61" i="1"/>
  <c r="O39" i="1"/>
  <c r="O41" i="1"/>
  <c r="G55" i="1"/>
  <c r="L58" i="1"/>
  <c r="H38" i="1"/>
  <c r="P39" i="1"/>
  <c r="Q39" i="1" s="1"/>
  <c r="R39" i="1" s="1"/>
  <c r="Q40" i="1"/>
  <c r="P41" i="1"/>
  <c r="Q41" i="1" s="1"/>
  <c r="R41" i="1" s="1"/>
  <c r="K61" i="1"/>
  <c r="H55" i="1"/>
  <c r="L61" i="1"/>
  <c r="H60" i="1"/>
  <c r="H61" i="1" s="1"/>
  <c r="J23" i="1"/>
  <c r="R23" i="1"/>
  <c r="J30" i="1"/>
  <c r="I33" i="1"/>
  <c r="J34" i="1"/>
  <c r="F37" i="1"/>
  <c r="F61" i="1" s="1"/>
  <c r="G43" i="1"/>
  <c r="G44" i="1" s="1"/>
  <c r="G57" i="1"/>
  <c r="G58" i="1" s="1"/>
  <c r="E27" i="1"/>
  <c r="M27" i="1"/>
  <c r="K30" i="1"/>
  <c r="J33" i="1"/>
  <c r="K34" i="1"/>
  <c r="H43" i="1"/>
  <c r="H44" i="1" s="1"/>
  <c r="H57" i="1"/>
  <c r="H58" i="1" s="1"/>
  <c r="H33" i="1"/>
  <c r="E37" i="1"/>
  <c r="E55" i="1" s="1"/>
  <c r="L23" i="1"/>
  <c r="F27" i="1"/>
  <c r="L30" i="1"/>
  <c r="K33" i="1"/>
  <c r="L34" i="1"/>
  <c r="N67" i="1"/>
  <c r="M37" i="1"/>
  <c r="E23" i="1"/>
  <c r="M23" i="1"/>
  <c r="M30" i="1"/>
  <c r="L33" i="1"/>
  <c r="I37" i="1"/>
  <c r="I38" i="1" s="1"/>
  <c r="O67" i="1"/>
  <c r="P67" i="1" s="1"/>
  <c r="Q67" i="1" s="1"/>
  <c r="R67" i="1" s="1"/>
  <c r="S67" i="1" s="1"/>
  <c r="F23" i="1"/>
  <c r="F30" i="1"/>
  <c r="E33" i="1"/>
  <c r="F34" i="1"/>
  <c r="J37" i="1"/>
  <c r="J61" i="1" s="1"/>
  <c r="F33" i="1"/>
  <c r="G34" i="1"/>
  <c r="O50" i="1"/>
  <c r="N23" i="1"/>
  <c r="N46" i="1" s="1"/>
  <c r="G33" i="1"/>
  <c r="N61" i="1" l="1"/>
  <c r="L38" i="1"/>
  <c r="K58" i="1"/>
  <c r="G38" i="1"/>
  <c r="O61" i="1"/>
  <c r="I58" i="1"/>
  <c r="N55" i="1"/>
  <c r="N45" i="1"/>
  <c r="N47" i="1"/>
  <c r="M38" i="1"/>
  <c r="M55" i="1"/>
  <c r="M58" i="1"/>
  <c r="I61" i="1"/>
  <c r="E58" i="1"/>
  <c r="N58" i="1"/>
  <c r="R46" i="1"/>
  <c r="Q47" i="1"/>
  <c r="Q45" i="1"/>
  <c r="J55" i="1"/>
  <c r="J38" i="1"/>
  <c r="I55" i="1"/>
  <c r="R40" i="1"/>
  <c r="P50" i="1"/>
  <c r="F38" i="1"/>
  <c r="F55" i="1"/>
  <c r="J58" i="1"/>
  <c r="I18" i="1"/>
  <c r="H25" i="1"/>
  <c r="K38" i="1"/>
  <c r="R47" i="1" l="1"/>
  <c r="S46" i="1"/>
  <c r="R45" i="1"/>
  <c r="O55" i="1"/>
  <c r="I25" i="1"/>
  <c r="J18" i="1"/>
  <c r="Q50" i="1"/>
  <c r="P61" i="1"/>
  <c r="O58" i="1"/>
  <c r="P55" i="1" l="1"/>
  <c r="P58" i="1"/>
  <c r="K18" i="1"/>
  <c r="J25" i="1"/>
  <c r="S47" i="1"/>
  <c r="S45" i="1"/>
  <c r="R50" i="1"/>
  <c r="Q61" i="1"/>
  <c r="Q58" i="1" l="1"/>
  <c r="R61" i="1"/>
  <c r="Q55" i="1"/>
  <c r="L18" i="1"/>
  <c r="K25" i="1"/>
  <c r="S61" i="1" l="1"/>
  <c r="M18" i="1"/>
  <c r="L25" i="1"/>
  <c r="R58" i="1"/>
  <c r="R55" i="1"/>
  <c r="M25" i="1" l="1"/>
  <c r="N25" i="1" s="1"/>
  <c r="O25" i="1" s="1"/>
  <c r="P25" i="1" s="1"/>
  <c r="Q25" i="1" s="1"/>
  <c r="R25" i="1" s="1"/>
  <c r="S25" i="1" s="1"/>
  <c r="N18" i="1"/>
  <c r="O18" i="1" s="1"/>
  <c r="P18" i="1" s="1"/>
  <c r="Q18" i="1" s="1"/>
  <c r="R18" i="1" s="1"/>
  <c r="S18" i="1" s="1"/>
  <c r="S55" i="1"/>
  <c r="S58" i="1"/>
  <c r="I4" i="1"/>
  <c r="I6" i="1"/>
  <c r="N37" i="1"/>
  <c r="O37" i="1"/>
  <c r="P37" i="1"/>
  <c r="Q37" i="1"/>
  <c r="R37" i="1"/>
  <c r="S37" i="1"/>
  <c r="N38" i="1"/>
  <c r="O38" i="1"/>
  <c r="P38" i="1"/>
  <c r="Q38" i="1"/>
  <c r="R38" i="1"/>
  <c r="S38" i="1"/>
  <c r="N43" i="1"/>
  <c r="O43" i="1"/>
  <c r="P43" i="1"/>
  <c r="Q43" i="1"/>
  <c r="R43" i="1"/>
  <c r="S43" i="1"/>
  <c r="N44" i="1"/>
  <c r="O44" i="1"/>
  <c r="P44" i="1"/>
  <c r="Q44" i="1"/>
  <c r="R44" i="1"/>
  <c r="S44" i="1"/>
  <c r="N49" i="1"/>
  <c r="O49" i="1"/>
  <c r="P49" i="1"/>
  <c r="Q49" i="1"/>
  <c r="R49" i="1"/>
  <c r="S49" i="1"/>
  <c r="N52" i="1"/>
  <c r="O52" i="1"/>
  <c r="P52" i="1"/>
  <c r="Q52" i="1"/>
  <c r="R52" i="1"/>
  <c r="S52" i="1"/>
  <c r="N54" i="1"/>
  <c r="O54" i="1"/>
  <c r="P54" i="1"/>
  <c r="Q54" i="1"/>
  <c r="R54" i="1"/>
  <c r="S54" i="1"/>
  <c r="N57" i="1"/>
  <c r="O57" i="1"/>
  <c r="P57" i="1"/>
  <c r="Q57" i="1"/>
  <c r="R57" i="1"/>
  <c r="S57" i="1"/>
  <c r="N60" i="1"/>
  <c r="O60" i="1"/>
  <c r="P60" i="1"/>
  <c r="Q60" i="1"/>
  <c r="R60" i="1"/>
  <c r="S60" i="1"/>
  <c r="N63" i="1"/>
  <c r="O63" i="1"/>
  <c r="P63" i="1"/>
  <c r="Q63" i="1"/>
  <c r="R63" i="1"/>
  <c r="S63" i="1"/>
  <c r="N64" i="1"/>
  <c r="O64" i="1"/>
  <c r="P64" i="1"/>
  <c r="Q64" i="1"/>
  <c r="R64" i="1"/>
  <c r="S64" i="1"/>
  <c r="S69" i="1"/>
  <c r="S70" i="1"/>
  <c r="S71" i="1"/>
  <c r="S74" i="1"/>
  <c r="S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11A6B691-AF8E-4406-AAEC-11A9D57DE8C7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<sst xmlns="http://schemas.openxmlformats.org/spreadsheetml/2006/main" count="126" uniqueCount="68">
  <si>
    <t>Ticker</t>
  </si>
  <si>
    <t>Implied Share Price</t>
  </si>
  <si>
    <t>Date</t>
  </si>
  <si>
    <t>Current Share Price</t>
  </si>
  <si>
    <t>Year end</t>
  </si>
  <si>
    <t>Implied Gain / (Loss)</t>
  </si>
  <si>
    <t>MICROSOFT DCF</t>
  </si>
  <si>
    <t>MSFT</t>
  </si>
  <si>
    <t>x</t>
  </si>
  <si>
    <t>Assumptions</t>
  </si>
  <si>
    <t>Switches</t>
  </si>
  <si>
    <t>Conservative</t>
  </si>
  <si>
    <t>Street / Base</t>
  </si>
  <si>
    <t>Optimistic</t>
  </si>
  <si>
    <t>Revenue</t>
  </si>
  <si>
    <t>Revenue '24-'25</t>
  </si>
  <si>
    <t>EBIT</t>
  </si>
  <si>
    <t>Revenue 2028</t>
  </si>
  <si>
    <t>WACC</t>
  </si>
  <si>
    <t>EBIT '24-'25</t>
  </si>
  <si>
    <t>TGR</t>
  </si>
  <si>
    <t>Taxes</t>
  </si>
  <si>
    <t>Income Statement (12/31 CYE)</t>
  </si>
  <si>
    <t>% growth</t>
  </si>
  <si>
    <t>--</t>
  </si>
  <si>
    <t>% of sales</t>
  </si>
  <si>
    <t>Cash Flow Items (12/31 CYE)</t>
  </si>
  <si>
    <t>D&amp;A</t>
  </si>
  <si>
    <t>CapEx</t>
  </si>
  <si>
    <t>Change in NWC</t>
  </si>
  <si>
    <t>% of change in sales</t>
  </si>
  <si>
    <t>DCF</t>
  </si>
  <si>
    <t>Conservative Case</t>
  </si>
  <si>
    <t>Street Case</t>
  </si>
  <si>
    <t>Optimistic Case</t>
  </si>
  <si>
    <t>% of EBIT</t>
  </si>
  <si>
    <t>EBIAT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</si>
  <si>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</si>
  <si>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</si>
  <si>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</si>
  <si>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</si>
  <si>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</si>
  <si>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</si>
  <si>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</si>
  <si>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</si>
  <si>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</si>
  <si>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</si>
  <si>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</si>
  <si>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</si>
  <si>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MICROSOFT HISTORICALS</t>
  </si>
  <si>
    <t>Case Switches</t>
  </si>
  <si>
    <t>Fiscal Year End</t>
  </si>
  <si>
    <t>EBITDA</t>
  </si>
  <si>
    <t>R&amp;D</t>
  </si>
  <si>
    <t>SG&amp;A</t>
  </si>
  <si>
    <t>Tax Margin</t>
  </si>
  <si>
    <t xml:space="preserve">Conservative </t>
  </si>
  <si>
    <t>Base</t>
  </si>
  <si>
    <t>COGS</t>
  </si>
  <si>
    <t>Interest Expense</t>
  </si>
  <si>
    <t>Interest Income</t>
  </si>
  <si>
    <t>EBT</t>
  </si>
  <si>
    <t>Tax Expense</t>
  </si>
  <si>
    <t>Earnings</t>
  </si>
  <si>
    <t>Income Statement ($m)</t>
  </si>
  <si>
    <t>Balance Sheet ($m)</t>
  </si>
  <si>
    <t>Margins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</si>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</sst>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0%;\(0%\)"/>
    <numFmt numFmtId="166" formatCode="0.0%"/>
    <numFmt numFmtId="167" formatCode="0&quot;E&quot;"/>
    <numFmt numFmtId="173" formatCode="0.0%_);\(0.0%\);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164" fontId="0" fillId="0" borderId="0" xfId="0" applyNumberFormat="1"/>
    <xf numFmtId="14" fontId="0" fillId="2" borderId="2" xfId="0" applyNumberFormat="1" applyFill="1" applyBorder="1" applyAlignment="1">
      <alignment horizontal="center"/>
    </xf>
    <xf numFmtId="165" fontId="0" fillId="0" borderId="0" xfId="1" applyNumberFormat="1" applyFont="1"/>
    <xf numFmtId="0" fontId="2" fillId="3" borderId="0" xfId="0" applyFont="1" applyFill="1"/>
    <xf numFmtId="0" fontId="5" fillId="0" borderId="0" xfId="0" applyFont="1"/>
    <xf numFmtId="166" fontId="0" fillId="2" borderId="2" xfId="0" applyNumberForma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67" fontId="2" fillId="3" borderId="0" xfId="0" applyNumberFormat="1" applyFont="1" applyFill="1"/>
    <xf numFmtId="37" fontId="6" fillId="0" borderId="0" xfId="0" applyNumberFormat="1" applyFont="1"/>
    <xf numFmtId="37" fontId="7" fillId="0" borderId="0" xfId="0" applyNumberFormat="1" applyFont="1"/>
    <xf numFmtId="37" fontId="7" fillId="4" borderId="0" xfId="0" applyNumberFormat="1" applyFont="1" applyFill="1"/>
    <xf numFmtId="0" fontId="8" fillId="0" borderId="0" xfId="0" applyFont="1"/>
    <xf numFmtId="0" fontId="8" fillId="0" borderId="0" xfId="0" quotePrefix="1" applyFont="1" applyAlignment="1">
      <alignment horizontal="right"/>
    </xf>
    <xf numFmtId="9" fontId="8" fillId="0" borderId="0" xfId="1" applyFont="1"/>
    <xf numFmtId="0" fontId="9" fillId="0" borderId="0" xfId="0" applyFont="1"/>
    <xf numFmtId="1" fontId="7" fillId="0" borderId="0" xfId="0" applyNumberFormat="1" applyFont="1"/>
    <xf numFmtId="1" fontId="6" fillId="0" borderId="0" xfId="0" applyNumberFormat="1" applyFont="1"/>
    <xf numFmtId="37" fontId="11" fillId="0" borderId="0" xfId="0" applyNumberFormat="1" applyFont="1"/>
    <xf numFmtId="37" fontId="12" fillId="0" borderId="0" xfId="0" applyNumberFormat="1" applyFont="1"/>
    <xf numFmtId="0" fontId="0" fillId="0" borderId="0" xfId="0" quotePrefix="1" applyAlignment="1">
      <alignment horizontal="right"/>
    </xf>
    <xf numFmtId="9" fontId="8" fillId="2" borderId="2" xfId="0" applyNumberFormat="1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37" fontId="0" fillId="0" borderId="4" xfId="0" applyNumberFormat="1" applyBorder="1"/>
    <xf numFmtId="37" fontId="0" fillId="0" borderId="5" xfId="0" applyNumberFormat="1" applyBorder="1"/>
    <xf numFmtId="37" fontId="0" fillId="0" borderId="0" xfId="0" applyNumberFormat="1"/>
    <xf numFmtId="37" fontId="0" fillId="0" borderId="0" xfId="0" quotePrefix="1" applyNumberFormat="1" applyAlignment="1">
      <alignment horizontal="right"/>
    </xf>
    <xf numFmtId="0" fontId="0" fillId="0" borderId="6" xfId="0" applyBorder="1"/>
    <xf numFmtId="0" fontId="0" fillId="0" borderId="7" xfId="0" applyBorder="1"/>
    <xf numFmtId="37" fontId="0" fillId="0" borderId="7" xfId="0" applyNumberFormat="1" applyBorder="1"/>
    <xf numFmtId="37" fontId="0" fillId="0" borderId="8" xfId="0" applyNumberFormat="1" applyBorder="1"/>
    <xf numFmtId="0" fontId="0" fillId="0" borderId="9" xfId="0" applyBorder="1"/>
    <xf numFmtId="37" fontId="0" fillId="0" borderId="1" xfId="0" applyNumberFormat="1" applyBorder="1"/>
    <xf numFmtId="37" fontId="0" fillId="0" borderId="10" xfId="0" applyNumberFormat="1" applyBorder="1"/>
    <xf numFmtId="2" fontId="0" fillId="0" borderId="0" xfId="0" applyNumberFormat="1"/>
    <xf numFmtId="0" fontId="13" fillId="0" borderId="1" xfId="0" applyFont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Fill="1" applyBorder="1"/>
    <xf numFmtId="37" fontId="14" fillId="0" borderId="0" xfId="0" applyNumberFormat="1" applyFont="1" applyBorder="1"/>
    <xf numFmtId="37" fontId="3" fillId="0" borderId="0" xfId="0" applyNumberFormat="1" applyFont="1" applyBorder="1"/>
    <xf numFmtId="0" fontId="5" fillId="0" borderId="0" xfId="0" applyFont="1" applyFill="1" applyBorder="1"/>
    <xf numFmtId="37" fontId="15" fillId="0" borderId="0" xfId="0" applyNumberFormat="1" applyFont="1" applyBorder="1"/>
    <xf numFmtId="37" fontId="16" fillId="0" borderId="0" xfId="0" applyNumberFormat="1" applyFont="1" applyBorder="1"/>
    <xf numFmtId="173" fontId="1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VIDIA%20Models.xlsx" TargetMode="External"/><Relationship Id="rId1" Type="http://schemas.openxmlformats.org/officeDocument/2006/relationships/externalLinkPath" Target="NVIDIA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DCF"/>
      <sheetName val="WACC"/>
      <sheetName val="Taxes"/>
      <sheetName val="Historicals"/>
      <sheetName val="Estimates"/>
      <sheetName val="CFS"/>
    </sheetNames>
    <sheetDataSet>
      <sheetData sheetId="0" refreshError="1"/>
      <sheetData sheetId="1" refreshError="1"/>
      <sheetData sheetId="2">
        <row r="15">
          <cell r="F15">
            <v>9705</v>
          </cell>
        </row>
      </sheetData>
      <sheetData sheetId="3">
        <row r="45">
          <cell r="W45">
            <v>3.5950440635313753E-2</v>
          </cell>
        </row>
      </sheetData>
      <sheetData sheetId="4">
        <row r="10">
          <cell r="C10">
            <v>4646.0749999999998</v>
          </cell>
          <cell r="D10">
            <v>4959.8379999999997</v>
          </cell>
          <cell r="E10">
            <v>6652.6666670000004</v>
          </cell>
          <cell r="F10">
            <v>9468</v>
          </cell>
          <cell r="G10">
            <v>11951.333333</v>
          </cell>
          <cell r="H10">
            <v>10618</v>
          </cell>
          <cell r="I10">
            <v>16042.333333</v>
          </cell>
          <cell r="J10">
            <v>26034</v>
          </cell>
          <cell r="K10">
            <v>27504.666667000001</v>
          </cell>
        </row>
        <row r="12">
          <cell r="C12">
            <v>771.88367000000005</v>
          </cell>
          <cell r="D12">
            <v>916.43499999999995</v>
          </cell>
          <cell r="E12">
            <v>1829.3333299999999</v>
          </cell>
          <cell r="F12">
            <v>3094.6666700000001</v>
          </cell>
          <cell r="G12">
            <v>4063.6666700000001</v>
          </cell>
          <cell r="H12">
            <v>2614</v>
          </cell>
          <cell r="I12">
            <v>4437.3333300000004</v>
          </cell>
          <cell r="J12">
            <v>9569.6666700000005</v>
          </cell>
          <cell r="K12">
            <v>6149</v>
          </cell>
        </row>
        <row r="24">
          <cell r="C24">
            <v>-134.15733399999999</v>
          </cell>
          <cell r="D24">
            <v>-91.348332999999997</v>
          </cell>
          <cell r="E24">
            <v>-164</v>
          </cell>
          <cell r="F24">
            <v>-471.33333299999998</v>
          </cell>
          <cell r="G24">
            <v>-671</v>
          </cell>
          <cell r="H24">
            <v>-508.33333399999998</v>
          </cell>
          <cell r="I24">
            <v>-1082</v>
          </cell>
          <cell r="J24">
            <v>-979.33333300000004</v>
          </cell>
          <cell r="K24">
            <v>-1754.333333</v>
          </cell>
        </row>
      </sheetData>
      <sheetData sheetId="5">
        <row r="5">
          <cell r="K5">
            <v>51794.5</v>
          </cell>
          <cell r="L5">
            <v>77970.100000000006</v>
          </cell>
          <cell r="M5">
            <v>93531.8</v>
          </cell>
          <cell r="N5">
            <v>111484</v>
          </cell>
          <cell r="O5">
            <v>139956</v>
          </cell>
          <cell r="P5">
            <v>135485</v>
          </cell>
        </row>
        <row r="9">
          <cell r="K9">
            <v>28181.8</v>
          </cell>
          <cell r="L9">
            <v>45402.400000000001</v>
          </cell>
          <cell r="M9">
            <v>54401</v>
          </cell>
          <cell r="N9">
            <v>65999.600000000006</v>
          </cell>
          <cell r="O9">
            <v>83947.3</v>
          </cell>
          <cell r="P9">
            <v>81477.7</v>
          </cell>
        </row>
      </sheetData>
      <sheetData sheetId="6">
        <row r="32">
          <cell r="C32">
            <v>-202.527008</v>
          </cell>
          <cell r="D32">
            <v>-51</v>
          </cell>
          <cell r="E32">
            <v>-679</v>
          </cell>
          <cell r="F32">
            <v>185</v>
          </cell>
          <cell r="G32">
            <v>-857</v>
          </cell>
          <cell r="H32">
            <v>717</v>
          </cell>
          <cell r="I32">
            <v>-703</v>
          </cell>
          <cell r="J32">
            <v>-3363</v>
          </cell>
          <cell r="K32">
            <v>-2207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A0FA-AB59-483B-85AC-2FAFADB2EC7A}">
  <dimension ref="A2:U37"/>
  <sheetViews>
    <sheetView tabSelected="1" topLeftCell="A6" workbookViewId="0">
      <selection activeCell="B39" sqref="B39"/>
    </sheetView>
  </sheetViews>
  <sheetFormatPr defaultRowHeight="15" x14ac:dyDescent="0.25"/>
  <cols>
    <col min="1" max="1" width="3.7109375" customWidth="1"/>
    <col min="4" max="4" width="10.7109375" bestFit="1" customWidth="1"/>
    <col min="7" max="7" width="9.140625" customWidth="1"/>
  </cols>
  <sheetData>
    <row r="2" spans="1:21" s="40" customFormat="1" ht="21" x14ac:dyDescent="0.35">
      <c r="B2" s="1" t="s">
        <v>49</v>
      </c>
    </row>
    <row r="3" spans="1:21" x14ac:dyDescent="0.25">
      <c r="C3" s="33"/>
    </row>
    <row r="4" spans="1:21" x14ac:dyDescent="0.25">
      <c r="B4" s="41" t="s">
        <v>0</v>
      </c>
      <c r="D4" s="3" t="s">
        <v>7</v>
      </c>
      <c r="F4" t="s">
        <v>1</v>
      </c>
      <c r="I4" s="3"/>
    </row>
    <row r="5" spans="1:21" x14ac:dyDescent="0.25">
      <c r="B5" t="s">
        <v>2</v>
      </c>
      <c r="D5" s="5">
        <v>45209</v>
      </c>
      <c r="F5" t="s">
        <v>3</v>
      </c>
      <c r="I5" s="5"/>
    </row>
    <row r="6" spans="1:21" x14ac:dyDescent="0.25">
      <c r="B6" t="s">
        <v>51</v>
      </c>
      <c r="D6" s="5">
        <v>45107</v>
      </c>
      <c r="F6" t="s">
        <v>5</v>
      </c>
      <c r="I6" s="5"/>
    </row>
    <row r="8" spans="1:21" x14ac:dyDescent="0.25">
      <c r="A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21" x14ac:dyDescent="0.25">
      <c r="B9" s="8" t="s">
        <v>50</v>
      </c>
      <c r="G9" s="8" t="s">
        <v>56</v>
      </c>
      <c r="K9" s="8" t="s">
        <v>57</v>
      </c>
      <c r="O9" s="8" t="s">
        <v>13</v>
      </c>
    </row>
    <row r="10" spans="1:21" x14ac:dyDescent="0.25">
      <c r="B10" t="s">
        <v>14</v>
      </c>
      <c r="E10" s="3"/>
    </row>
    <row r="11" spans="1:21" x14ac:dyDescent="0.25">
      <c r="B11" t="s">
        <v>52</v>
      </c>
      <c r="E11" s="3"/>
    </row>
    <row r="12" spans="1:21" x14ac:dyDescent="0.25">
      <c r="B12" t="s">
        <v>53</v>
      </c>
      <c r="E12" s="3"/>
    </row>
    <row r="13" spans="1:21" x14ac:dyDescent="0.25">
      <c r="B13" t="s">
        <v>54</v>
      </c>
      <c r="E13" s="3"/>
    </row>
    <row r="14" spans="1:21" x14ac:dyDescent="0.25">
      <c r="B14" t="s">
        <v>55</v>
      </c>
      <c r="E14" s="3"/>
    </row>
    <row r="16" spans="1:21" x14ac:dyDescent="0.25">
      <c r="A16" t="s">
        <v>8</v>
      </c>
      <c r="B16" s="7" t="s">
        <v>64</v>
      </c>
      <c r="C16" s="7"/>
      <c r="D16" s="7"/>
      <c r="E16" s="7"/>
      <c r="F16" s="7">
        <v>2015</v>
      </c>
      <c r="G16" s="7">
        <f t="shared" ref="G16:N16" si="0">F16+1</f>
        <v>2016</v>
      </c>
      <c r="H16" s="7">
        <f t="shared" si="0"/>
        <v>2017</v>
      </c>
      <c r="I16" s="7">
        <f t="shared" si="0"/>
        <v>2018</v>
      </c>
      <c r="J16" s="7">
        <f t="shared" si="0"/>
        <v>2019</v>
      </c>
      <c r="K16" s="7">
        <f t="shared" si="0"/>
        <v>2020</v>
      </c>
      <c r="L16" s="7">
        <f t="shared" si="0"/>
        <v>2021</v>
      </c>
      <c r="M16" s="7">
        <f t="shared" si="0"/>
        <v>2022</v>
      </c>
      <c r="N16" s="7">
        <f t="shared" si="0"/>
        <v>2023</v>
      </c>
      <c r="O16" s="12">
        <f>N16+1</f>
        <v>2024</v>
      </c>
      <c r="P16" s="12">
        <f t="shared" ref="P16:S16" si="1">O16+1</f>
        <v>2025</v>
      </c>
      <c r="Q16" s="12">
        <f t="shared" si="1"/>
        <v>2026</v>
      </c>
      <c r="R16" s="12">
        <f t="shared" si="1"/>
        <v>2027</v>
      </c>
      <c r="S16" s="12">
        <f t="shared" si="1"/>
        <v>2028</v>
      </c>
      <c r="U16">
        <v>-1</v>
      </c>
    </row>
    <row r="18" spans="2:19" x14ac:dyDescent="0.25">
      <c r="B18" s="41" t="s">
        <v>14</v>
      </c>
      <c r="C18" s="41"/>
      <c r="D18" s="41"/>
      <c r="E18" s="41"/>
      <c r="F18" s="47">
        <v>93580</v>
      </c>
      <c r="G18" s="47">
        <v>85320</v>
      </c>
      <c r="H18" s="47">
        <v>89950</v>
      </c>
      <c r="I18" s="47">
        <v>110360</v>
      </c>
      <c r="J18" s="47">
        <v>125843</v>
      </c>
      <c r="K18" s="47">
        <v>143015</v>
      </c>
      <c r="L18" s="47">
        <v>168088</v>
      </c>
      <c r="M18" s="47">
        <v>198270</v>
      </c>
      <c r="N18" s="47">
        <v>211915</v>
      </c>
      <c r="O18" s="41"/>
      <c r="P18" s="41"/>
      <c r="Q18" s="41"/>
      <c r="R18" s="41"/>
      <c r="S18" s="41"/>
    </row>
    <row r="19" spans="2:19" x14ac:dyDescent="0.25">
      <c r="B19" s="41" t="s">
        <v>58</v>
      </c>
      <c r="C19" s="41"/>
      <c r="D19" s="41"/>
      <c r="E19" s="41"/>
      <c r="F19" s="47">
        <v>-33038</v>
      </c>
      <c r="G19" s="47">
        <v>-32780</v>
      </c>
      <c r="H19" s="47">
        <v>-34261</v>
      </c>
      <c r="I19" s="47">
        <v>-38353</v>
      </c>
      <c r="J19" s="47">
        <v>-42910</v>
      </c>
      <c r="K19" s="47">
        <v>-46078</v>
      </c>
      <c r="L19" s="47">
        <v>-52232</v>
      </c>
      <c r="M19" s="47">
        <v>-62650</v>
      </c>
      <c r="N19" s="47">
        <v>-65863</v>
      </c>
      <c r="O19" s="41"/>
      <c r="P19" s="41"/>
      <c r="Q19" s="41"/>
      <c r="R19" s="41"/>
      <c r="S19" s="41"/>
    </row>
    <row r="20" spans="2:19" x14ac:dyDescent="0.25">
      <c r="B20" s="42" t="s">
        <v>52</v>
      </c>
      <c r="C20" s="41"/>
      <c r="D20" s="41"/>
      <c r="E20" s="41"/>
      <c r="F20" s="45">
        <f>SUM(F18:F19)</f>
        <v>60542</v>
      </c>
      <c r="G20" s="45">
        <f>SUM(G18:G19)</f>
        <v>52540</v>
      </c>
      <c r="H20" s="45">
        <f>SUM(H18:H19)</f>
        <v>55689</v>
      </c>
      <c r="I20" s="45">
        <f>SUM(I18:I19)</f>
        <v>72007</v>
      </c>
      <c r="J20" s="45">
        <f>SUM(J18:J19)</f>
        <v>82933</v>
      </c>
      <c r="K20" s="45">
        <f>SUM(K18:K19)</f>
        <v>96937</v>
      </c>
      <c r="L20" s="45">
        <f>SUM(L18:L19)</f>
        <v>115856</v>
      </c>
      <c r="M20" s="45">
        <f>SUM(M18:M19)</f>
        <v>135620</v>
      </c>
      <c r="N20" s="45">
        <f>SUM(N18:N19)</f>
        <v>146052</v>
      </c>
      <c r="O20" s="41"/>
      <c r="P20" s="41"/>
      <c r="Q20" s="41"/>
      <c r="R20" s="41"/>
      <c r="S20" s="41"/>
    </row>
    <row r="21" spans="2:19" x14ac:dyDescent="0.25">
      <c r="B21" s="41" t="s">
        <v>53</v>
      </c>
      <c r="C21" s="41"/>
      <c r="D21" s="41"/>
      <c r="E21" s="41"/>
      <c r="F21" s="47">
        <v>-12046</v>
      </c>
      <c r="G21" s="47">
        <v>-11988</v>
      </c>
      <c r="H21" s="47">
        <v>-13037</v>
      </c>
      <c r="I21" s="47">
        <v>-14726</v>
      </c>
      <c r="J21" s="47">
        <v>-16876</v>
      </c>
      <c r="K21" s="47">
        <v>-19269</v>
      </c>
      <c r="L21" s="47">
        <v>-20716</v>
      </c>
      <c r="M21" s="47">
        <v>-24512</v>
      </c>
      <c r="N21" s="47">
        <v>-27195</v>
      </c>
      <c r="O21" s="41"/>
      <c r="P21" s="41"/>
      <c r="Q21" s="41"/>
      <c r="R21" s="41"/>
      <c r="S21" s="41"/>
    </row>
    <row r="22" spans="2:19" x14ac:dyDescent="0.25">
      <c r="B22" s="41" t="s">
        <v>54</v>
      </c>
      <c r="C22" s="41"/>
      <c r="D22" s="41"/>
      <c r="E22" s="41"/>
      <c r="F22" s="47">
        <v>-30335</v>
      </c>
      <c r="G22" s="47">
        <v>-20370</v>
      </c>
      <c r="H22" s="47">
        <v>-20326</v>
      </c>
      <c r="I22" s="47">
        <v>-22223</v>
      </c>
      <c r="J22" s="47">
        <v>-23098</v>
      </c>
      <c r="K22" s="47">
        <v>-24709</v>
      </c>
      <c r="L22" s="47">
        <v>-25224</v>
      </c>
      <c r="M22" s="47">
        <v>-27725</v>
      </c>
      <c r="N22" s="47">
        <v>-30334</v>
      </c>
      <c r="O22" s="41"/>
      <c r="P22" s="41"/>
      <c r="Q22" s="41"/>
      <c r="R22" s="41"/>
      <c r="S22" s="41"/>
    </row>
    <row r="23" spans="2:19" x14ac:dyDescent="0.25">
      <c r="B23" s="42" t="s">
        <v>16</v>
      </c>
      <c r="C23" s="41"/>
      <c r="D23" s="41"/>
      <c r="E23" s="41"/>
      <c r="F23" s="45">
        <f>SUM(F20:F22)</f>
        <v>18161</v>
      </c>
      <c r="G23" s="45">
        <f t="shared" ref="G23:H23" si="2">SUM(G20:G22)</f>
        <v>20182</v>
      </c>
      <c r="H23" s="45">
        <f t="shared" si="2"/>
        <v>22326</v>
      </c>
      <c r="I23" s="45">
        <f t="shared" ref="I23" si="3">SUM(I20:I22)</f>
        <v>35058</v>
      </c>
      <c r="J23" s="45">
        <f t="shared" ref="J23" si="4">SUM(J20:J22)</f>
        <v>42959</v>
      </c>
      <c r="K23" s="45">
        <f t="shared" ref="K23" si="5">SUM(K20:K22)</f>
        <v>52959</v>
      </c>
      <c r="L23" s="45">
        <f t="shared" ref="L23" si="6">SUM(L20:L22)</f>
        <v>69916</v>
      </c>
      <c r="M23" s="45">
        <f t="shared" ref="M23" si="7">SUM(M20:M22)</f>
        <v>83383</v>
      </c>
      <c r="N23" s="45">
        <f t="shared" ref="N23" si="8">SUM(N20:N22)</f>
        <v>88523</v>
      </c>
      <c r="O23" s="41"/>
      <c r="P23" s="41"/>
      <c r="Q23" s="41"/>
      <c r="R23" s="41"/>
      <c r="S23" s="41"/>
    </row>
    <row r="24" spans="2:19" x14ac:dyDescent="0.25">
      <c r="B24" s="41" t="s">
        <v>60</v>
      </c>
      <c r="C24" s="41"/>
      <c r="D24" s="41"/>
      <c r="E24" s="41"/>
      <c r="F24" s="47">
        <v>766</v>
      </c>
      <c r="G24" s="47">
        <v>903</v>
      </c>
      <c r="H24" s="47">
        <v>1387</v>
      </c>
      <c r="I24" s="47">
        <v>2214</v>
      </c>
      <c r="J24" s="47">
        <v>2762</v>
      </c>
      <c r="K24" s="47">
        <v>2680</v>
      </c>
      <c r="L24" s="47">
        <v>2131</v>
      </c>
      <c r="M24" s="47">
        <v>2094</v>
      </c>
      <c r="N24" s="47">
        <v>2994</v>
      </c>
      <c r="O24" s="41"/>
      <c r="P24" s="41"/>
      <c r="Q24" s="41"/>
      <c r="R24" s="41"/>
      <c r="S24" s="41"/>
    </row>
    <row r="25" spans="2:19" x14ac:dyDescent="0.25">
      <c r="B25" s="41" t="s">
        <v>59</v>
      </c>
      <c r="C25" s="41"/>
      <c r="D25" s="41"/>
      <c r="E25" s="41"/>
      <c r="F25" s="47">
        <v>-781</v>
      </c>
      <c r="G25" s="47">
        <v>-1243</v>
      </c>
      <c r="H25" s="47">
        <v>-2222</v>
      </c>
      <c r="I25" s="47">
        <v>-2733</v>
      </c>
      <c r="J25" s="47">
        <v>-2686</v>
      </c>
      <c r="K25" s="47">
        <v>-2591</v>
      </c>
      <c r="L25" s="47">
        <v>-2346</v>
      </c>
      <c r="M25" s="47">
        <v>-2063</v>
      </c>
      <c r="N25" s="47">
        <v>-1968</v>
      </c>
      <c r="O25" s="41"/>
      <c r="P25" s="41"/>
      <c r="Q25" s="41"/>
      <c r="R25" s="41"/>
      <c r="S25" s="41"/>
    </row>
    <row r="26" spans="2:19" x14ac:dyDescent="0.25">
      <c r="B26" s="42" t="s">
        <v>61</v>
      </c>
      <c r="C26" s="41"/>
      <c r="D26" s="41"/>
      <c r="E26" s="41"/>
      <c r="F26" s="45">
        <f>SUM(F23:F25)</f>
        <v>18146</v>
      </c>
      <c r="G26" s="45">
        <f t="shared" ref="G26:H26" si="9">SUM(G23:G25)</f>
        <v>19842</v>
      </c>
      <c r="H26" s="45">
        <f t="shared" si="9"/>
        <v>21491</v>
      </c>
      <c r="I26" s="45">
        <f t="shared" ref="I26" si="10">SUM(I23:I25)</f>
        <v>34539</v>
      </c>
      <c r="J26" s="45">
        <f t="shared" ref="J26" si="11">SUM(J23:J25)</f>
        <v>43035</v>
      </c>
      <c r="K26" s="45">
        <f t="shared" ref="K26" si="12">SUM(K23:K25)</f>
        <v>53048</v>
      </c>
      <c r="L26" s="45">
        <f t="shared" ref="L26" si="13">SUM(L23:L25)</f>
        <v>69701</v>
      </c>
      <c r="M26" s="45">
        <f t="shared" ref="M26" si="14">SUM(M23:M25)</f>
        <v>83414</v>
      </c>
      <c r="N26" s="45">
        <f t="shared" ref="N26" si="15">SUM(N23:N25)</f>
        <v>89549</v>
      </c>
      <c r="O26" s="41"/>
      <c r="P26" s="41"/>
      <c r="Q26" s="41"/>
      <c r="R26" s="41"/>
      <c r="S26" s="41"/>
    </row>
    <row r="27" spans="2:19" x14ac:dyDescent="0.25">
      <c r="B27" s="41" t="s">
        <v>62</v>
      </c>
      <c r="C27" s="41"/>
      <c r="D27" s="41"/>
      <c r="E27" s="41"/>
      <c r="F27" s="47">
        <v>-6314</v>
      </c>
      <c r="G27" s="47">
        <v>-2953</v>
      </c>
      <c r="H27" s="47">
        <v>-1945</v>
      </c>
      <c r="I27" s="47">
        <v>-19903</v>
      </c>
      <c r="J27" s="47">
        <v>-4448</v>
      </c>
      <c r="K27" s="47">
        <v>-8755</v>
      </c>
      <c r="L27" s="47">
        <v>-9831</v>
      </c>
      <c r="M27" s="47">
        <v>-10978</v>
      </c>
      <c r="N27" s="47">
        <v>-16950</v>
      </c>
      <c r="O27" s="41"/>
      <c r="P27" s="41"/>
      <c r="Q27" s="41"/>
      <c r="R27" s="41"/>
      <c r="S27" s="41"/>
    </row>
    <row r="28" spans="2:19" x14ac:dyDescent="0.25">
      <c r="B28" s="43" t="s">
        <v>63</v>
      </c>
      <c r="C28" s="41"/>
      <c r="D28" s="41"/>
      <c r="E28" s="41"/>
      <c r="F28" s="45">
        <f>SUM(F26:F27)</f>
        <v>11832</v>
      </c>
      <c r="G28" s="45">
        <f t="shared" ref="G28:H28" si="16">SUM(G26:G27)</f>
        <v>16889</v>
      </c>
      <c r="H28" s="45">
        <f t="shared" si="16"/>
        <v>19546</v>
      </c>
      <c r="I28" s="45">
        <f t="shared" ref="I28" si="17">SUM(I26:I27)</f>
        <v>14636</v>
      </c>
      <c r="J28" s="45">
        <f t="shared" ref="J28" si="18">SUM(J26:J27)</f>
        <v>38587</v>
      </c>
      <c r="K28" s="45">
        <f t="shared" ref="K28" si="19">SUM(K26:K27)</f>
        <v>44293</v>
      </c>
      <c r="L28" s="45">
        <f t="shared" ref="L28" si="20">SUM(L26:L27)</f>
        <v>59870</v>
      </c>
      <c r="M28" s="45">
        <f t="shared" ref="M28" si="21">SUM(M26:M27)</f>
        <v>72436</v>
      </c>
      <c r="N28" s="45">
        <f t="shared" ref="N28" si="22">SUM(N26:N27)</f>
        <v>72599</v>
      </c>
      <c r="O28" s="41"/>
      <c r="P28" s="41"/>
      <c r="Q28" s="41"/>
      <c r="R28" s="41"/>
      <c r="S28" s="41"/>
    </row>
    <row r="29" spans="2:19" x14ac:dyDescent="0.25">
      <c r="B29" s="43"/>
      <c r="C29" s="41"/>
      <c r="D29" s="41"/>
      <c r="E29" s="41"/>
      <c r="F29" s="48"/>
      <c r="G29" s="48"/>
      <c r="H29" s="48"/>
      <c r="I29" s="48"/>
      <c r="J29" s="48"/>
      <c r="K29" s="48"/>
      <c r="L29" s="48"/>
      <c r="M29" s="48"/>
      <c r="N29" s="48"/>
      <c r="O29" s="41"/>
      <c r="P29" s="41"/>
      <c r="Q29" s="41"/>
      <c r="R29" s="41"/>
      <c r="S29" s="41"/>
    </row>
    <row r="30" spans="2:19" x14ac:dyDescent="0.25">
      <c r="B30" s="46" t="s">
        <v>66</v>
      </c>
      <c r="C30" s="41"/>
      <c r="D30" s="41"/>
      <c r="E30" s="41"/>
      <c r="F30" s="48"/>
      <c r="G30" s="48"/>
      <c r="H30" s="48"/>
      <c r="I30" s="48"/>
      <c r="J30" s="48"/>
      <c r="K30" s="48"/>
      <c r="L30" s="48"/>
      <c r="M30" s="48"/>
      <c r="N30" s="48"/>
      <c r="O30" s="41"/>
      <c r="P30" s="41"/>
      <c r="Q30" s="41"/>
      <c r="R30" s="41"/>
      <c r="S30" s="41"/>
    </row>
    <row r="31" spans="2:19" x14ac:dyDescent="0.25">
      <c r="B31" s="41" t="s">
        <v>14</v>
      </c>
      <c r="C31" s="41"/>
      <c r="D31" s="41"/>
      <c r="E31" s="41"/>
      <c r="F31" s="47"/>
      <c r="G31" s="49">
        <f>(G18-F18)/G18</f>
        <v>-9.6812001875293013E-2</v>
      </c>
      <c r="H31" s="49">
        <f>(H18-G18)/H18</f>
        <v>5.1473040578098941E-2</v>
      </c>
      <c r="I31" s="49">
        <f>(I18-H18)/I18</f>
        <v>0.18494019572308806</v>
      </c>
      <c r="J31" s="49">
        <f>(J18-I18)/J18</f>
        <v>0.12303425697098766</v>
      </c>
      <c r="K31" s="49">
        <f>(K18-J18)/K18</f>
        <v>0.12007132119008496</v>
      </c>
      <c r="L31" s="49">
        <f>(L18-K18)/L18</f>
        <v>0.1491659130931417</v>
      </c>
      <c r="M31" s="49">
        <f>(M18-L18)/M18</f>
        <v>0.15222676148686135</v>
      </c>
      <c r="N31" s="49">
        <f>(N18-M18)/N18</f>
        <v>6.4389023901092413E-2</v>
      </c>
      <c r="O31" s="44"/>
      <c r="P31" s="44"/>
      <c r="Q31" s="44"/>
      <c r="R31" s="44"/>
      <c r="S31" s="44"/>
    </row>
    <row r="32" spans="2:19" x14ac:dyDescent="0.25">
      <c r="B32" s="41" t="s">
        <v>52</v>
      </c>
      <c r="C32" s="41"/>
      <c r="D32" s="41"/>
      <c r="E32" s="41"/>
      <c r="F32" s="47"/>
      <c r="G32" s="49">
        <f>(G20-F20)/G20</f>
        <v>-0.15230300723258469</v>
      </c>
      <c r="H32" s="49">
        <f t="shared" ref="H32:N32" si="23">(H20-G20)/H20</f>
        <v>5.6546176085043726E-2</v>
      </c>
      <c r="I32" s="49">
        <f t="shared" si="23"/>
        <v>0.22661685669448803</v>
      </c>
      <c r="J32" s="49">
        <f t="shared" si="23"/>
        <v>0.13174490251166604</v>
      </c>
      <c r="K32" s="49">
        <f t="shared" si="23"/>
        <v>0.14446496177929996</v>
      </c>
      <c r="L32" s="49">
        <f t="shared" si="23"/>
        <v>0.16329754177599778</v>
      </c>
      <c r="M32" s="49">
        <f t="shared" si="23"/>
        <v>0.14573071818315883</v>
      </c>
      <c r="N32" s="49">
        <f t="shared" si="23"/>
        <v>7.1426615178155725E-2</v>
      </c>
      <c r="O32" s="44"/>
      <c r="P32" s="44"/>
      <c r="Q32" s="44"/>
      <c r="R32" s="44"/>
      <c r="S32" s="44"/>
    </row>
    <row r="33" spans="1:19" x14ac:dyDescent="0.25">
      <c r="B33" s="41" t="s">
        <v>53</v>
      </c>
      <c r="C33" s="41"/>
      <c r="D33" s="41"/>
      <c r="E33" s="41"/>
      <c r="F33" s="47"/>
      <c r="G33" s="49">
        <f>(G21-F21)/G21</f>
        <v>-4.8381715048381718E-3</v>
      </c>
      <c r="H33" s="49">
        <f t="shared" ref="H33:N33" si="24">(H21-G21)/H21</f>
        <v>8.0463296770729456E-2</v>
      </c>
      <c r="I33" s="49">
        <f t="shared" si="24"/>
        <v>0.1146950971071574</v>
      </c>
      <c r="J33" s="49">
        <f t="shared" si="24"/>
        <v>0.12739985778620527</v>
      </c>
      <c r="K33" s="49">
        <f t="shared" si="24"/>
        <v>0.12418911204525404</v>
      </c>
      <c r="L33" s="49">
        <f t="shared" si="24"/>
        <v>6.9849391774473843E-2</v>
      </c>
      <c r="M33" s="49">
        <f t="shared" si="24"/>
        <v>0.15486292428198434</v>
      </c>
      <c r="N33" s="49">
        <f t="shared" si="24"/>
        <v>9.8657841514984371E-2</v>
      </c>
      <c r="O33" s="44"/>
      <c r="P33" s="44"/>
      <c r="Q33" s="44"/>
      <c r="R33" s="44"/>
      <c r="S33" s="44"/>
    </row>
    <row r="34" spans="1:19" x14ac:dyDescent="0.25">
      <c r="B34" s="41" t="s">
        <v>54</v>
      </c>
      <c r="C34" s="41"/>
      <c r="D34" s="41"/>
      <c r="E34" s="41"/>
      <c r="F34" s="47"/>
      <c r="G34" s="49">
        <f>(G22-F22)/G22</f>
        <v>-0.48919980363279331</v>
      </c>
      <c r="H34" s="49">
        <f t="shared" ref="H34:N34" si="25">(H22-G22)/H22</f>
        <v>-2.1647151431663878E-3</v>
      </c>
      <c r="I34" s="49">
        <f t="shared" si="25"/>
        <v>8.5362012329568471E-2</v>
      </c>
      <c r="J34" s="49">
        <f t="shared" si="25"/>
        <v>3.7882067711490171E-2</v>
      </c>
      <c r="K34" s="49">
        <f t="shared" si="25"/>
        <v>6.5198915374964583E-2</v>
      </c>
      <c r="L34" s="49">
        <f t="shared" si="25"/>
        <v>2.0417063114494132E-2</v>
      </c>
      <c r="M34" s="49">
        <f t="shared" si="25"/>
        <v>9.0207394048692519E-2</v>
      </c>
      <c r="N34" s="49">
        <f t="shared" si="25"/>
        <v>8.6009098701127454E-2</v>
      </c>
      <c r="O34" s="44"/>
      <c r="P34" s="44"/>
      <c r="Q34" s="44"/>
      <c r="R34" s="44"/>
      <c r="S34" s="44"/>
    </row>
    <row r="35" spans="1:19" x14ac:dyDescent="0.25">
      <c r="B35" s="41" t="s">
        <v>67</v>
      </c>
      <c r="F35" s="47"/>
      <c r="G35" s="49">
        <f>(G27/G26)*-1</f>
        <v>0.14882572321338575</v>
      </c>
      <c r="H35" s="49">
        <f>(H27/H26)*-1</f>
        <v>9.0503001256339866E-2</v>
      </c>
      <c r="I35" s="49">
        <f>(I27/I26)*-1</f>
        <v>0.57624714091317064</v>
      </c>
      <c r="J35" s="49">
        <f>(J27/J26)*-1</f>
        <v>0.10335773207854072</v>
      </c>
      <c r="K35" s="49">
        <f>(K27/K26)*-1</f>
        <v>0.1650392097722817</v>
      </c>
      <c r="L35" s="49">
        <f>(L27/L26)*-1</f>
        <v>0.14104532216180543</v>
      </c>
      <c r="M35" s="49">
        <f>(M27/M26)*-1</f>
        <v>0.13160860287241949</v>
      </c>
      <c r="N35" s="49">
        <f>(N27/N26)*-1</f>
        <v>0.18928184569341924</v>
      </c>
      <c r="O35" s="44"/>
      <c r="P35" s="44"/>
      <c r="Q35" s="44"/>
      <c r="R35" s="44"/>
      <c r="S35" s="44"/>
    </row>
    <row r="37" spans="1:19" x14ac:dyDescent="0.25">
      <c r="A37" t="s">
        <v>8</v>
      </c>
      <c r="B37" s="7" t="s">
        <v>65</v>
      </c>
      <c r="C37" s="7"/>
      <c r="D37" s="7"/>
      <c r="E37" s="7"/>
      <c r="F37" s="7">
        <v>2015</v>
      </c>
      <c r="G37" s="7">
        <f t="shared" ref="G37:N37" si="26">F37+1</f>
        <v>2016</v>
      </c>
      <c r="H37" s="7">
        <f t="shared" si="26"/>
        <v>2017</v>
      </c>
      <c r="I37" s="7">
        <f t="shared" si="26"/>
        <v>2018</v>
      </c>
      <c r="J37" s="7">
        <f t="shared" si="26"/>
        <v>2019</v>
      </c>
      <c r="K37" s="7">
        <f t="shared" si="26"/>
        <v>2020</v>
      </c>
      <c r="L37" s="7">
        <f t="shared" si="26"/>
        <v>2021</v>
      </c>
      <c r="M37" s="7">
        <f t="shared" si="26"/>
        <v>2022</v>
      </c>
      <c r="N37" s="7">
        <f t="shared" si="26"/>
        <v>2023</v>
      </c>
      <c r="O37" s="12">
        <f>N37+1</f>
        <v>2024</v>
      </c>
      <c r="P37" s="12">
        <f t="shared" ref="P37:S37" si="27">O37+1</f>
        <v>2025</v>
      </c>
      <c r="Q37" s="12">
        <f t="shared" si="27"/>
        <v>2026</v>
      </c>
      <c r="R37" s="12">
        <f t="shared" si="27"/>
        <v>2027</v>
      </c>
      <c r="S37" s="12">
        <f t="shared" si="27"/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53F4-E670-41A9-B096-B6E375EAE8AA}">
  <dimension ref="A2:S77"/>
  <sheetViews>
    <sheetView topLeftCell="A27" workbookViewId="0">
      <selection activeCell="M43" sqref="M43"/>
    </sheetView>
  </sheetViews>
  <sheetFormatPr defaultRowHeight="15" x14ac:dyDescent="0.25"/>
  <cols>
    <col min="1" max="1" width="3.7109375" customWidth="1"/>
    <col min="2" max="2" width="9.140625" customWidth="1"/>
    <col min="4" max="4" width="10.7109375" bestFit="1" customWidth="1"/>
  </cols>
  <sheetData>
    <row r="2" spans="1:19" s="2" customFormat="1" ht="21" x14ac:dyDescent="0.35">
      <c r="B2" s="1" t="s">
        <v>6</v>
      </c>
      <c r="C2" s="1"/>
    </row>
    <row r="4" spans="1:19" x14ac:dyDescent="0.25">
      <c r="B4" t="s">
        <v>0</v>
      </c>
      <c r="D4" s="3" t="s">
        <v>7</v>
      </c>
      <c r="F4" t="s">
        <v>1</v>
      </c>
      <c r="I4" s="4" t="e">
        <f ca="1">S77</f>
        <v>#DIV/0!</v>
      </c>
    </row>
    <row r="5" spans="1:19" x14ac:dyDescent="0.25">
      <c r="B5" t="s">
        <v>2</v>
      </c>
      <c r="D5" s="5">
        <v>45209</v>
      </c>
      <c r="F5" t="s">
        <v>3</v>
      </c>
      <c r="I5" s="4">
        <v>410.17</v>
      </c>
    </row>
    <row r="6" spans="1:19" x14ac:dyDescent="0.25">
      <c r="B6" t="s">
        <v>4</v>
      </c>
      <c r="D6" s="5">
        <v>45107</v>
      </c>
      <c r="F6" t="s">
        <v>5</v>
      </c>
      <c r="I6" s="6" t="e">
        <f ca="1">I4/I5-1</f>
        <v>#DIV/0!</v>
      </c>
    </row>
    <row r="8" spans="1:19" x14ac:dyDescent="0.25">
      <c r="A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B9" s="8" t="s">
        <v>10</v>
      </c>
      <c r="C9" s="8"/>
      <c r="G9" s="8" t="s">
        <v>11</v>
      </c>
      <c r="K9" s="8" t="s">
        <v>12</v>
      </c>
      <c r="O9" s="8" t="s">
        <v>13</v>
      </c>
    </row>
    <row r="10" spans="1:19" x14ac:dyDescent="0.25">
      <c r="B10" t="s">
        <v>14</v>
      </c>
      <c r="E10" s="3"/>
      <c r="G10" t="s">
        <v>15</v>
      </c>
      <c r="I10" s="9"/>
      <c r="O10" t="s">
        <v>15</v>
      </c>
      <c r="Q10" s="9"/>
    </row>
    <row r="11" spans="1:19" x14ac:dyDescent="0.25">
      <c r="B11" t="s">
        <v>16</v>
      </c>
      <c r="E11" s="3"/>
      <c r="G11" t="s">
        <v>17</v>
      </c>
      <c r="I11" s="9"/>
      <c r="K11" t="s">
        <v>17</v>
      </c>
      <c r="M11" s="9"/>
      <c r="O11" t="s">
        <v>17</v>
      </c>
      <c r="Q11" s="9"/>
    </row>
    <row r="12" spans="1:19" x14ac:dyDescent="0.25">
      <c r="B12" t="s">
        <v>18</v>
      </c>
      <c r="E12" s="3"/>
      <c r="G12" t="s">
        <v>19</v>
      </c>
      <c r="I12" s="9"/>
      <c r="O12" t="s">
        <v>19</v>
      </c>
      <c r="Q12" s="9"/>
    </row>
    <row r="13" spans="1:19" x14ac:dyDescent="0.25">
      <c r="B13" t="s">
        <v>20</v>
      </c>
      <c r="E13" s="3"/>
    </row>
    <row r="14" spans="1:19" x14ac:dyDescent="0.25">
      <c r="K14" t="s">
        <v>21</v>
      </c>
      <c r="M14" s="9"/>
    </row>
    <row r="15" spans="1:19" x14ac:dyDescent="0.25">
      <c r="B15" t="s">
        <v>18</v>
      </c>
      <c r="E15" s="10"/>
      <c r="G15" t="s">
        <v>18</v>
      </c>
      <c r="I15" s="9"/>
      <c r="K15" t="s">
        <v>18</v>
      </c>
      <c r="M15" s="9"/>
      <c r="O15" t="s">
        <v>18</v>
      </c>
      <c r="Q15" s="9"/>
    </row>
    <row r="16" spans="1:19" x14ac:dyDescent="0.25">
      <c r="B16" t="s">
        <v>20</v>
      </c>
      <c r="E16" s="10"/>
      <c r="G16" t="s">
        <v>20</v>
      </c>
      <c r="I16" s="9"/>
      <c r="K16" t="s">
        <v>20</v>
      </c>
      <c r="M16" s="9"/>
      <c r="O16" t="s">
        <v>20</v>
      </c>
      <c r="Q16" s="11"/>
    </row>
    <row r="18" spans="1:19" x14ac:dyDescent="0.25">
      <c r="A18" t="s">
        <v>8</v>
      </c>
      <c r="B18" s="7" t="s">
        <v>22</v>
      </c>
      <c r="C18" s="7"/>
      <c r="D18" s="7"/>
      <c r="E18" s="7">
        <v>2014</v>
      </c>
      <c r="F18" s="7">
        <f>E18+1</f>
        <v>2015</v>
      </c>
      <c r="G18" s="7">
        <f t="shared" ref="G18:S18" si="0">F18+1</f>
        <v>2016</v>
      </c>
      <c r="H18" s="7">
        <f t="shared" si="0"/>
        <v>2017</v>
      </c>
      <c r="I18" s="7">
        <f t="shared" si="0"/>
        <v>2018</v>
      </c>
      <c r="J18" s="7">
        <f t="shared" si="0"/>
        <v>2019</v>
      </c>
      <c r="K18" s="7">
        <f t="shared" si="0"/>
        <v>2020</v>
      </c>
      <c r="L18" s="7">
        <f t="shared" si="0"/>
        <v>2021</v>
      </c>
      <c r="M18" s="7">
        <f t="shared" si="0"/>
        <v>2022</v>
      </c>
      <c r="N18" s="12">
        <f t="shared" si="0"/>
        <v>2023</v>
      </c>
      <c r="O18" s="12">
        <f t="shared" si="0"/>
        <v>2024</v>
      </c>
      <c r="P18" s="12">
        <f t="shared" si="0"/>
        <v>2025</v>
      </c>
      <c r="Q18" s="12">
        <f t="shared" si="0"/>
        <v>2026</v>
      </c>
      <c r="R18" s="12">
        <f t="shared" si="0"/>
        <v>2027</v>
      </c>
      <c r="S18" s="12">
        <f t="shared" si="0"/>
        <v>2028</v>
      </c>
    </row>
    <row r="19" spans="1:19" x14ac:dyDescent="0.25">
      <c r="B19" t="s">
        <v>14</v>
      </c>
      <c r="E19" s="13">
        <f>[1]Historicals!C10</f>
        <v>4646.0749999999998</v>
      </c>
      <c r="F19" s="13">
        <f>[1]Historicals!D10</f>
        <v>4959.8379999999997</v>
      </c>
      <c r="G19" s="13">
        <f>[1]Historicals!E10</f>
        <v>6652.6666670000004</v>
      </c>
      <c r="H19" s="13">
        <f>[1]Historicals!F10</f>
        <v>9468</v>
      </c>
      <c r="I19" s="13">
        <f>[1]Historicals!G10</f>
        <v>11951.333333</v>
      </c>
      <c r="J19" s="13">
        <f>[1]Historicals!H10</f>
        <v>10618</v>
      </c>
      <c r="K19" s="13">
        <f>[1]Historicals!I10</f>
        <v>16042.333333</v>
      </c>
      <c r="L19" s="13">
        <f>[1]Historicals!J10</f>
        <v>26034</v>
      </c>
      <c r="M19" s="13">
        <f>[1]Historicals!K10</f>
        <v>27504.666667000001</v>
      </c>
      <c r="N19" s="14">
        <f>[1]Estimates!K5</f>
        <v>51794.5</v>
      </c>
      <c r="O19" s="14">
        <f>[1]Estimates!L5</f>
        <v>77970.100000000006</v>
      </c>
      <c r="P19" s="14">
        <f>[1]Estimates!M5</f>
        <v>93531.8</v>
      </c>
      <c r="Q19" s="15">
        <f>[1]Estimates!N5</f>
        <v>111484</v>
      </c>
      <c r="R19" s="15">
        <f>[1]Estimates!O5</f>
        <v>139956</v>
      </c>
      <c r="S19" s="15">
        <f>[1]Estimates!P5</f>
        <v>135485</v>
      </c>
    </row>
    <row r="20" spans="1:19" x14ac:dyDescent="0.25">
      <c r="B20" s="16" t="s">
        <v>23</v>
      </c>
      <c r="C20" s="16"/>
      <c r="D20" s="16"/>
      <c r="E20" s="17" t="s">
        <v>24</v>
      </c>
      <c r="F20" s="18">
        <f>F19/E19-1</f>
        <v>6.7532917570207074E-2</v>
      </c>
      <c r="G20" s="18">
        <f t="shared" ref="G20:S20" si="1">G19/F19-1</f>
        <v>0.34130724975291549</v>
      </c>
      <c r="H20" s="18">
        <f t="shared" si="1"/>
        <v>0.42318869619084132</v>
      </c>
      <c r="I20" s="18">
        <f t="shared" si="1"/>
        <v>0.26228700179552189</v>
      </c>
      <c r="J20" s="18">
        <f t="shared" si="1"/>
        <v>-0.11156356331543382</v>
      </c>
      <c r="K20" s="18">
        <f t="shared" si="1"/>
        <v>0.51086205810887186</v>
      </c>
      <c r="L20" s="18">
        <f t="shared" si="1"/>
        <v>0.62283125899438629</v>
      </c>
      <c r="M20" s="18">
        <f t="shared" si="1"/>
        <v>5.6490230736728986E-2</v>
      </c>
      <c r="N20" s="18">
        <f t="shared" si="1"/>
        <v>0.88311680439824602</v>
      </c>
      <c r="O20" s="18">
        <f t="shared" si="1"/>
        <v>0.50537412273503945</v>
      </c>
      <c r="P20" s="18">
        <f t="shared" si="1"/>
        <v>0.19958548212712302</v>
      </c>
      <c r="Q20" s="18">
        <f t="shared" si="1"/>
        <v>0.19193685997703458</v>
      </c>
      <c r="R20" s="18">
        <f t="shared" si="1"/>
        <v>0.25539090811237486</v>
      </c>
      <c r="S20" s="18">
        <f t="shared" si="1"/>
        <v>-3.1945754379947955E-2</v>
      </c>
    </row>
    <row r="22" spans="1:19" x14ac:dyDescent="0.25">
      <c r="B22" t="s">
        <v>16</v>
      </c>
      <c r="E22" s="13">
        <f>[1]Historicals!C12</f>
        <v>771.88367000000005</v>
      </c>
      <c r="F22" s="13">
        <f>[1]Historicals!D12</f>
        <v>916.43499999999995</v>
      </c>
      <c r="G22" s="13">
        <f>[1]Historicals!E12</f>
        <v>1829.3333299999999</v>
      </c>
      <c r="H22" s="13">
        <f>[1]Historicals!F12</f>
        <v>3094.6666700000001</v>
      </c>
      <c r="I22" s="13">
        <f>[1]Historicals!G12</f>
        <v>4063.6666700000001</v>
      </c>
      <c r="J22" s="13">
        <f>[1]Historicals!H12</f>
        <v>2614</v>
      </c>
      <c r="K22" s="13">
        <f>[1]Historicals!I12</f>
        <v>4437.3333300000004</v>
      </c>
      <c r="L22" s="13">
        <f>[1]Historicals!J12</f>
        <v>9569.6666700000005</v>
      </c>
      <c r="M22" s="13">
        <f>[1]Historicals!K12</f>
        <v>6149</v>
      </c>
      <c r="N22" s="14">
        <f>[1]Estimates!K9</f>
        <v>28181.8</v>
      </c>
      <c r="O22" s="14">
        <f>[1]Estimates!L9</f>
        <v>45402.400000000001</v>
      </c>
      <c r="P22" s="14">
        <f>[1]Estimates!M9</f>
        <v>54401</v>
      </c>
      <c r="Q22" s="15">
        <f>[1]Estimates!N9</f>
        <v>65999.600000000006</v>
      </c>
      <c r="R22" s="15">
        <f>[1]Estimates!O9</f>
        <v>83947.3</v>
      </c>
      <c r="S22" s="15">
        <f>[1]Estimates!P9</f>
        <v>81477.7</v>
      </c>
    </row>
    <row r="23" spans="1:19" x14ac:dyDescent="0.25">
      <c r="B23" s="16" t="s">
        <v>25</v>
      </c>
      <c r="C23" s="16"/>
      <c r="D23" s="16"/>
      <c r="E23" s="18">
        <f>E22/E19</f>
        <v>0.16613672185662093</v>
      </c>
      <c r="F23" s="18">
        <f t="shared" ref="F23:S23" si="2">F22/F19</f>
        <v>0.18477115583210579</v>
      </c>
      <c r="G23" s="18">
        <f t="shared" si="2"/>
        <v>0.27497745213573616</v>
      </c>
      <c r="H23" s="18">
        <f t="shared" si="2"/>
        <v>0.32685537283481203</v>
      </c>
      <c r="I23" s="18">
        <f t="shared" si="2"/>
        <v>0.34001785045852673</v>
      </c>
      <c r="J23" s="18">
        <f t="shared" si="2"/>
        <v>0.24618572235825956</v>
      </c>
      <c r="K23" s="18">
        <f t="shared" si="2"/>
        <v>0.27660149168401527</v>
      </c>
      <c r="L23" s="18">
        <f t="shared" si="2"/>
        <v>0.36758341668587236</v>
      </c>
      <c r="M23" s="18">
        <f t="shared" si="2"/>
        <v>0.22356206219279681</v>
      </c>
      <c r="N23" s="18">
        <f t="shared" si="2"/>
        <v>0.54410796513143289</v>
      </c>
      <c r="O23" s="18">
        <f t="shared" si="2"/>
        <v>0.58230526830156681</v>
      </c>
      <c r="P23" s="18">
        <f t="shared" si="2"/>
        <v>0.581631060238336</v>
      </c>
      <c r="Q23" s="18">
        <f t="shared" si="2"/>
        <v>0.59200961572961153</v>
      </c>
      <c r="R23" s="18">
        <f t="shared" si="2"/>
        <v>0.59981208379776507</v>
      </c>
      <c r="S23" s="18">
        <f t="shared" si="2"/>
        <v>0.60137801232608779</v>
      </c>
    </row>
    <row r="25" spans="1:19" x14ac:dyDescent="0.25">
      <c r="A25" t="s">
        <v>8</v>
      </c>
      <c r="B25" s="7" t="s">
        <v>26</v>
      </c>
      <c r="C25" s="7"/>
      <c r="D25" s="7"/>
      <c r="E25" s="7">
        <f>E18</f>
        <v>2014</v>
      </c>
      <c r="F25" s="7">
        <f t="shared" ref="F25:M25" si="3">F18</f>
        <v>2015</v>
      </c>
      <c r="G25" s="7">
        <f t="shared" si="3"/>
        <v>2016</v>
      </c>
      <c r="H25" s="7">
        <f t="shared" si="3"/>
        <v>2017</v>
      </c>
      <c r="I25" s="7">
        <f t="shared" si="3"/>
        <v>2018</v>
      </c>
      <c r="J25" s="7">
        <f t="shared" si="3"/>
        <v>2019</v>
      </c>
      <c r="K25" s="7">
        <f t="shared" si="3"/>
        <v>2020</v>
      </c>
      <c r="L25" s="7">
        <f t="shared" si="3"/>
        <v>2021</v>
      </c>
      <c r="M25" s="7">
        <f t="shared" si="3"/>
        <v>2022</v>
      </c>
      <c r="N25" s="12">
        <f t="shared" ref="N25:S25" si="4">M25+1</f>
        <v>2023</v>
      </c>
      <c r="O25" s="12">
        <f t="shared" si="4"/>
        <v>2024</v>
      </c>
      <c r="P25" s="12">
        <f t="shared" si="4"/>
        <v>2025</v>
      </c>
      <c r="Q25" s="12">
        <f t="shared" si="4"/>
        <v>2026</v>
      </c>
      <c r="R25" s="12">
        <f t="shared" si="4"/>
        <v>2027</v>
      </c>
      <c r="S25" s="12">
        <f t="shared" si="4"/>
        <v>2028</v>
      </c>
    </row>
    <row r="26" spans="1:19" x14ac:dyDescent="0.25">
      <c r="B26" t="s">
        <v>27</v>
      </c>
      <c r="D26" s="19"/>
      <c r="E26" s="14">
        <v>223</v>
      </c>
      <c r="F26" s="14">
        <v>201</v>
      </c>
      <c r="G26" s="14">
        <v>195</v>
      </c>
      <c r="H26" s="14">
        <v>201</v>
      </c>
      <c r="I26" s="14">
        <v>240</v>
      </c>
      <c r="J26" s="14">
        <v>351</v>
      </c>
      <c r="K26" s="14">
        <v>1017</v>
      </c>
      <c r="L26" s="14">
        <v>1138</v>
      </c>
      <c r="M26" s="14">
        <v>1552</v>
      </c>
      <c r="N26" s="20"/>
      <c r="O26" s="20"/>
      <c r="P26" s="20"/>
      <c r="Q26" s="20"/>
      <c r="R26" s="20"/>
      <c r="S26" s="20"/>
    </row>
    <row r="27" spans="1:19" x14ac:dyDescent="0.25">
      <c r="B27" t="s">
        <v>25</v>
      </c>
      <c r="D27" s="19"/>
      <c r="E27" s="18">
        <f>E26/E19</f>
        <v>4.7997503268888256E-2</v>
      </c>
      <c r="F27" s="18">
        <f t="shared" ref="F27:M27" si="5">F26/F19</f>
        <v>4.0525517164068665E-2</v>
      </c>
      <c r="G27" s="18">
        <f t="shared" si="5"/>
        <v>2.9311554262485641E-2</v>
      </c>
      <c r="H27" s="18">
        <f t="shared" si="5"/>
        <v>2.1229404309252218E-2</v>
      </c>
      <c r="I27" s="18">
        <f t="shared" si="5"/>
        <v>2.0081441401798444E-2</v>
      </c>
      <c r="J27" s="18">
        <f t="shared" si="5"/>
        <v>3.3057072895083819E-2</v>
      </c>
      <c r="K27" s="18">
        <f t="shared" si="5"/>
        <v>6.3394768010958391E-2</v>
      </c>
      <c r="L27" s="18">
        <f t="shared" si="5"/>
        <v>4.3712068833064457E-2</v>
      </c>
      <c r="M27" s="18">
        <f t="shared" si="5"/>
        <v>5.642678818071567E-2</v>
      </c>
      <c r="N27" s="19"/>
      <c r="O27" s="19"/>
      <c r="P27" s="19"/>
      <c r="Q27" s="19"/>
      <c r="R27" s="19"/>
      <c r="S27" s="19"/>
    </row>
    <row r="28" spans="1:19" x14ac:dyDescent="0.25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x14ac:dyDescent="0.25">
      <c r="B29" t="s">
        <v>28</v>
      </c>
      <c r="D29" s="19"/>
      <c r="E29" s="13">
        <f>-[1]Historicals!C24</f>
        <v>134.15733399999999</v>
      </c>
      <c r="F29" s="13">
        <f>-[1]Historicals!D24</f>
        <v>91.348332999999997</v>
      </c>
      <c r="G29" s="13">
        <f>-[1]Historicals!E24</f>
        <v>164</v>
      </c>
      <c r="H29" s="13">
        <f>-[1]Historicals!F24</f>
        <v>471.33333299999998</v>
      </c>
      <c r="I29" s="13">
        <f>-[1]Historicals!G24</f>
        <v>671</v>
      </c>
      <c r="J29" s="13">
        <f>-[1]Historicals!H24</f>
        <v>508.33333399999998</v>
      </c>
      <c r="K29" s="13">
        <f>-[1]Historicals!I24</f>
        <v>1082</v>
      </c>
      <c r="L29" s="13">
        <f>-[1]Historicals!J24</f>
        <v>979.33333300000004</v>
      </c>
      <c r="M29" s="13">
        <f>-[1]Historicals!K24</f>
        <v>1754.333333</v>
      </c>
      <c r="N29" s="21"/>
      <c r="O29" s="19"/>
      <c r="P29" s="19"/>
      <c r="Q29" s="19"/>
      <c r="R29" s="19"/>
      <c r="S29" s="19"/>
    </row>
    <row r="30" spans="1:19" x14ac:dyDescent="0.25">
      <c r="B30" s="16" t="s">
        <v>25</v>
      </c>
      <c r="C30" s="16"/>
      <c r="D30" s="19"/>
      <c r="E30" s="18">
        <f t="shared" ref="E30:M30" si="6">E29/E19</f>
        <v>2.887541290228849E-2</v>
      </c>
      <c r="F30" s="18">
        <f t="shared" si="6"/>
        <v>1.8417604163684379E-2</v>
      </c>
      <c r="G30" s="18">
        <f t="shared" si="6"/>
        <v>2.4651768713064848E-2</v>
      </c>
      <c r="H30" s="18">
        <f t="shared" si="6"/>
        <v>4.9781720849176168E-2</v>
      </c>
      <c r="I30" s="18">
        <f t="shared" si="6"/>
        <v>5.6144363252528147E-2</v>
      </c>
      <c r="J30" s="18">
        <f t="shared" si="6"/>
        <v>4.7874678282162367E-2</v>
      </c>
      <c r="K30" s="18">
        <f t="shared" si="6"/>
        <v>6.7446547677342164E-2</v>
      </c>
      <c r="L30" s="18">
        <f t="shared" si="6"/>
        <v>3.7617474571713917E-2</v>
      </c>
      <c r="M30" s="18">
        <f t="shared" si="6"/>
        <v>6.3783115579613359E-2</v>
      </c>
      <c r="N30" s="19"/>
      <c r="O30" s="19"/>
      <c r="P30" s="19"/>
      <c r="Q30" s="19"/>
      <c r="R30" s="19"/>
      <c r="S30" s="19"/>
    </row>
    <row r="31" spans="1:19" x14ac:dyDescent="0.25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x14ac:dyDescent="0.25">
      <c r="B32" t="s">
        <v>29</v>
      </c>
      <c r="D32" s="19"/>
      <c r="E32" s="13">
        <f>-(11/12)*[1]CFS!C32+(1/12)*[1]CFS!D32</f>
        <v>181.39975733333333</v>
      </c>
      <c r="F32" s="13">
        <f>-(11/12)*[1]CFS!D32+(1/12)*[1]CFS!E32</f>
        <v>-9.8333333333333286</v>
      </c>
      <c r="G32" s="13">
        <f>-(11/12)*[1]CFS!E32+(1/12)*[1]CFS!F32</f>
        <v>637.83333333333326</v>
      </c>
      <c r="H32" s="13">
        <f>-(11/12)*[1]CFS!F32+(1/12)*[1]CFS!G32</f>
        <v>-240.99999999999997</v>
      </c>
      <c r="I32" s="13">
        <f>-(11/12)*[1]CFS!G32+(1/12)*[1]CFS!H32</f>
        <v>845.33333333333326</v>
      </c>
      <c r="J32" s="13">
        <f>-(11/12)*[1]CFS!H32+(1/12)*[1]CFS!I32</f>
        <v>-715.83333333333337</v>
      </c>
      <c r="K32" s="13">
        <f>-(11/12)*[1]CFS!I32+(1/12)*[1]CFS!J32</f>
        <v>364.16666666666663</v>
      </c>
      <c r="L32" s="13">
        <f>-(11/12)*[1]CFS!J32+(1/12)*[1]CFS!K32</f>
        <v>2898.8333333333335</v>
      </c>
      <c r="M32" s="21"/>
      <c r="N32" s="21"/>
      <c r="O32" s="19"/>
      <c r="P32" s="19"/>
      <c r="Q32" s="19"/>
      <c r="R32" s="19"/>
      <c r="S32" s="19"/>
    </row>
    <row r="33" spans="1:19" x14ac:dyDescent="0.25">
      <c r="B33" s="16" t="s">
        <v>25</v>
      </c>
      <c r="C33" s="16"/>
      <c r="D33" s="19"/>
      <c r="E33" s="18">
        <f>E32/E19</f>
        <v>3.9043656706646647E-2</v>
      </c>
      <c r="F33" s="18">
        <f t="shared" ref="F33:L33" si="7">F32/F19</f>
        <v>-1.9825916357214348E-3</v>
      </c>
      <c r="G33" s="18">
        <f t="shared" si="7"/>
        <v>9.5876340309856867E-2</v>
      </c>
      <c r="H33" s="18">
        <f t="shared" si="7"/>
        <v>-2.545416138572032E-2</v>
      </c>
      <c r="I33" s="18">
        <f t="shared" si="7"/>
        <v>7.0731299159667846E-2</v>
      </c>
      <c r="J33" s="18">
        <f t="shared" si="7"/>
        <v>-6.7416964902367052E-2</v>
      </c>
      <c r="K33" s="18">
        <f t="shared" si="7"/>
        <v>2.2700355310380872E-2</v>
      </c>
      <c r="L33" s="18">
        <f t="shared" si="7"/>
        <v>0.11134798084556094</v>
      </c>
      <c r="M33" s="18"/>
      <c r="N33" s="19"/>
      <c r="O33" s="19"/>
      <c r="P33" s="19"/>
      <c r="Q33" s="19"/>
      <c r="R33" s="19"/>
      <c r="S33" s="19"/>
    </row>
    <row r="34" spans="1:19" x14ac:dyDescent="0.25">
      <c r="B34" s="16" t="s">
        <v>30</v>
      </c>
      <c r="C34" s="16"/>
      <c r="F34" s="18">
        <f>F32/(F19-E19)</f>
        <v>-3.1340002910901957E-2</v>
      </c>
      <c r="G34" s="18">
        <f t="shared" ref="G34:L34" si="8">G32/(G19-F19)</f>
        <v>0.37678552222516976</v>
      </c>
      <c r="H34" s="18">
        <f t="shared" si="8"/>
        <v>-8.5602652153161582E-2</v>
      </c>
      <c r="I34" s="18">
        <f t="shared" si="8"/>
        <v>0.34040268460944995</v>
      </c>
      <c r="J34" s="18">
        <f t="shared" si="8"/>
        <v>0.53687500013421863</v>
      </c>
      <c r="K34" s="18">
        <f t="shared" si="8"/>
        <v>6.713574633239941E-2</v>
      </c>
      <c r="L34" s="18">
        <f t="shared" si="8"/>
        <v>0.29012510424386573</v>
      </c>
    </row>
    <row r="35" spans="1:19" x14ac:dyDescent="0.25">
      <c r="N35">
        <v>1</v>
      </c>
      <c r="O35">
        <f>N35+1</f>
        <v>2</v>
      </c>
      <c r="P35">
        <f t="shared" ref="P35:S36" si="9">O35+1</f>
        <v>3</v>
      </c>
      <c r="Q35">
        <f t="shared" si="9"/>
        <v>4</v>
      </c>
      <c r="R35">
        <f t="shared" si="9"/>
        <v>5</v>
      </c>
      <c r="S35">
        <f t="shared" si="9"/>
        <v>6</v>
      </c>
    </row>
    <row r="36" spans="1:19" x14ac:dyDescent="0.25">
      <c r="A36" t="s">
        <v>8</v>
      </c>
      <c r="B36" s="7" t="s">
        <v>31</v>
      </c>
      <c r="C36" s="7"/>
      <c r="D36" s="7"/>
      <c r="E36" s="7">
        <f>E25</f>
        <v>2014</v>
      </c>
      <c r="F36" s="7">
        <f>E36+1</f>
        <v>2015</v>
      </c>
      <c r="G36" s="7">
        <f t="shared" ref="G36:O36" si="10">F36+1</f>
        <v>2016</v>
      </c>
      <c r="H36" s="7">
        <f t="shared" si="10"/>
        <v>2017</v>
      </c>
      <c r="I36" s="7">
        <f t="shared" si="10"/>
        <v>2018</v>
      </c>
      <c r="J36" s="7">
        <f t="shared" si="10"/>
        <v>2019</v>
      </c>
      <c r="K36" s="7">
        <f t="shared" si="10"/>
        <v>2020</v>
      </c>
      <c r="L36" s="7">
        <f t="shared" si="10"/>
        <v>2021</v>
      </c>
      <c r="M36" s="7">
        <f t="shared" si="10"/>
        <v>2022</v>
      </c>
      <c r="N36" s="12">
        <f t="shared" si="10"/>
        <v>2023</v>
      </c>
      <c r="O36" s="12">
        <f t="shared" si="10"/>
        <v>2024</v>
      </c>
      <c r="P36" s="12">
        <f t="shared" si="9"/>
        <v>2025</v>
      </c>
      <c r="Q36" s="12">
        <f t="shared" si="9"/>
        <v>2026</v>
      </c>
      <c r="R36" s="12">
        <f t="shared" si="9"/>
        <v>2027</v>
      </c>
      <c r="S36" s="12">
        <f t="shared" si="9"/>
        <v>2028</v>
      </c>
    </row>
    <row r="37" spans="1:19" x14ac:dyDescent="0.25">
      <c r="B37" t="s">
        <v>14</v>
      </c>
      <c r="E37" s="22">
        <f>E19</f>
        <v>4646.0749999999998</v>
      </c>
      <c r="F37" s="22">
        <f t="shared" ref="F37:M37" si="11">F19</f>
        <v>4959.8379999999997</v>
      </c>
      <c r="G37" s="22">
        <f t="shared" si="11"/>
        <v>6652.6666670000004</v>
      </c>
      <c r="H37" s="22">
        <f t="shared" si="11"/>
        <v>9468</v>
      </c>
      <c r="I37" s="22">
        <f t="shared" si="11"/>
        <v>11951.333333</v>
      </c>
      <c r="J37" s="22">
        <f t="shared" si="11"/>
        <v>10618</v>
      </c>
      <c r="K37" s="22">
        <f t="shared" si="11"/>
        <v>16042.333333</v>
      </c>
      <c r="L37" s="22">
        <f t="shared" si="11"/>
        <v>26034</v>
      </c>
      <c r="M37" s="22">
        <f t="shared" si="11"/>
        <v>27504.666667000001</v>
      </c>
      <c r="N37" s="23">
        <f ca="1">M37*(1+N38)</f>
        <v>51794.5</v>
      </c>
      <c r="O37" s="23">
        <f t="shared" ref="O37:S37" ca="1" si="12">N37*(1+O38)</f>
        <v>77970.100000000006</v>
      </c>
      <c r="P37" s="23">
        <f t="shared" ca="1" si="12"/>
        <v>93531.8</v>
      </c>
      <c r="Q37" s="23">
        <f t="shared" ca="1" si="12"/>
        <v>107535.72293147843</v>
      </c>
      <c r="R37" s="23">
        <f t="shared" ca="1" si="12"/>
        <v>118274.43673158367</v>
      </c>
      <c r="S37" s="23">
        <f t="shared" ca="1" si="12"/>
        <v>124188.15856816286</v>
      </c>
    </row>
    <row r="38" spans="1:19" x14ac:dyDescent="0.25">
      <c r="B38" s="16" t="s">
        <v>23</v>
      </c>
      <c r="C38" s="16"/>
      <c r="E38" s="24" t="s">
        <v>24</v>
      </c>
      <c r="F38" s="18">
        <f>F37/E37-1</f>
        <v>6.7532917570207074E-2</v>
      </c>
      <c r="G38" s="18">
        <f t="shared" ref="G38:M38" si="13">G37/F37-1</f>
        <v>0.34130724975291549</v>
      </c>
      <c r="H38" s="18">
        <f t="shared" si="13"/>
        <v>0.42318869619084132</v>
      </c>
      <c r="I38" s="18">
        <f t="shared" si="13"/>
        <v>0.26228700179552189</v>
      </c>
      <c r="J38" s="18">
        <f t="shared" si="13"/>
        <v>-0.11156356331543382</v>
      </c>
      <c r="K38" s="18">
        <f t="shared" si="13"/>
        <v>0.51086205810887186</v>
      </c>
      <c r="L38" s="18">
        <f t="shared" si="13"/>
        <v>0.62283125899438629</v>
      </c>
      <c r="M38" s="18">
        <f t="shared" si="13"/>
        <v>5.6490230736728986E-2</v>
      </c>
      <c r="N38" s="18">
        <f ca="1">OFFSET(N38,$E$10,0)</f>
        <v>0.88311680439824602</v>
      </c>
      <c r="O38" s="18">
        <f t="shared" ref="O38:S38" ca="1" si="14">OFFSET(O38,$E$10,0)</f>
        <v>0.50537412273503945</v>
      </c>
      <c r="P38" s="18">
        <f t="shared" ca="1" si="14"/>
        <v>0.19958548212712302</v>
      </c>
      <c r="Q38" s="18">
        <f t="shared" ca="1" si="14"/>
        <v>0.14972365475141533</v>
      </c>
      <c r="R38" s="18">
        <f t="shared" ca="1" si="14"/>
        <v>9.9861827375707646E-2</v>
      </c>
      <c r="S38" s="18">
        <f t="shared" ca="1" si="14"/>
        <v>0.05</v>
      </c>
    </row>
    <row r="39" spans="1:19" x14ac:dyDescent="0.25">
      <c r="B39" t="s">
        <v>32</v>
      </c>
      <c r="N39" s="25">
        <f>N40</f>
        <v>0.88311680439824602</v>
      </c>
      <c r="O39" s="25">
        <f>O40*$I$10</f>
        <v>0</v>
      </c>
      <c r="P39" s="25">
        <f>P40*$I$10</f>
        <v>0</v>
      </c>
      <c r="Q39" s="25">
        <f>P39-($P$39-$S$39)/($S$36-$P$36)</f>
        <v>0</v>
      </c>
      <c r="R39" s="25">
        <f>Q39-($P$39-$S$39)/($S$36-$P$36)</f>
        <v>0</v>
      </c>
      <c r="S39" s="25">
        <f>I11</f>
        <v>0</v>
      </c>
    </row>
    <row r="40" spans="1:19" x14ac:dyDescent="0.25">
      <c r="B40" t="s">
        <v>33</v>
      </c>
      <c r="N40" s="25">
        <f>N20</f>
        <v>0.88311680439824602</v>
      </c>
      <c r="O40" s="25">
        <f t="shared" ref="O40:P40" si="15">O20</f>
        <v>0.50537412273503945</v>
      </c>
      <c r="P40" s="25">
        <f t="shared" si="15"/>
        <v>0.19958548212712302</v>
      </c>
      <c r="Q40" s="25">
        <f>P40-($P$40-$S$40)/($S$36-$P$36)</f>
        <v>0.1330569880847487</v>
      </c>
      <c r="R40" s="25">
        <f>Q40-($P$40-$S$40)/($S$36-$P$36)</f>
        <v>6.6528494042374361E-2</v>
      </c>
      <c r="S40" s="25">
        <f>M11</f>
        <v>0</v>
      </c>
    </row>
    <row r="41" spans="1:19" x14ac:dyDescent="0.25">
      <c r="B41" t="s">
        <v>34</v>
      </c>
      <c r="N41" s="25">
        <f>N40</f>
        <v>0.88311680439824602</v>
      </c>
      <c r="O41" s="25">
        <f>O40*$Q$10</f>
        <v>0</v>
      </c>
      <c r="P41" s="25">
        <f>P40*$Q$10</f>
        <v>0</v>
      </c>
      <c r="Q41" s="25">
        <f>P41-($P$41-$S$41)/($S$36-$P$36)</f>
        <v>0</v>
      </c>
      <c r="R41" s="25">
        <f>Q41-($P$41-$S$41)/($S$36-$P$36)</f>
        <v>0</v>
      </c>
      <c r="S41" s="25">
        <f>Q11</f>
        <v>0</v>
      </c>
    </row>
    <row r="43" spans="1:19" x14ac:dyDescent="0.25">
      <c r="B43" t="s">
        <v>16</v>
      </c>
      <c r="E43" s="22">
        <f>E22</f>
        <v>771.88367000000005</v>
      </c>
      <c r="F43" s="22">
        <f t="shared" ref="F43:M43" si="16">F22</f>
        <v>916.43499999999995</v>
      </c>
      <c r="G43" s="22">
        <f t="shared" si="16"/>
        <v>1829.3333299999999</v>
      </c>
      <c r="H43" s="22">
        <f t="shared" si="16"/>
        <v>3094.6666700000001</v>
      </c>
      <c r="I43" s="22">
        <f t="shared" si="16"/>
        <v>4063.6666700000001</v>
      </c>
      <c r="J43" s="22">
        <f t="shared" si="16"/>
        <v>2614</v>
      </c>
      <c r="K43" s="22">
        <f t="shared" si="16"/>
        <v>4437.3333300000004</v>
      </c>
      <c r="L43" s="22">
        <f t="shared" si="16"/>
        <v>9569.6666700000005</v>
      </c>
      <c r="M43" s="22">
        <f t="shared" si="16"/>
        <v>6149</v>
      </c>
      <c r="N43" s="23">
        <f ca="1">N44*N37</f>
        <v>28181.8</v>
      </c>
      <c r="O43" s="23">
        <f t="shared" ref="O43:S43" ca="1" si="17">O44*O37</f>
        <v>45402.400000000001</v>
      </c>
      <c r="P43" s="23">
        <f t="shared" ca="1" si="17"/>
        <v>54400.999999999993</v>
      </c>
      <c r="Q43" s="23">
        <f t="shared" ca="1" si="17"/>
        <v>62546.116542131742</v>
      </c>
      <c r="R43" s="23">
        <f t="shared" ca="1" si="17"/>
        <v>68792.086035283006</v>
      </c>
      <c r="S43" s="23">
        <f t="shared" ca="1" si="17"/>
        <v>72231.690337047155</v>
      </c>
    </row>
    <row r="44" spans="1:19" x14ac:dyDescent="0.25">
      <c r="B44" s="16" t="s">
        <v>25</v>
      </c>
      <c r="C44" s="16"/>
      <c r="E44" s="18">
        <f>E43/E19</f>
        <v>0.16613672185662093</v>
      </c>
      <c r="F44" s="18">
        <f t="shared" ref="F44:M44" si="18">F43/F19</f>
        <v>0.18477115583210579</v>
      </c>
      <c r="G44" s="18">
        <f t="shared" si="18"/>
        <v>0.27497745213573616</v>
      </c>
      <c r="H44" s="18">
        <f t="shared" si="18"/>
        <v>0.32685537283481203</v>
      </c>
      <c r="I44" s="18">
        <f t="shared" si="18"/>
        <v>0.34001785045852673</v>
      </c>
      <c r="J44" s="18">
        <f t="shared" si="18"/>
        <v>0.24618572235825956</v>
      </c>
      <c r="K44" s="18">
        <f t="shared" si="18"/>
        <v>0.27660149168401527</v>
      </c>
      <c r="L44" s="18">
        <f t="shared" si="18"/>
        <v>0.36758341668587236</v>
      </c>
      <c r="M44" s="18">
        <f t="shared" si="18"/>
        <v>0.22356206219279681</v>
      </c>
      <c r="N44" s="18">
        <f ca="1">OFFSET(N44,$E$11,0)</f>
        <v>0.54410796513143289</v>
      </c>
      <c r="O44" s="18">
        <f t="shared" ref="O44:S44" ca="1" si="19">OFFSET(O44,$E$11,0)</f>
        <v>0.58230526830156681</v>
      </c>
      <c r="P44" s="18">
        <f t="shared" ca="1" si="19"/>
        <v>0.581631060238336</v>
      </c>
      <c r="Q44" s="18">
        <f t="shared" ca="1" si="19"/>
        <v>0.581631060238336</v>
      </c>
      <c r="R44" s="18">
        <f t="shared" ca="1" si="19"/>
        <v>0.581631060238336</v>
      </c>
      <c r="S44" s="18">
        <f t="shared" ca="1" si="19"/>
        <v>0.581631060238336</v>
      </c>
    </row>
    <row r="45" spans="1:19" x14ac:dyDescent="0.25">
      <c r="B45" t="s">
        <v>32</v>
      </c>
      <c r="C45" s="16"/>
      <c r="N45" s="25">
        <f>N46</f>
        <v>0.54410796513143289</v>
      </c>
      <c r="O45" s="25">
        <f>O46*$I$12</f>
        <v>0</v>
      </c>
      <c r="P45" s="25">
        <f t="shared" ref="P45:S45" si="20">P46*$I$12</f>
        <v>0</v>
      </c>
      <c r="Q45" s="25">
        <f t="shared" si="20"/>
        <v>0</v>
      </c>
      <c r="R45" s="25">
        <f t="shared" si="20"/>
        <v>0</v>
      </c>
      <c r="S45" s="25">
        <f t="shared" si="20"/>
        <v>0</v>
      </c>
    </row>
    <row r="46" spans="1:19" x14ac:dyDescent="0.25">
      <c r="B46" t="s">
        <v>33</v>
      </c>
      <c r="C46" s="16"/>
      <c r="N46" s="25">
        <f>N23</f>
        <v>0.54410796513143289</v>
      </c>
      <c r="O46" s="25">
        <f t="shared" ref="O46:P46" si="21">O23</f>
        <v>0.58230526830156681</v>
      </c>
      <c r="P46" s="25">
        <f t="shared" si="21"/>
        <v>0.581631060238336</v>
      </c>
      <c r="Q46" s="25">
        <f>P46</f>
        <v>0.581631060238336</v>
      </c>
      <c r="R46" s="25">
        <f t="shared" ref="R46:S46" si="22">Q46</f>
        <v>0.581631060238336</v>
      </c>
      <c r="S46" s="25">
        <f t="shared" si="22"/>
        <v>0.581631060238336</v>
      </c>
    </row>
    <row r="47" spans="1:19" x14ac:dyDescent="0.25">
      <c r="B47" t="s">
        <v>34</v>
      </c>
      <c r="C47" s="16"/>
      <c r="N47" s="25">
        <f>N46</f>
        <v>0.54410796513143289</v>
      </c>
      <c r="O47" s="25">
        <f>O46*$Q$12</f>
        <v>0</v>
      </c>
      <c r="P47" s="25">
        <f t="shared" ref="P47:S47" si="23">P46*$Q$12</f>
        <v>0</v>
      </c>
      <c r="Q47" s="25">
        <f t="shared" si="23"/>
        <v>0</v>
      </c>
      <c r="R47" s="25">
        <f t="shared" si="23"/>
        <v>0</v>
      </c>
      <c r="S47" s="25">
        <f t="shared" si="23"/>
        <v>0</v>
      </c>
    </row>
    <row r="49" spans="2:19" x14ac:dyDescent="0.25">
      <c r="B49" t="s">
        <v>21</v>
      </c>
      <c r="N49" s="23">
        <f ca="1">N50*N43</f>
        <v>1013.1481278962851</v>
      </c>
      <c r="O49" s="23">
        <f t="shared" ref="O49:S49" ca="1" si="24">O50*O43</f>
        <v>1305.7890287206153</v>
      </c>
      <c r="P49" s="23">
        <f t="shared" ca="1" si="24"/>
        <v>1173.4439526010219</v>
      </c>
      <c r="Q49" s="23">
        <f t="shared" ca="1" si="24"/>
        <v>899.42417988692921</v>
      </c>
      <c r="R49" s="23">
        <f t="shared" ca="1" si="24"/>
        <v>494.62116103816771</v>
      </c>
      <c r="S49" s="23">
        <f t="shared" ca="1" si="24"/>
        <v>0</v>
      </c>
    </row>
    <row r="50" spans="2:19" x14ac:dyDescent="0.25">
      <c r="B50" s="16" t="s">
        <v>35</v>
      </c>
      <c r="C50" s="16"/>
      <c r="N50" s="25">
        <f>[1]Taxes!W45</f>
        <v>3.5950440635313753E-2</v>
      </c>
      <c r="O50" s="25">
        <f>N50+($S$50-$N$50)/($S$36-$N$36)</f>
        <v>2.8760352508251003E-2</v>
      </c>
      <c r="P50" s="25">
        <f t="shared" ref="P50:R50" si="25">O50+($S$50-$N$50)/($S$36-$N$36)</f>
        <v>2.1570264381188253E-2</v>
      </c>
      <c r="Q50" s="25">
        <f t="shared" si="25"/>
        <v>1.4380176254125503E-2</v>
      </c>
      <c r="R50" s="25">
        <f t="shared" si="25"/>
        <v>7.1900881270627525E-3</v>
      </c>
      <c r="S50" s="25">
        <f>M14</f>
        <v>0</v>
      </c>
    </row>
    <row r="52" spans="2:19" x14ac:dyDescent="0.25">
      <c r="B52" s="26" t="s">
        <v>36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>
        <f ca="1">N43-N49</f>
        <v>27168.651872103714</v>
      </c>
      <c r="O52" s="28">
        <f t="shared" ref="O52:S52" ca="1" si="26">O43-O49</f>
        <v>44096.610971279384</v>
      </c>
      <c r="P52" s="28">
        <f t="shared" ca="1" si="26"/>
        <v>53227.556047398968</v>
      </c>
      <c r="Q52" s="28">
        <f t="shared" ca="1" si="26"/>
        <v>61646.692362244816</v>
      </c>
      <c r="R52" s="28">
        <f t="shared" ca="1" si="26"/>
        <v>68297.464874244833</v>
      </c>
      <c r="S52" s="29">
        <f t="shared" ca="1" si="26"/>
        <v>72231.690337047155</v>
      </c>
    </row>
    <row r="54" spans="2:19" x14ac:dyDescent="0.25">
      <c r="B54" t="s">
        <v>27</v>
      </c>
      <c r="E54" s="22">
        <f>E26</f>
        <v>223</v>
      </c>
      <c r="F54" s="22">
        <f t="shared" ref="F54:M54" si="27">F26</f>
        <v>201</v>
      </c>
      <c r="G54" s="22">
        <f t="shared" si="27"/>
        <v>195</v>
      </c>
      <c r="H54" s="22">
        <f t="shared" si="27"/>
        <v>201</v>
      </c>
      <c r="I54" s="22">
        <f t="shared" si="27"/>
        <v>240</v>
      </c>
      <c r="J54" s="22">
        <f t="shared" si="27"/>
        <v>351</v>
      </c>
      <c r="K54" s="22">
        <f t="shared" si="27"/>
        <v>1017</v>
      </c>
      <c r="L54" s="22">
        <f t="shared" si="27"/>
        <v>1138</v>
      </c>
      <c r="M54" s="22">
        <f t="shared" si="27"/>
        <v>1552</v>
      </c>
      <c r="N54" s="23">
        <f ca="1">N55*N$37</f>
        <v>2823.3807804479393</v>
      </c>
      <c r="O54" s="23">
        <f t="shared" ref="O54:S54" ca="1" si="28">O55*O$37</f>
        <v>4250.2443655137877</v>
      </c>
      <c r="P54" s="23">
        <f t="shared" ca="1" si="28"/>
        <v>5098.5314363629459</v>
      </c>
      <c r="Q54" s="23">
        <f t="shared" ca="1" si="28"/>
        <v>5861.902196880189</v>
      </c>
      <c r="R54" s="23">
        <f t="shared" ca="1" si="28"/>
        <v>6447.2824621583204</v>
      </c>
      <c r="S54" s="23">
        <f t="shared" ca="1" si="28"/>
        <v>6769.6465852662368</v>
      </c>
    </row>
    <row r="55" spans="2:19" x14ac:dyDescent="0.25">
      <c r="B55" t="s">
        <v>25</v>
      </c>
      <c r="E55" s="18">
        <f>E54/E37</f>
        <v>4.7997503268888256E-2</v>
      </c>
      <c r="F55" s="18">
        <f t="shared" ref="F55:M55" si="29">F54/F37</f>
        <v>4.0525517164068665E-2</v>
      </c>
      <c r="G55" s="18">
        <f t="shared" si="29"/>
        <v>2.9311554262485641E-2</v>
      </c>
      <c r="H55" s="18">
        <f t="shared" si="29"/>
        <v>2.1229404309252218E-2</v>
      </c>
      <c r="I55" s="18">
        <f t="shared" si="29"/>
        <v>2.0081441401798444E-2</v>
      </c>
      <c r="J55" s="18">
        <f t="shared" si="29"/>
        <v>3.3057072895083819E-2</v>
      </c>
      <c r="K55" s="18">
        <f t="shared" si="29"/>
        <v>6.3394768010958391E-2</v>
      </c>
      <c r="L55" s="18">
        <f t="shared" si="29"/>
        <v>4.3712068833064457E-2</v>
      </c>
      <c r="M55" s="18">
        <f t="shared" si="29"/>
        <v>5.642678818071567E-2</v>
      </c>
      <c r="N55" s="25">
        <f>AVERAGE(K55:M55)</f>
        <v>5.4511208341579499E-2</v>
      </c>
      <c r="O55" s="25">
        <f>N55</f>
        <v>5.4511208341579499E-2</v>
      </c>
      <c r="P55" s="25">
        <f t="shared" ref="P55:S55" si="30">O55</f>
        <v>5.4511208341579499E-2</v>
      </c>
      <c r="Q55" s="25">
        <f t="shared" si="30"/>
        <v>5.4511208341579499E-2</v>
      </c>
      <c r="R55" s="25">
        <f t="shared" si="30"/>
        <v>5.4511208341579499E-2</v>
      </c>
      <c r="S55" s="25">
        <f t="shared" si="30"/>
        <v>5.4511208341579499E-2</v>
      </c>
    </row>
    <row r="57" spans="2:19" x14ac:dyDescent="0.25">
      <c r="B57" t="s">
        <v>28</v>
      </c>
      <c r="E57" s="22">
        <f>E29</f>
        <v>134.15733399999999</v>
      </c>
      <c r="F57" s="22">
        <f t="shared" ref="F57:M57" si="31">F29</f>
        <v>91.348332999999997</v>
      </c>
      <c r="G57" s="22">
        <f t="shared" si="31"/>
        <v>164</v>
      </c>
      <c r="H57" s="22">
        <f t="shared" si="31"/>
        <v>471.33333299999998</v>
      </c>
      <c r="I57" s="22">
        <f t="shared" si="31"/>
        <v>671</v>
      </c>
      <c r="J57" s="22">
        <f t="shared" si="31"/>
        <v>508.33333399999998</v>
      </c>
      <c r="K57" s="22">
        <f t="shared" si="31"/>
        <v>1082</v>
      </c>
      <c r="L57" s="22">
        <f t="shared" si="31"/>
        <v>979.33333300000004</v>
      </c>
      <c r="M57" s="22">
        <f t="shared" si="31"/>
        <v>1754.333333</v>
      </c>
      <c r="N57" s="23">
        <f ca="1">N58*N$37</f>
        <v>2915.1176934223399</v>
      </c>
      <c r="O57" s="23">
        <f t="shared" ref="O57:S57" ca="1" si="32">O58*O$37</f>
        <v>4388.3427404050472</v>
      </c>
      <c r="P57" s="23">
        <f t="shared" ca="1" si="32"/>
        <v>5264.1922419878483</v>
      </c>
      <c r="Q57" s="23">
        <f t="shared" ca="1" si="32"/>
        <v>6052.3663437723162</v>
      </c>
      <c r="R57" s="23">
        <f t="shared" ca="1" si="32"/>
        <v>6656.7667068086512</v>
      </c>
      <c r="S57" s="23">
        <f t="shared" ca="1" si="32"/>
        <v>6989.6050421490836</v>
      </c>
    </row>
    <row r="58" spans="2:19" x14ac:dyDescent="0.25">
      <c r="B58" s="16" t="s">
        <v>25</v>
      </c>
      <c r="C58" s="16"/>
      <c r="E58" s="18">
        <f>E57/E$37</f>
        <v>2.887541290228849E-2</v>
      </c>
      <c r="F58" s="18">
        <f t="shared" ref="F58:M58" si="33">F57/F$37</f>
        <v>1.8417604163684379E-2</v>
      </c>
      <c r="G58" s="18">
        <f t="shared" si="33"/>
        <v>2.4651768713064848E-2</v>
      </c>
      <c r="H58" s="18">
        <f t="shared" si="33"/>
        <v>4.9781720849176168E-2</v>
      </c>
      <c r="I58" s="18">
        <f t="shared" si="33"/>
        <v>5.6144363252528147E-2</v>
      </c>
      <c r="J58" s="18">
        <f t="shared" si="33"/>
        <v>4.7874678282162367E-2</v>
      </c>
      <c r="K58" s="18">
        <f t="shared" si="33"/>
        <v>6.7446547677342164E-2</v>
      </c>
      <c r="L58" s="18">
        <f t="shared" si="33"/>
        <v>3.7617474571713917E-2</v>
      </c>
      <c r="M58" s="18">
        <f t="shared" si="33"/>
        <v>6.3783115579613359E-2</v>
      </c>
      <c r="N58" s="25">
        <f>AVERAGE(K58:M58)</f>
        <v>5.6282379276223149E-2</v>
      </c>
      <c r="O58" s="25">
        <f>N58</f>
        <v>5.6282379276223149E-2</v>
      </c>
      <c r="P58" s="25">
        <f t="shared" ref="P58:S58" si="34">O58</f>
        <v>5.6282379276223149E-2</v>
      </c>
      <c r="Q58" s="25">
        <f t="shared" si="34"/>
        <v>5.6282379276223149E-2</v>
      </c>
      <c r="R58" s="25">
        <f t="shared" si="34"/>
        <v>5.6282379276223149E-2</v>
      </c>
      <c r="S58" s="25">
        <f t="shared" si="34"/>
        <v>5.6282379276223149E-2</v>
      </c>
    </row>
    <row r="60" spans="2:19" x14ac:dyDescent="0.25">
      <c r="B60" t="s">
        <v>29</v>
      </c>
      <c r="E60" s="30">
        <f>E32</f>
        <v>181.39975733333333</v>
      </c>
      <c r="F60" s="30">
        <f t="shared" ref="F60:L60" si="35">F32</f>
        <v>-9.8333333333333286</v>
      </c>
      <c r="G60" s="30">
        <f t="shared" si="35"/>
        <v>637.83333333333326</v>
      </c>
      <c r="H60" s="30">
        <f t="shared" si="35"/>
        <v>-240.99999999999997</v>
      </c>
      <c r="I60" s="30">
        <f t="shared" si="35"/>
        <v>845.33333333333326</v>
      </c>
      <c r="J60" s="30">
        <f t="shared" si="35"/>
        <v>-715.83333333333337</v>
      </c>
      <c r="K60" s="30">
        <f t="shared" si="35"/>
        <v>364.16666666666663</v>
      </c>
      <c r="L60" s="30">
        <f t="shared" si="35"/>
        <v>2898.8333333333335</v>
      </c>
      <c r="M60" s="31" t="s">
        <v>24</v>
      </c>
      <c r="N60" s="23">
        <f ca="1">N61*N$37</f>
        <v>1150.379519464426</v>
      </c>
      <c r="O60" s="23">
        <f t="shared" ref="O60:S60" ca="1" si="36">O61*O$37</f>
        <v>1731.7515599261167</v>
      </c>
      <c r="P60" s="23">
        <f t="shared" ca="1" si="36"/>
        <v>2077.3840299383683</v>
      </c>
      <c r="Q60" s="23">
        <f t="shared" ca="1" si="36"/>
        <v>2388.4175592229644</v>
      </c>
      <c r="R60" s="23">
        <f t="shared" ca="1" si="36"/>
        <v>2626.9293012231969</v>
      </c>
      <c r="S60" s="23">
        <f t="shared" ca="1" si="36"/>
        <v>2758.2757662843574</v>
      </c>
    </row>
    <row r="61" spans="2:19" x14ac:dyDescent="0.25">
      <c r="B61" s="16" t="s">
        <v>25</v>
      </c>
      <c r="C61" s="16"/>
      <c r="E61" s="18">
        <f>E60/E$37</f>
        <v>3.9043656706646647E-2</v>
      </c>
      <c r="F61" s="18">
        <f t="shared" ref="F61:L61" si="37">F60/F$37</f>
        <v>-1.9825916357214348E-3</v>
      </c>
      <c r="G61" s="18">
        <f t="shared" si="37"/>
        <v>9.5876340309856867E-2</v>
      </c>
      <c r="H61" s="18">
        <f t="shared" si="37"/>
        <v>-2.545416138572032E-2</v>
      </c>
      <c r="I61" s="18">
        <f t="shared" si="37"/>
        <v>7.0731299159667846E-2</v>
      </c>
      <c r="J61" s="18">
        <f t="shared" si="37"/>
        <v>-6.7416964902367052E-2</v>
      </c>
      <c r="K61" s="18">
        <f t="shared" si="37"/>
        <v>2.2700355310380872E-2</v>
      </c>
      <c r="L61" s="18">
        <f t="shared" si="37"/>
        <v>0.11134798084556094</v>
      </c>
      <c r="M61" s="31" t="s">
        <v>24</v>
      </c>
      <c r="N61" s="25">
        <f>AVERAGE(J61:L61)</f>
        <v>2.2210457084524921E-2</v>
      </c>
      <c r="O61" s="25">
        <f>N61</f>
        <v>2.2210457084524921E-2</v>
      </c>
      <c r="P61" s="25">
        <f t="shared" ref="P61:S61" si="38">O61</f>
        <v>2.2210457084524921E-2</v>
      </c>
      <c r="Q61" s="25">
        <f t="shared" si="38"/>
        <v>2.2210457084524921E-2</v>
      </c>
      <c r="R61" s="25">
        <f t="shared" si="38"/>
        <v>2.2210457084524921E-2</v>
      </c>
      <c r="S61" s="25">
        <f t="shared" si="38"/>
        <v>2.2210457084524921E-2</v>
      </c>
    </row>
    <row r="63" spans="2:19" x14ac:dyDescent="0.25">
      <c r="B63" s="32" t="s">
        <v>37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4">
        <f ca="1">N52+N54-N57-N60</f>
        <v>25926.535439664887</v>
      </c>
      <c r="O63" s="34">
        <f t="shared" ref="O63:S63" ca="1" si="39">O52+O54-O57-O60</f>
        <v>42226.761036462012</v>
      </c>
      <c r="P63" s="34">
        <f t="shared" ca="1" si="39"/>
        <v>50984.511211835699</v>
      </c>
      <c r="Q63" s="34">
        <f t="shared" ca="1" si="39"/>
        <v>59067.810656129725</v>
      </c>
      <c r="R63" s="34">
        <f t="shared" ca="1" si="39"/>
        <v>65461.051328371308</v>
      </c>
      <c r="S63" s="35">
        <f t="shared" ca="1" si="39"/>
        <v>69253.456113879962</v>
      </c>
    </row>
    <row r="64" spans="2:19" x14ac:dyDescent="0.25">
      <c r="B64" s="36" t="s">
        <v>38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7">
        <f t="shared" ref="N64:S64" ca="1" si="40">N63/(1+wacc)^N67</f>
        <v>25926.535439664887</v>
      </c>
      <c r="O64" s="37">
        <f t="shared" ca="1" si="40"/>
        <v>42226.761036462012</v>
      </c>
      <c r="P64" s="37">
        <f t="shared" ca="1" si="40"/>
        <v>50984.511211835699</v>
      </c>
      <c r="Q64" s="37">
        <f t="shared" ca="1" si="40"/>
        <v>59067.810656129725</v>
      </c>
      <c r="R64" s="37">
        <f t="shared" ca="1" si="40"/>
        <v>65461.051328371308</v>
      </c>
      <c r="S64" s="38">
        <f t="shared" ca="1" si="40"/>
        <v>69253.456113879962</v>
      </c>
    </row>
    <row r="66" spans="2:19" x14ac:dyDescent="0.25">
      <c r="B66" t="s">
        <v>39</v>
      </c>
      <c r="N66" s="39">
        <f>YEARFRAC(D5,D6)</f>
        <v>0.27777777777777779</v>
      </c>
      <c r="O66" s="39">
        <f>N66+1</f>
        <v>1.2777777777777777</v>
      </c>
      <c r="P66" s="39">
        <f t="shared" ref="P66:S66" si="41">O66+1</f>
        <v>2.2777777777777777</v>
      </c>
      <c r="Q66" s="39">
        <f t="shared" si="41"/>
        <v>3.2777777777777777</v>
      </c>
      <c r="R66" s="39">
        <f t="shared" si="41"/>
        <v>4.2777777777777777</v>
      </c>
      <c r="S66" s="39">
        <f t="shared" si="41"/>
        <v>5.2777777777777777</v>
      </c>
    </row>
    <row r="67" spans="2:19" x14ac:dyDescent="0.25">
      <c r="B67" t="s">
        <v>40</v>
      </c>
      <c r="N67" s="39">
        <f>N66/2</f>
        <v>0.1388888888888889</v>
      </c>
      <c r="O67" s="39">
        <f>N66+0.5</f>
        <v>0.77777777777777779</v>
      </c>
      <c r="P67" s="39">
        <f>O67+1</f>
        <v>1.7777777777777777</v>
      </c>
      <c r="Q67" s="39">
        <f>P67+1</f>
        <v>2.7777777777777777</v>
      </c>
      <c r="R67" s="39">
        <f>Q67+1</f>
        <v>3.7777777777777777</v>
      </c>
      <c r="S67" s="39">
        <f>R67+1</f>
        <v>4.7777777777777777</v>
      </c>
    </row>
    <row r="69" spans="2:19" x14ac:dyDescent="0.25">
      <c r="B69" t="s">
        <v>41</v>
      </c>
      <c r="S69" s="23" t="e">
        <f ca="1">(S63*(1+tgr))/(wacc-tgr)</f>
        <v>#DIV/0!</v>
      </c>
    </row>
    <row r="70" spans="2:19" x14ac:dyDescent="0.25">
      <c r="B70" t="s">
        <v>42</v>
      </c>
      <c r="S70" s="23" t="e">
        <f ca="1">S69/(1+wacc)^S67</f>
        <v>#DIV/0!</v>
      </c>
    </row>
    <row r="71" spans="2:19" x14ac:dyDescent="0.25">
      <c r="B71" t="s">
        <v>43</v>
      </c>
      <c r="S71" s="30" t="e">
        <f ca="1">SUM(N64:S64,S70)</f>
        <v>#DIV/0!</v>
      </c>
    </row>
    <row r="72" spans="2:19" x14ac:dyDescent="0.25">
      <c r="B72" t="s">
        <v>44</v>
      </c>
      <c r="S72" s="23">
        <f>5783+10240</f>
        <v>16023</v>
      </c>
    </row>
    <row r="73" spans="2:19" x14ac:dyDescent="0.25">
      <c r="B73" t="s">
        <v>45</v>
      </c>
      <c r="S73" s="23">
        <f>[1]WACC!F15</f>
        <v>9705</v>
      </c>
    </row>
    <row r="74" spans="2:19" x14ac:dyDescent="0.25">
      <c r="B74" t="s">
        <v>46</v>
      </c>
      <c r="S74" s="30" t="e">
        <f ca="1">S71+S72-S73</f>
        <v>#DIV/0!</v>
      </c>
    </row>
    <row r="76" spans="2:19" x14ac:dyDescent="0.25">
      <c r="B76" t="s">
        <v>47</v>
      </c>
      <c r="S76" s="30">
        <v>2516</v>
      </c>
    </row>
    <row r="77" spans="2:19" x14ac:dyDescent="0.25">
      <c r="B77" t="s">
        <v>48</v>
      </c>
      <c r="S77" s="4" t="e">
        <f ca="1">S74/S76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Historicals</vt:lpstr>
      <vt:lpstr>DCF Model</vt:lpstr>
      <vt:lpstr>tgr</vt:lpstr>
      <vt:lpstr>wacc</vt:lpstr>
      <vt:lpstr>y</vt:lpstr>
      <vt:lpstr>yurt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Jovany Valdez</dc:creator>
  <cp:lastModifiedBy>Valenzuela, Jovany Arturo</cp:lastModifiedBy>
  <dcterms:created xsi:type="dcterms:W3CDTF">2023-08-15T19:39:33Z</dcterms:created>
  <dcterms:modified xsi:type="dcterms:W3CDTF">2023-10-10T20:46:50Z</dcterms:modified>
</cp:coreProperties>
</file>