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280" windowHeight="8025" firstSheet="6" activeTab="9"/>
  </bookViews>
  <sheets>
    <sheet name="P1" sheetId="1" r:id="rId1"/>
    <sheet name="P2 A" sheetId="2" r:id="rId2"/>
    <sheet name="P2 Balance" sheetId="3" r:id="rId3"/>
    <sheet name="p3" sheetId="4" r:id="rId4"/>
    <sheet name="p4 (modelo 1)" sheetId="5" r:id="rId5"/>
    <sheet name="p4 (modelo 2)" sheetId="6" r:id="rId6"/>
    <sheet name="P5 (modelo 3)" sheetId="7" r:id="rId7"/>
    <sheet name="P5 (modelo 4)" sheetId="8" r:id="rId8"/>
    <sheet name="P6" sheetId="9" r:id="rId9"/>
    <sheet name="P6 (clinica)" sheetId="11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I18" i="11" l="1"/>
  <c r="J18" i="11"/>
  <c r="K18" i="11"/>
  <c r="L18" i="11"/>
  <c r="M18" i="11"/>
  <c r="N18" i="11"/>
  <c r="O18" i="11"/>
  <c r="P18" i="11"/>
  <c r="Q18" i="11"/>
  <c r="R18" i="11"/>
  <c r="S18" i="11"/>
  <c r="H18" i="11"/>
  <c r="F13" i="11"/>
  <c r="F14" i="11"/>
  <c r="F15" i="11"/>
  <c r="F16" i="11"/>
  <c r="F12" i="11"/>
  <c r="F3" i="9"/>
  <c r="D13" i="11"/>
  <c r="D14" i="11"/>
  <c r="D15" i="11"/>
  <c r="D16" i="11"/>
  <c r="D12" i="11"/>
  <c r="B16" i="11"/>
  <c r="B15" i="11"/>
  <c r="B14" i="11"/>
  <c r="B13" i="11"/>
  <c r="B12" i="11"/>
  <c r="H3" i="11"/>
  <c r="H4" i="11"/>
  <c r="H5" i="11"/>
  <c r="H6" i="11"/>
  <c r="H7" i="11"/>
  <c r="H2" i="11"/>
  <c r="I6" i="9"/>
  <c r="J6" i="9"/>
  <c r="K6" i="9"/>
  <c r="L6" i="9"/>
  <c r="M6" i="9"/>
  <c r="N6" i="9"/>
  <c r="O6" i="9"/>
  <c r="P6" i="9"/>
  <c r="Q6" i="9"/>
  <c r="R6" i="9"/>
  <c r="S6" i="9"/>
  <c r="H6" i="9"/>
  <c r="F4" i="9"/>
  <c r="D4" i="9"/>
  <c r="D3" i="9"/>
  <c r="B26" i="8" l="1"/>
  <c r="F30" i="8"/>
  <c r="F31" i="8"/>
  <c r="D30" i="8"/>
  <c r="D31" i="8"/>
  <c r="B31" i="8"/>
  <c r="B30" i="8"/>
  <c r="B29" i="8"/>
  <c r="B28" i="8"/>
  <c r="B27" i="8"/>
  <c r="F23" i="8"/>
  <c r="C23" i="8"/>
  <c r="D23" i="8"/>
  <c r="D24" i="8" s="1"/>
  <c r="C24" i="8"/>
  <c r="B23" i="8"/>
  <c r="B24" i="8"/>
  <c r="F18" i="8"/>
  <c r="B13" i="8"/>
  <c r="B16" i="7"/>
  <c r="F27" i="7"/>
  <c r="F26" i="7"/>
  <c r="B27" i="7"/>
  <c r="B26" i="7"/>
  <c r="B25" i="7"/>
  <c r="B24" i="7"/>
  <c r="C22" i="7"/>
  <c r="D22" i="7"/>
  <c r="E22" i="7"/>
  <c r="F22" i="7"/>
  <c r="G22" i="7"/>
  <c r="H22" i="7"/>
  <c r="I22" i="7"/>
  <c r="B22" i="7"/>
  <c r="C21" i="7"/>
  <c r="D21" i="7"/>
  <c r="E21" i="7"/>
  <c r="F21" i="7"/>
  <c r="G21" i="7"/>
  <c r="H21" i="7"/>
  <c r="I21" i="7"/>
  <c r="B21" i="7"/>
  <c r="B10" i="7"/>
  <c r="B12" i="7" s="1"/>
  <c r="B11" i="7"/>
  <c r="C9" i="7"/>
  <c r="B9" i="7"/>
  <c r="B6" i="8"/>
  <c r="B7" i="8" s="1"/>
  <c r="B5" i="7"/>
  <c r="E11" i="8" l="1"/>
  <c r="B11" i="8"/>
  <c r="C11" i="8"/>
  <c r="D11" i="8"/>
  <c r="B17" i="7"/>
  <c r="D16" i="7"/>
  <c r="D17" i="7" s="1"/>
  <c r="C16" i="7"/>
  <c r="C17" i="7" s="1"/>
  <c r="C21" i="6"/>
  <c r="C20" i="6"/>
  <c r="C18" i="6"/>
  <c r="C19" i="6" s="1"/>
  <c r="D15" i="6"/>
  <c r="D14" i="6"/>
  <c r="B14" i="6"/>
  <c r="B15" i="6"/>
  <c r="B11" i="6"/>
  <c r="B13" i="6"/>
  <c r="B12" i="6"/>
  <c r="G10" i="6"/>
  <c r="C10" i="6"/>
  <c r="D10" i="6"/>
  <c r="E10" i="6"/>
  <c r="F10" i="6"/>
  <c r="B10" i="6"/>
  <c r="G9" i="6"/>
  <c r="D9" i="6"/>
  <c r="E9" i="6"/>
  <c r="F9" i="6"/>
  <c r="C9" i="6"/>
  <c r="B9" i="6"/>
  <c r="B6" i="6"/>
  <c r="B7" i="6" s="1"/>
  <c r="C15" i="5"/>
  <c r="D13" i="5"/>
  <c r="B13" i="5"/>
  <c r="D12" i="5"/>
  <c r="B12" i="5"/>
  <c r="B11" i="5"/>
  <c r="B10" i="5"/>
  <c r="C9" i="5"/>
  <c r="D9" i="5"/>
  <c r="E9" i="5"/>
  <c r="F9" i="5"/>
  <c r="G9" i="5"/>
  <c r="H9" i="5"/>
  <c r="I9" i="5"/>
  <c r="J9" i="5"/>
  <c r="K9" i="5"/>
  <c r="L9" i="5"/>
  <c r="B9" i="5"/>
  <c r="D8" i="5"/>
  <c r="E8" i="5"/>
  <c r="F8" i="5"/>
  <c r="G8" i="5"/>
  <c r="H8" i="5"/>
  <c r="I8" i="5"/>
  <c r="J8" i="5"/>
  <c r="K8" i="5"/>
  <c r="L8" i="5"/>
  <c r="C8" i="5"/>
  <c r="B5" i="5"/>
  <c r="B6" i="5" s="1"/>
  <c r="B8" i="5" s="1"/>
  <c r="B12" i="8" l="1"/>
  <c r="B14" i="8" s="1"/>
  <c r="B18" i="8" s="1"/>
  <c r="F29" i="4"/>
  <c r="D29" i="4"/>
  <c r="B29" i="4"/>
  <c r="F27" i="4"/>
  <c r="C27" i="4"/>
  <c r="D27" i="4"/>
  <c r="B27" i="4"/>
  <c r="F24" i="4"/>
  <c r="C24" i="4"/>
  <c r="D24" i="4"/>
  <c r="E24" i="4"/>
  <c r="B24" i="4"/>
  <c r="E25" i="3"/>
  <c r="F21" i="4"/>
  <c r="F20" i="4"/>
  <c r="D21" i="4"/>
  <c r="D20" i="4"/>
  <c r="B21" i="4"/>
  <c r="B20" i="4"/>
  <c r="B20" i="3"/>
  <c r="F18" i="4"/>
  <c r="G18" i="3"/>
  <c r="F16" i="4"/>
  <c r="F17" i="4"/>
  <c r="C17" i="4"/>
  <c r="D17" i="4"/>
  <c r="E17" i="4"/>
  <c r="B17" i="4"/>
  <c r="C16" i="4"/>
  <c r="D16" i="4"/>
  <c r="E16" i="4"/>
  <c r="B16" i="4"/>
  <c r="F13" i="4"/>
  <c r="C13" i="4"/>
  <c r="D13" i="4"/>
  <c r="E13" i="4"/>
  <c r="B13" i="4"/>
  <c r="D12" i="3"/>
  <c r="C11" i="4"/>
  <c r="D11" i="4"/>
  <c r="E11" i="4"/>
  <c r="B11" i="4"/>
  <c r="D10" i="4"/>
  <c r="E10" i="4"/>
  <c r="C10" i="4"/>
  <c r="E9" i="3"/>
  <c r="C9" i="3"/>
  <c r="B10" i="4"/>
  <c r="B9" i="3"/>
  <c r="C9" i="4"/>
  <c r="D9" i="4"/>
  <c r="E9" i="4"/>
  <c r="D8" i="3"/>
  <c r="C7" i="4"/>
  <c r="D8" i="4"/>
  <c r="E8" i="4"/>
  <c r="C8" i="4"/>
  <c r="B7" i="4"/>
  <c r="D7" i="4"/>
  <c r="E7" i="4"/>
  <c r="B5" i="4"/>
  <c r="B5" i="2"/>
  <c r="C27" i="3"/>
  <c r="D27" i="3"/>
  <c r="E27" i="3"/>
  <c r="B27" i="3"/>
  <c r="E24" i="3"/>
  <c r="D24" i="3"/>
  <c r="C24" i="3"/>
  <c r="B24" i="3"/>
  <c r="D18" i="8" l="1"/>
  <c r="D19" i="8" s="1"/>
  <c r="F19" i="8"/>
  <c r="C18" i="8"/>
  <c r="C19" i="8" s="1"/>
  <c r="E18" i="8"/>
  <c r="E19" i="8" s="1"/>
  <c r="B19" i="8"/>
  <c r="D27" i="7"/>
  <c r="D26" i="7"/>
  <c r="F14" i="3"/>
  <c r="E14" i="3"/>
  <c r="G9" i="3"/>
  <c r="C10" i="3"/>
  <c r="C15" i="3" s="1"/>
  <c r="F10" i="3"/>
  <c r="D9" i="3"/>
  <c r="D10" i="3" s="1"/>
  <c r="E10" i="3"/>
  <c r="F9" i="3"/>
  <c r="B10" i="3"/>
  <c r="B15" i="3" s="1"/>
  <c r="E8" i="3"/>
  <c r="F8" i="3"/>
  <c r="C8" i="3"/>
  <c r="E7" i="3"/>
  <c r="F7" i="3"/>
  <c r="D7" i="3"/>
  <c r="E6" i="3"/>
  <c r="D6" i="3"/>
  <c r="B4" i="3"/>
  <c r="A22" i="2"/>
  <c r="C20" i="2"/>
  <c r="D20" i="2"/>
  <c r="E20" i="2"/>
  <c r="F20" i="2"/>
  <c r="G20" i="2"/>
  <c r="H20" i="2"/>
  <c r="I20" i="2"/>
  <c r="J20" i="2"/>
  <c r="K20" i="2"/>
  <c r="L20" i="2"/>
  <c r="B20" i="2"/>
  <c r="B21" i="1"/>
  <c r="D18" i="2"/>
  <c r="B16" i="2"/>
  <c r="D14" i="2"/>
  <c r="B12" i="2"/>
  <c r="D10" i="2"/>
  <c r="B8" i="2"/>
  <c r="D7" i="2"/>
  <c r="B6" i="1"/>
  <c r="E28" i="3" l="1"/>
  <c r="E15" i="3"/>
  <c r="E12" i="3"/>
  <c r="E17" i="3"/>
  <c r="B30" i="3"/>
  <c r="D25" i="3"/>
  <c r="D28" i="3"/>
  <c r="D17" i="3"/>
  <c r="D15" i="3"/>
  <c r="G15" i="3"/>
  <c r="F28" i="3"/>
  <c r="B32" i="3"/>
  <c r="F25" i="3"/>
  <c r="B12" i="3"/>
  <c r="G12" i="3" s="1"/>
  <c r="C12" i="3"/>
  <c r="B25" i="3"/>
  <c r="B28" i="3"/>
  <c r="F12" i="3"/>
  <c r="F15" i="3"/>
  <c r="F17" i="3"/>
  <c r="C28" i="3"/>
  <c r="C25" i="3"/>
  <c r="B17" i="3"/>
  <c r="C17" i="3"/>
  <c r="M20" i="2"/>
  <c r="H21" i="1"/>
  <c r="B23" i="1" s="1"/>
  <c r="C21" i="1"/>
  <c r="D21" i="1"/>
  <c r="E21" i="1"/>
  <c r="F21" i="1"/>
  <c r="G21" i="1"/>
  <c r="D19" i="1"/>
  <c r="B17" i="1"/>
  <c r="D15" i="1"/>
  <c r="B13" i="1"/>
  <c r="D11" i="1"/>
  <c r="B9" i="1"/>
  <c r="D8" i="1"/>
  <c r="B3" i="1"/>
  <c r="G28" i="3" l="1"/>
  <c r="G25" i="3"/>
  <c r="G17" i="3"/>
  <c r="B21" i="3" l="1"/>
  <c r="L11" i="11" l="1"/>
  <c r="M11" i="11" l="1"/>
  <c r="N11" i="11" l="1"/>
  <c r="O11" i="11" l="1"/>
  <c r="P11" i="11" l="1"/>
  <c r="Q11" i="11" l="1"/>
  <c r="R11" i="11" l="1"/>
  <c r="S11" i="11" l="1"/>
  <c r="H11" i="11" l="1"/>
  <c r="I11" i="11"/>
  <c r="K11" i="11" l="1"/>
  <c r="J11" i="11" l="1"/>
</calcChain>
</file>

<file path=xl/sharedStrings.xml><?xml version="1.0" encoding="utf-8"?>
<sst xmlns="http://schemas.openxmlformats.org/spreadsheetml/2006/main" count="362" uniqueCount="160">
  <si>
    <t>t llegada</t>
  </si>
  <si>
    <t>min</t>
  </si>
  <si>
    <t>1. ¿Probabilidad de no llegar nadie en media hora?</t>
  </si>
  <si>
    <t>t=</t>
  </si>
  <si>
    <t>horas</t>
  </si>
  <si>
    <t>λ=</t>
  </si>
  <si>
    <t>personas/hora</t>
  </si>
  <si>
    <t>P0(0,5)=</t>
  </si>
  <si>
    <t>minutos</t>
  </si>
  <si>
    <t>P10(5 min)</t>
  </si>
  <si>
    <t>n=</t>
  </si>
  <si>
    <t>personas</t>
  </si>
  <si>
    <t>2. ¿Probabilidad de no llegar nadie en 20 minutos?</t>
  </si>
  <si>
    <t>3. ¿Probabilidad de llegar 10 personas en 5 minutos?</t>
  </si>
  <si>
    <t>4. ¿Probabilidad de llegar 5 personas en 10 minutos?</t>
  </si>
  <si>
    <t>5. ¿Probabilidad de llegar 5 personas en 10 minutos?</t>
  </si>
  <si>
    <t>Total</t>
  </si>
  <si>
    <t>6. ¿Probabilidad de que llegue mas de 5 personas en 10 minutos?</t>
  </si>
  <si>
    <t>P</t>
  </si>
  <si>
    <t>Oswaldo Lopez</t>
  </si>
  <si>
    <t>P0()= min</t>
  </si>
  <si>
    <t xml:space="preserve">t salidas= </t>
  </si>
  <si>
    <t>µ</t>
  </si>
  <si>
    <t>1.¿Probabilidad de no vender helados en una hora?</t>
  </si>
  <si>
    <t>hora</t>
  </si>
  <si>
    <t>P0(1)</t>
  </si>
  <si>
    <t>1.¿Probabilidad de no vender helados en 15 minutos?</t>
  </si>
  <si>
    <t>P0(15 min)</t>
  </si>
  <si>
    <t>1.¿Probabilidad de vender 5 helados en 10 minutos?</t>
  </si>
  <si>
    <t>n</t>
  </si>
  <si>
    <t>P5(10 min)</t>
  </si>
  <si>
    <t>1.¿Probabilidad de vender 5 helados en 40 minutos?</t>
  </si>
  <si>
    <t>1.¿Probabilidad de vender 10 helados o menos en 40 minutos?</t>
  </si>
  <si>
    <t>1.¿Probabilidad de vendermas de 10 helados  40 minutos?</t>
  </si>
  <si>
    <t>s=</t>
  </si>
  <si>
    <t>ts=</t>
  </si>
  <si>
    <t>clientes/hora</t>
  </si>
  <si>
    <t>µ=</t>
  </si>
  <si>
    <t>λn=</t>
  </si>
  <si>
    <t>µn=</t>
  </si>
  <si>
    <t>Estado</t>
  </si>
  <si>
    <t>Cn=</t>
  </si>
  <si>
    <t>Pn=</t>
  </si>
  <si>
    <t>%=</t>
  </si>
  <si>
    <t>Cantidad de personas promedio dentro del local - Ls</t>
  </si>
  <si>
    <t>Ls=</t>
  </si>
  <si>
    <t>Cantidad de personas promedio Esperando- Lq</t>
  </si>
  <si>
    <t>Esperando</t>
  </si>
  <si>
    <t>Lq=</t>
  </si>
  <si>
    <t>Cantidad de gente entra al local</t>
  </si>
  <si>
    <t>λefectivo=</t>
  </si>
  <si>
    <t>Personas</t>
  </si>
  <si>
    <t>Clientes/hora</t>
  </si>
  <si>
    <t>λrechazo=</t>
  </si>
  <si>
    <t>Costo=</t>
  </si>
  <si>
    <t>Bs</t>
  </si>
  <si>
    <t>IngresoxHora</t>
  </si>
  <si>
    <t>Ingrso no persibido</t>
  </si>
  <si>
    <t>Bs/Hora</t>
  </si>
  <si>
    <t>tiempo promedio que pasa una persona dentro del sistema</t>
  </si>
  <si>
    <t>tiempo en sistema</t>
  </si>
  <si>
    <t>Tiempo promedio que espera una persona dentro del sistema</t>
  </si>
  <si>
    <t>tiempo esperando</t>
  </si>
  <si>
    <t>Ws</t>
  </si>
  <si>
    <t>Wq</t>
  </si>
  <si>
    <t>que probabilidad de esperar mas de 10 minutos</t>
  </si>
  <si>
    <t>P2+P3</t>
  </si>
  <si>
    <t>Probabilda de no dejar  entrar a nadie</t>
  </si>
  <si>
    <t>P4=</t>
  </si>
  <si>
    <t>EJERCICIO 8</t>
  </si>
  <si>
    <t>ts</t>
  </si>
  <si>
    <t>segundos</t>
  </si>
  <si>
    <t>clientes/minuto</t>
  </si>
  <si>
    <t>s</t>
  </si>
  <si>
    <t>%</t>
  </si>
  <si>
    <t>Cn</t>
  </si>
  <si>
    <t>Ls</t>
  </si>
  <si>
    <t xml:space="preserve">personas </t>
  </si>
  <si>
    <t>esperando</t>
  </si>
  <si>
    <t>Lq</t>
  </si>
  <si>
    <t>Efectivo</t>
  </si>
  <si>
    <t>Rechazo</t>
  </si>
  <si>
    <t>Costo</t>
  </si>
  <si>
    <t>Ingresoxhora</t>
  </si>
  <si>
    <t>ingreso no percibido</t>
  </si>
  <si>
    <t>Bs/min</t>
  </si>
  <si>
    <t>Bs/dia (10 horas)</t>
  </si>
  <si>
    <t>Cantidad de personas esperando Lq</t>
  </si>
  <si>
    <t>Tiempo promedio que pasa dentros el sistema Ws</t>
  </si>
  <si>
    <t>tiempo en el sistema</t>
  </si>
  <si>
    <t>Que ganancia espera perder el dueño de la tienda por concepto de clientes que parten y hacen sus compras en otro lugar</t>
  </si>
  <si>
    <t>Bs/dia</t>
  </si>
  <si>
    <t>Clientes/min</t>
  </si>
  <si>
    <t>ρ=</t>
  </si>
  <si>
    <t>clinetes/hora</t>
  </si>
  <si>
    <t>t servicio</t>
  </si>
  <si>
    <t>(&lt;1)</t>
  </si>
  <si>
    <t xml:space="preserve">(M / M / 1) : (FIFO / ∞ / ∞) </t>
  </si>
  <si>
    <t>clinetes</t>
  </si>
  <si>
    <t>Ws=</t>
  </si>
  <si>
    <t>Wq=</t>
  </si>
  <si>
    <t>1, Probabilidad de pasar ma de 10 minutos en el sistema</t>
  </si>
  <si>
    <t>P6+P7+..=</t>
  </si>
  <si>
    <t>1-(suma(P0..P5)=</t>
  </si>
  <si>
    <t>N=</t>
  </si>
  <si>
    <t>autos/hora</t>
  </si>
  <si>
    <t>Suma</t>
  </si>
  <si>
    <t>autos</t>
  </si>
  <si>
    <t>bs</t>
  </si>
  <si>
    <t>Ingreso=</t>
  </si>
  <si>
    <t>Ingreso al dia(10 horas)=</t>
  </si>
  <si>
    <t>Deja de percibir=</t>
  </si>
  <si>
    <t>(M / M / s) : (FIFO / ∞ / ∞)</t>
  </si>
  <si>
    <t>operaciones/hora</t>
  </si>
  <si>
    <t>operaciones</t>
  </si>
  <si>
    <t>(M / M / s) : (FIFO / N / S)</t>
  </si>
  <si>
    <t>&lt;1</t>
  </si>
  <si>
    <t>λef=</t>
  </si>
  <si>
    <t>λp=</t>
  </si>
  <si>
    <t>Calculo e P0</t>
  </si>
  <si>
    <t>i= (0-&gt;1)</t>
  </si>
  <si>
    <t>Termino i=</t>
  </si>
  <si>
    <t>Sumatoria=</t>
  </si>
  <si>
    <t>Termino 2=</t>
  </si>
  <si>
    <t>P0=</t>
  </si>
  <si>
    <t>Pn(n:0-&gt;S)=</t>
  </si>
  <si>
    <t>Pn(n:s+1-&gt;..)=</t>
  </si>
  <si>
    <t>seg</t>
  </si>
  <si>
    <t>Pn(n:0-&gt;s)=</t>
  </si>
  <si>
    <t>Pn(n:s+1-&gt;N)=</t>
  </si>
  <si>
    <t>Validar</t>
  </si>
  <si>
    <t>Segundos</t>
  </si>
  <si>
    <t>Minutos</t>
  </si>
  <si>
    <t>Nodo</t>
  </si>
  <si>
    <t>ts(min)</t>
  </si>
  <si>
    <t>S</t>
  </si>
  <si>
    <t>µ(c/h)=</t>
  </si>
  <si>
    <t>λ(c/h)=</t>
  </si>
  <si>
    <t>Capacidad</t>
  </si>
  <si>
    <t>P0</t>
  </si>
  <si>
    <t>P1</t>
  </si>
  <si>
    <t>P2</t>
  </si>
  <si>
    <t>P3</t>
  </si>
  <si>
    <t>P4</t>
  </si>
  <si>
    <t>P5</t>
  </si>
  <si>
    <t>P6</t>
  </si>
  <si>
    <t>P7</t>
  </si>
  <si>
    <t>Infinito</t>
  </si>
  <si>
    <t>Resultado</t>
  </si>
  <si>
    <t>Ejercicio guia</t>
  </si>
  <si>
    <t xml:space="preserve">Nodo </t>
  </si>
  <si>
    <t>Inicio</t>
  </si>
  <si>
    <t>adm</t>
  </si>
  <si>
    <t>Seg</t>
  </si>
  <si>
    <t xml:space="preserve">caja </t>
  </si>
  <si>
    <t>amb</t>
  </si>
  <si>
    <t>hosp</t>
  </si>
  <si>
    <t>Fin</t>
  </si>
  <si>
    <t>Infinita</t>
  </si>
  <si>
    <t>Resultado=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</si>
</sst>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000000%"/>
    <numFmt numFmtId="165" formatCode="0.0"/>
    <numFmt numFmtId="166" formatCode="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_-* #,##0.0000\ _€_-;\-* #,##0.0000\ _€_-;_-* &quot;-&quot;????\ _€_-;_-@_-"/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0" fillId="3" borderId="0" xfId="0" applyFill="1"/>
    <xf numFmtId="10" fontId="0" fillId="3" borderId="0" xfId="1" applyNumberFormat="1" applyFont="1" applyFill="1"/>
    <xf numFmtId="164" fontId="0" fillId="3" borderId="0" xfId="1" applyNumberFormat="1" applyFont="1" applyFill="1"/>
    <xf numFmtId="10" fontId="0" fillId="3" borderId="0" xfId="0" applyNumberFormat="1" applyFill="1"/>
    <xf numFmtId="0" fontId="0" fillId="4" borderId="0" xfId="0" applyFill="1"/>
    <xf numFmtId="0" fontId="2" fillId="4" borderId="0" xfId="0" applyFont="1" applyFill="1"/>
    <xf numFmtId="0" fontId="3" fillId="3" borderId="0" xfId="0" applyFont="1" applyFill="1" applyAlignment="1">
      <alignment horizontal="right"/>
    </xf>
    <xf numFmtId="10" fontId="3" fillId="3" borderId="0" xfId="0" applyNumberFormat="1" applyFont="1" applyFill="1"/>
    <xf numFmtId="0" fontId="2" fillId="0" borderId="0" xfId="0" applyFont="1"/>
    <xf numFmtId="0" fontId="0" fillId="3" borderId="1" xfId="0" applyFill="1" applyBorder="1"/>
    <xf numFmtId="0" fontId="0" fillId="2" borderId="1" xfId="0" applyFill="1" applyBorder="1"/>
    <xf numFmtId="0" fontId="2" fillId="2" borderId="0" xfId="0" applyFont="1" applyFill="1" applyBorder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0" fillId="3" borderId="2" xfId="0" applyFill="1" applyBorder="1"/>
    <xf numFmtId="0" fontId="3" fillId="3" borderId="1" xfId="0" applyFont="1" applyFill="1" applyBorder="1"/>
    <xf numFmtId="10" fontId="0" fillId="3" borderId="1" xfId="1" applyNumberFormat="1" applyFont="1" applyFill="1" applyBorder="1"/>
    <xf numFmtId="0" fontId="0" fillId="0" borderId="0" xfId="0" applyFill="1"/>
    <xf numFmtId="0" fontId="0" fillId="2" borderId="0" xfId="0" applyFill="1" applyBorder="1"/>
    <xf numFmtId="0" fontId="0" fillId="2" borderId="2" xfId="0" applyFill="1" applyBorder="1"/>
    <xf numFmtId="165" fontId="3" fillId="3" borderId="0" xfId="0" applyNumberFormat="1" applyFont="1" applyFill="1"/>
    <xf numFmtId="0" fontId="3" fillId="3" borderId="2" xfId="0" applyFont="1" applyFill="1" applyBorder="1"/>
    <xf numFmtId="0" fontId="0" fillId="2" borderId="3" xfId="0" applyFill="1" applyBorder="1"/>
    <xf numFmtId="10" fontId="0" fillId="3" borderId="2" xfId="0" applyNumberFormat="1" applyFill="1" applyBorder="1"/>
    <xf numFmtId="0" fontId="0" fillId="3" borderId="0" xfId="0" applyNumberFormat="1" applyFill="1"/>
    <xf numFmtId="0" fontId="0" fillId="3" borderId="5" xfId="0" applyFill="1" applyBorder="1"/>
    <xf numFmtId="0" fontId="0" fillId="3" borderId="4" xfId="0" applyFill="1" applyBorder="1"/>
    <xf numFmtId="0" fontId="0" fillId="0" borderId="5" xfId="0" applyBorder="1"/>
    <xf numFmtId="166" fontId="0" fillId="3" borderId="1" xfId="0" applyNumberFormat="1" applyFill="1" applyBorder="1"/>
    <xf numFmtId="10" fontId="0" fillId="0" borderId="0" xfId="0" applyNumberFormat="1"/>
    <xf numFmtId="2" fontId="0" fillId="3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9" fontId="0" fillId="3" borderId="1" xfId="1" applyFont="1" applyFill="1" applyBorder="1" applyAlignment="1">
      <alignment horizontal="right"/>
    </xf>
    <xf numFmtId="43" fontId="0" fillId="3" borderId="0" xfId="2" applyFont="1" applyFill="1" applyBorder="1" applyAlignment="1">
      <alignment horizontal="right"/>
    </xf>
    <xf numFmtId="9" fontId="0" fillId="3" borderId="0" xfId="1" applyFont="1" applyFill="1" applyBorder="1" applyAlignment="1">
      <alignment horizontal="right"/>
    </xf>
    <xf numFmtId="2" fontId="0" fillId="3" borderId="0" xfId="0" applyNumberFormat="1" applyFill="1" applyAlignment="1">
      <alignment horizontal="right"/>
    </xf>
    <xf numFmtId="168" fontId="0" fillId="3" borderId="0" xfId="0" applyNumberFormat="1" applyFill="1" applyAlignment="1">
      <alignment horizontal="right"/>
    </xf>
    <xf numFmtId="43" fontId="0" fillId="3" borderId="0" xfId="0" applyNumberFormat="1" applyFill="1" applyAlignment="1">
      <alignment horizontal="right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7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2" fontId="0" fillId="3" borderId="0" xfId="0" applyNumberFormat="1" applyFill="1" applyBorder="1"/>
    <xf numFmtId="9" fontId="0" fillId="3" borderId="1" xfId="1" applyFont="1" applyFill="1" applyBorder="1"/>
    <xf numFmtId="0" fontId="2" fillId="2" borderId="1" xfId="0" applyFont="1" applyFill="1" applyBorder="1" applyAlignment="1">
      <alignment horizontal="left"/>
    </xf>
    <xf numFmtId="170" fontId="0" fillId="3" borderId="1" xfId="0" applyNumberFormat="1" applyFill="1" applyBorder="1"/>
    <xf numFmtId="1" fontId="0" fillId="2" borderId="1" xfId="0" applyNumberFormat="1" applyFill="1" applyBorder="1"/>
    <xf numFmtId="2" fontId="0" fillId="3" borderId="1" xfId="0" applyNumberFormat="1" applyFill="1" applyBorder="1"/>
    <xf numFmtId="2" fontId="0" fillId="3" borderId="7" xfId="0" applyNumberFormat="1" applyFill="1" applyBorder="1"/>
    <xf numFmtId="2" fontId="0" fillId="0" borderId="0" xfId="0" applyNumberFormat="1"/>
    <xf numFmtId="2" fontId="0" fillId="2" borderId="1" xfId="0" applyNumberFormat="1" applyFill="1" applyBorder="1"/>
    <xf numFmtId="2" fontId="0" fillId="3" borderId="1" xfId="1" applyNumberFormat="1" applyFont="1" applyFill="1" applyBorder="1"/>
    <xf numFmtId="2" fontId="0" fillId="3" borderId="0" xfId="1" applyNumberFormat="1" applyFont="1" applyFill="1" applyBorder="1"/>
    <xf numFmtId="1" fontId="0" fillId="2" borderId="1" xfId="1" applyNumberFormat="1" applyFont="1" applyFill="1" applyBorder="1"/>
    <xf numFmtId="2" fontId="2" fillId="2" borderId="1" xfId="0" applyNumberFormat="1" applyFont="1" applyFill="1" applyBorder="1"/>
    <xf numFmtId="2" fontId="0" fillId="2" borderId="0" xfId="0" applyNumberFormat="1" applyFill="1" applyAlignment="1"/>
    <xf numFmtId="0" fontId="0" fillId="2" borderId="1" xfId="0" applyFill="1" applyBorder="1" applyAlignment="1">
      <alignment horizontal="left"/>
    </xf>
    <xf numFmtId="9" fontId="0" fillId="3" borderId="0" xfId="1" applyFont="1" applyFill="1" applyBorder="1"/>
    <xf numFmtId="2" fontId="0" fillId="3" borderId="6" xfId="0" applyNumberFormat="1" applyFill="1" applyBorder="1"/>
    <xf numFmtId="0" fontId="0" fillId="2" borderId="0" xfId="0" applyFill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2" fontId="0" fillId="5" borderId="0" xfId="0" applyNumberFormat="1" applyFill="1"/>
    <xf numFmtId="0" fontId="0" fillId="5" borderId="1" xfId="0" applyFill="1" applyBorder="1"/>
    <xf numFmtId="2" fontId="0" fillId="5" borderId="1" xfId="0" applyNumberFormat="1" applyFill="1" applyBorder="1"/>
    <xf numFmtId="166" fontId="0" fillId="5" borderId="1" xfId="0" applyNumberFormat="1" applyFill="1" applyBorder="1"/>
    <xf numFmtId="166" fontId="0" fillId="6" borderId="1" xfId="0" applyNumberFormat="1" applyFill="1" applyBorder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des%20de%20col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H8">
            <v>10.030567924296138</v>
          </cell>
          <cell r="J8">
            <v>4.7792590006257587</v>
          </cell>
        </row>
        <row r="9">
          <cell r="H9">
            <v>1.4329393403404889</v>
          </cell>
          <cell r="J9">
            <v>0.68275179345376724</v>
          </cell>
        </row>
        <row r="11">
          <cell r="H11">
            <v>2.9192677446517475E-3</v>
          </cell>
        </row>
        <row r="12">
          <cell r="H12">
            <v>1.532998815646079E-2</v>
          </cell>
        </row>
        <row r="13">
          <cell r="H13">
            <v>4.0251281731142362E-2</v>
          </cell>
        </row>
        <row r="14">
          <cell r="H14">
            <v>7.0457357368841331E-2</v>
          </cell>
        </row>
        <row r="15">
          <cell r="H15">
            <v>9.2498406148141296E-2</v>
          </cell>
        </row>
        <row r="16">
          <cell r="H16">
            <v>9.7147613358888094E-2</v>
          </cell>
        </row>
        <row r="17">
          <cell r="H17">
            <v>8.5025418043537984E-2</v>
          </cell>
        </row>
        <row r="18">
          <cell r="H18">
            <v>7.4415844749283033E-2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1"/>
    </sheetView>
  </sheetViews>
  <sheetFormatPr baseColWidth="10" defaultRowHeight="15" x14ac:dyDescent="0.25"/>
  <cols>
    <col min="2" max="2" width="13.85546875" bestFit="1" customWidth="1"/>
  </cols>
  <sheetData>
    <row r="1" spans="1:8" x14ac:dyDescent="0.25">
      <c r="A1" s="74" t="s">
        <v>19</v>
      </c>
      <c r="B1" s="74"/>
      <c r="C1" s="74"/>
      <c r="D1" s="74"/>
      <c r="E1" s="74"/>
      <c r="F1" s="74"/>
      <c r="G1" s="74"/>
      <c r="H1" s="74"/>
    </row>
    <row r="2" spans="1:8" x14ac:dyDescent="0.25">
      <c r="A2" t="s">
        <v>0</v>
      </c>
      <c r="B2">
        <v>10</v>
      </c>
      <c r="C2" t="s">
        <v>1</v>
      </c>
    </row>
    <row r="3" spans="1:8" x14ac:dyDescent="0.25">
      <c r="A3" s="8" t="s">
        <v>5</v>
      </c>
      <c r="B3" s="7">
        <f>60/B2</f>
        <v>6</v>
      </c>
      <c r="C3" s="7" t="s">
        <v>6</v>
      </c>
      <c r="D3" s="7"/>
      <c r="E3" s="7"/>
      <c r="F3" s="7"/>
      <c r="G3" s="7"/>
      <c r="H3" s="7"/>
    </row>
    <row r="4" spans="1:8" x14ac:dyDescent="0.25">
      <c r="A4" s="2" t="s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3" t="s">
        <v>3</v>
      </c>
      <c r="B5" s="3">
        <v>0.5</v>
      </c>
      <c r="C5" s="3" t="s">
        <v>4</v>
      </c>
      <c r="D5" s="3"/>
      <c r="E5" s="3"/>
      <c r="F5" s="3"/>
      <c r="G5" s="3"/>
      <c r="H5" s="3"/>
    </row>
    <row r="6" spans="1:8" x14ac:dyDescent="0.25">
      <c r="A6" s="3" t="s">
        <v>7</v>
      </c>
      <c r="B6" s="4">
        <f>EXP(-B3*B5)</f>
        <v>4.9787068367863944E-2</v>
      </c>
      <c r="C6" s="3"/>
      <c r="D6" s="3"/>
      <c r="E6" s="3"/>
      <c r="F6" s="3"/>
      <c r="G6" s="3"/>
      <c r="H6" s="3"/>
    </row>
    <row r="7" spans="1:8" x14ac:dyDescent="0.25">
      <c r="A7" s="2" t="s">
        <v>12</v>
      </c>
      <c r="B7" s="2"/>
      <c r="C7" s="2"/>
      <c r="D7" s="2"/>
      <c r="E7" s="2"/>
      <c r="F7" s="2"/>
      <c r="G7" s="2"/>
      <c r="H7" s="2"/>
    </row>
    <row r="8" spans="1:8" x14ac:dyDescent="0.25">
      <c r="A8" s="3" t="s">
        <v>3</v>
      </c>
      <c r="B8" s="3">
        <v>20</v>
      </c>
      <c r="C8" s="3" t="s">
        <v>8</v>
      </c>
      <c r="D8" s="3">
        <f>B8/60</f>
        <v>0.33333333333333331</v>
      </c>
      <c r="E8" s="3"/>
      <c r="F8" s="3"/>
      <c r="G8" s="3"/>
      <c r="H8" s="3"/>
    </row>
    <row r="9" spans="1:8" x14ac:dyDescent="0.25">
      <c r="A9" s="3" t="s">
        <v>20</v>
      </c>
      <c r="B9" s="4">
        <f>EXP(-B3*D8)</f>
        <v>0.1353352832366127</v>
      </c>
      <c r="C9" s="3"/>
      <c r="D9" s="3"/>
      <c r="E9" s="3"/>
      <c r="F9" s="3"/>
      <c r="G9" s="3"/>
      <c r="H9" s="3"/>
    </row>
    <row r="10" spans="1:8" x14ac:dyDescent="0.25">
      <c r="A10" s="2" t="s">
        <v>13</v>
      </c>
      <c r="B10" s="2"/>
      <c r="C10" s="2"/>
      <c r="D10" s="2"/>
      <c r="E10" s="2"/>
      <c r="F10" s="2"/>
      <c r="G10" s="2"/>
      <c r="H10" s="2"/>
    </row>
    <row r="11" spans="1:8" x14ac:dyDescent="0.25">
      <c r="A11" s="3" t="s">
        <v>3</v>
      </c>
      <c r="B11" s="3">
        <v>5</v>
      </c>
      <c r="C11" s="3" t="s">
        <v>8</v>
      </c>
      <c r="D11" s="3">
        <f>B11/60</f>
        <v>8.3333333333333329E-2</v>
      </c>
      <c r="E11" s="3"/>
      <c r="F11" s="3"/>
      <c r="G11" s="3"/>
      <c r="H11" s="3"/>
    </row>
    <row r="12" spans="1:8" x14ac:dyDescent="0.25">
      <c r="A12" s="3" t="s">
        <v>10</v>
      </c>
      <c r="B12" s="3">
        <v>10</v>
      </c>
      <c r="C12" s="3" t="s">
        <v>11</v>
      </c>
      <c r="D12" s="3"/>
      <c r="E12" s="3"/>
      <c r="F12" s="3"/>
      <c r="G12" s="3"/>
      <c r="H12" s="3"/>
    </row>
    <row r="13" spans="1:8" x14ac:dyDescent="0.25">
      <c r="A13" s="3" t="s">
        <v>9</v>
      </c>
      <c r="B13" s="5">
        <f>EXP(-B3*D11)*(B3*D11)^B12/FACT(B12)</f>
        <v>1.6322616219566209E-10</v>
      </c>
      <c r="C13" s="3"/>
      <c r="D13" s="3"/>
      <c r="E13" s="3"/>
      <c r="F13" s="3"/>
      <c r="G13" s="3"/>
      <c r="H13" s="3"/>
    </row>
    <row r="14" spans="1:8" x14ac:dyDescent="0.25">
      <c r="A14" s="2" t="s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3" t="s">
        <v>3</v>
      </c>
      <c r="B15" s="3">
        <v>10</v>
      </c>
      <c r="C15" s="3" t="s">
        <v>8</v>
      </c>
      <c r="D15" s="3">
        <f>B15/60</f>
        <v>0.16666666666666666</v>
      </c>
      <c r="E15" s="3"/>
      <c r="F15" s="3"/>
      <c r="G15" s="3"/>
      <c r="H15" s="3"/>
    </row>
    <row r="16" spans="1:8" x14ac:dyDescent="0.25">
      <c r="A16" s="3" t="s">
        <v>10</v>
      </c>
      <c r="B16" s="3">
        <v>5</v>
      </c>
      <c r="C16" s="3" t="s">
        <v>11</v>
      </c>
      <c r="D16" s="3"/>
      <c r="E16" s="3"/>
      <c r="F16" s="3"/>
      <c r="G16" s="3"/>
      <c r="H16" s="3"/>
    </row>
    <row r="17" spans="1:8" x14ac:dyDescent="0.25">
      <c r="A17" s="3" t="s">
        <v>9</v>
      </c>
      <c r="B17" s="4">
        <f>EXP(-B3*D15)*(B3*D15)^B16/FACT(B16)</f>
        <v>3.0656620097620196E-3</v>
      </c>
      <c r="C17" s="3"/>
      <c r="D17" s="3"/>
      <c r="E17" s="3"/>
      <c r="F17" s="3"/>
      <c r="G17" s="3"/>
      <c r="H17" s="3"/>
    </row>
    <row r="18" spans="1:8" x14ac:dyDescent="0.25">
      <c r="A18" s="2" t="s">
        <v>15</v>
      </c>
      <c r="B18" s="2"/>
      <c r="C18" s="2"/>
      <c r="D18" s="2"/>
      <c r="E18" s="2"/>
      <c r="F18" s="2"/>
      <c r="G18" s="2"/>
      <c r="H18" s="2"/>
    </row>
    <row r="19" spans="1:8" x14ac:dyDescent="0.25">
      <c r="A19" s="3" t="s">
        <v>3</v>
      </c>
      <c r="B19" s="3">
        <v>10</v>
      </c>
      <c r="C19" s="3" t="s">
        <v>8</v>
      </c>
      <c r="D19" s="3">
        <f>B19/60</f>
        <v>0.16666666666666666</v>
      </c>
      <c r="E19" s="3"/>
      <c r="F19" s="3"/>
      <c r="G19" s="3"/>
      <c r="H19" s="3"/>
    </row>
    <row r="20" spans="1:8" x14ac:dyDescent="0.25">
      <c r="A20" s="3" t="s">
        <v>10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9" t="s">
        <v>16</v>
      </c>
    </row>
    <row r="21" spans="1:8" x14ac:dyDescent="0.25">
      <c r="A21" s="3" t="s">
        <v>9</v>
      </c>
      <c r="B21" s="4">
        <f>EXP(-$B$3*$D$19)*($B$3*'P1'!$D$19)^B20/FACT(B20)</f>
        <v>0.36787944117144233</v>
      </c>
      <c r="C21" s="4">
        <f t="shared" ref="C21:G21" si="0">EXP(-$B$3*$D$19)*($B$3*$D$19)^C20/FACT(C20)</f>
        <v>0.36787944117144233</v>
      </c>
      <c r="D21" s="4">
        <f t="shared" si="0"/>
        <v>0.18393972058572117</v>
      </c>
      <c r="E21" s="4">
        <f t="shared" si="0"/>
        <v>6.1313240195240391E-2</v>
      </c>
      <c r="F21" s="4">
        <f t="shared" si="0"/>
        <v>1.5328310048810098E-2</v>
      </c>
      <c r="G21" s="4">
        <f t="shared" si="0"/>
        <v>3.0656620097620196E-3</v>
      </c>
      <c r="H21" s="10">
        <f>SUM(B21:G21)</f>
        <v>0.99940581518241833</v>
      </c>
    </row>
    <row r="22" spans="1:8" x14ac:dyDescent="0.25">
      <c r="A22" s="2" t="s">
        <v>17</v>
      </c>
      <c r="B22" s="2"/>
      <c r="C22" s="2"/>
      <c r="D22" s="2"/>
      <c r="E22" s="2"/>
      <c r="F22" s="2"/>
      <c r="G22" s="2"/>
      <c r="H22" s="2"/>
    </row>
    <row r="23" spans="1:8" x14ac:dyDescent="0.25">
      <c r="A23" s="3" t="s">
        <v>18</v>
      </c>
      <c r="B23" s="6">
        <f>1-H21</f>
        <v>5.9418481758166664E-4</v>
      </c>
      <c r="C23" s="3"/>
      <c r="D23" s="3"/>
      <c r="E23" s="3"/>
      <c r="F23" s="3"/>
      <c r="G23" s="3"/>
      <c r="H23" s="3"/>
    </row>
    <row r="25" spans="1:8" x14ac:dyDescent="0.25">
      <c r="B25" s="1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N21" sqref="N21"/>
    </sheetView>
  </sheetViews>
  <sheetFormatPr baseColWidth="10" defaultRowHeight="15" x14ac:dyDescent="0.25"/>
  <sheetData>
    <row r="1" spans="1:19" x14ac:dyDescent="0.25">
      <c r="A1" s="13" t="s">
        <v>150</v>
      </c>
      <c r="B1" s="13" t="s">
        <v>152</v>
      </c>
      <c r="C1" s="13" t="s">
        <v>153</v>
      </c>
      <c r="D1" s="13" t="s">
        <v>154</v>
      </c>
      <c r="E1" s="13" t="s">
        <v>155</v>
      </c>
      <c r="F1" s="13" t="s">
        <v>156</v>
      </c>
      <c r="G1" s="13" t="s">
        <v>157</v>
      </c>
      <c r="H1" s="13" t="s">
        <v>106</v>
      </c>
    </row>
    <row r="2" spans="1:19" x14ac:dyDescent="0.25">
      <c r="A2" s="13" t="s">
        <v>151</v>
      </c>
      <c r="B2" s="77">
        <v>1</v>
      </c>
      <c r="C2" s="77"/>
      <c r="D2" s="77"/>
      <c r="E2" s="77"/>
      <c r="F2" s="77"/>
      <c r="G2" s="77"/>
      <c r="H2" s="77">
        <f>SUM(B2:G2)</f>
        <v>1</v>
      </c>
    </row>
    <row r="3" spans="1:19" x14ac:dyDescent="0.25">
      <c r="A3" s="13" t="s">
        <v>152</v>
      </c>
      <c r="B3" s="77"/>
      <c r="C3" s="77">
        <v>0.6</v>
      </c>
      <c r="D3" s="77">
        <v>0.4</v>
      </c>
      <c r="E3" s="77"/>
      <c r="F3" s="77"/>
      <c r="G3" s="77"/>
      <c r="H3" s="77">
        <f t="shared" ref="H3:H7" si="0">SUM(B3:G3)</f>
        <v>1</v>
      </c>
    </row>
    <row r="4" spans="1:19" x14ac:dyDescent="0.25">
      <c r="A4" s="13" t="s">
        <v>153</v>
      </c>
      <c r="B4" s="77"/>
      <c r="C4" s="77"/>
      <c r="D4" s="77"/>
      <c r="E4" s="77">
        <v>0.3</v>
      </c>
      <c r="F4" s="77">
        <v>0.7</v>
      </c>
      <c r="G4" s="77"/>
      <c r="H4" s="77">
        <f t="shared" si="0"/>
        <v>1</v>
      </c>
    </row>
    <row r="5" spans="1:19" x14ac:dyDescent="0.25">
      <c r="A5" s="13" t="s">
        <v>154</v>
      </c>
      <c r="B5" s="77"/>
      <c r="C5" s="77"/>
      <c r="D5" s="77"/>
      <c r="E5" s="77">
        <v>0.3</v>
      </c>
      <c r="F5" s="77">
        <v>0.7</v>
      </c>
      <c r="G5" s="77"/>
      <c r="H5" s="77">
        <f t="shared" si="0"/>
        <v>1</v>
      </c>
    </row>
    <row r="6" spans="1:19" x14ac:dyDescent="0.25">
      <c r="A6" s="13" t="s">
        <v>155</v>
      </c>
      <c r="B6" s="77"/>
      <c r="C6" s="77"/>
      <c r="D6" s="77"/>
      <c r="E6" s="77"/>
      <c r="F6" s="77"/>
      <c r="G6" s="77">
        <v>1</v>
      </c>
      <c r="H6" s="77">
        <f t="shared" si="0"/>
        <v>1</v>
      </c>
    </row>
    <row r="7" spans="1:19" x14ac:dyDescent="0.25">
      <c r="A7" s="13" t="s">
        <v>156</v>
      </c>
      <c r="B7" s="77"/>
      <c r="C7" s="77"/>
      <c r="D7" s="77"/>
      <c r="E7" s="77"/>
      <c r="F7" s="77"/>
      <c r="G7" s="77">
        <v>1</v>
      </c>
      <c r="H7" s="77">
        <f t="shared" si="0"/>
        <v>1</v>
      </c>
    </row>
    <row r="10" spans="1:19" x14ac:dyDescent="0.25">
      <c r="A10" s="58" t="s">
        <v>136</v>
      </c>
      <c r="B10" s="58" t="s">
        <v>137</v>
      </c>
      <c r="C10" s="13" t="s">
        <v>134</v>
      </c>
      <c r="D10" s="58" t="s">
        <v>136</v>
      </c>
      <c r="E10" s="13" t="s">
        <v>135</v>
      </c>
      <c r="F10" s="70" t="s">
        <v>93</v>
      </c>
      <c r="G10" s="13" t="s">
        <v>138</v>
      </c>
      <c r="H10" s="70" t="s">
        <v>76</v>
      </c>
      <c r="I10" s="13" t="s">
        <v>79</v>
      </c>
      <c r="J10" s="70" t="s">
        <v>63</v>
      </c>
      <c r="K10" s="13" t="s">
        <v>64</v>
      </c>
      <c r="L10" s="70" t="s">
        <v>139</v>
      </c>
      <c r="M10" s="13" t="s">
        <v>140</v>
      </c>
      <c r="N10" s="70" t="s">
        <v>141</v>
      </c>
      <c r="O10" s="13" t="s">
        <v>142</v>
      </c>
      <c r="P10" s="70" t="s">
        <v>143</v>
      </c>
      <c r="Q10" s="13" t="s">
        <v>144</v>
      </c>
      <c r="R10" s="70" t="s">
        <v>145</v>
      </c>
      <c r="S10" s="13" t="s">
        <v>146</v>
      </c>
    </row>
    <row r="11" spans="1:19" x14ac:dyDescent="0.25">
      <c r="A11" s="13" t="s">
        <v>151</v>
      </c>
      <c r="B11" s="77">
        <v>10</v>
      </c>
      <c r="C11" s="77"/>
      <c r="D11" s="77"/>
      <c r="E11" s="77"/>
      <c r="F11" s="77"/>
      <c r="G11" s="77"/>
      <c r="H11" s="80">
        <f>[1]Sheet1!H$8</f>
        <v>10.030567924296138</v>
      </c>
      <c r="I11" s="80">
        <f>[1]Sheet1!J$8</f>
        <v>4.7792590006257587</v>
      </c>
      <c r="J11" s="80">
        <f>[1]Sheet1!H$9</f>
        <v>1.4329393403404889</v>
      </c>
      <c r="K11" s="80">
        <f>[1]Sheet1!J$9</f>
        <v>0.68275179345376724</v>
      </c>
      <c r="L11" s="80">
        <f>[1]Sheet1!H$11</f>
        <v>2.9192677446517475E-3</v>
      </c>
      <c r="M11" s="80">
        <f>[1]Sheet1!H$12</f>
        <v>1.532998815646079E-2</v>
      </c>
      <c r="N11" s="80">
        <f>[1]Sheet1!H$13</f>
        <v>4.0251281731142362E-2</v>
      </c>
      <c r="O11" s="80">
        <f>[1]Sheet1!H$14</f>
        <v>7.0457357368841331E-2</v>
      </c>
      <c r="P11" s="80">
        <f>[1]Sheet1!H$15</f>
        <v>9.2498406148141296E-2</v>
      </c>
      <c r="Q11" s="80">
        <f>[1]Sheet1!H$16</f>
        <v>9.7147613358888094E-2</v>
      </c>
      <c r="R11" s="80">
        <f>[1]Sheet1!H$17</f>
        <v>8.5025418043537984E-2</v>
      </c>
      <c r="S11" s="80">
        <f>[1]Sheet1!H$18</f>
        <v>7.4415844749283033E-2</v>
      </c>
    </row>
    <row r="12" spans="1:19" x14ac:dyDescent="0.25">
      <c r="A12" s="13" t="s">
        <v>152</v>
      </c>
      <c r="B12" s="77">
        <f>B2*B11</f>
        <v>10</v>
      </c>
      <c r="C12" s="77">
        <v>10</v>
      </c>
      <c r="D12" s="77">
        <f>60/C12</f>
        <v>6</v>
      </c>
      <c r="E12" s="77">
        <v>3</v>
      </c>
      <c r="F12" s="78">
        <f>B12/(E12*D12)</f>
        <v>0.55555555555555558</v>
      </c>
      <c r="G12" s="77" t="s">
        <v>158</v>
      </c>
      <c r="H12" s="79">
        <v>2.0413632707429827</v>
      </c>
      <c r="I12" s="79">
        <v>0.37469697400977708</v>
      </c>
      <c r="J12" s="79">
        <v>0.20413637238442314</v>
      </c>
      <c r="K12" s="79">
        <v>3.7469705717756457E-2</v>
      </c>
      <c r="L12" s="79">
        <v>0.17266187085455112</v>
      </c>
      <c r="M12" s="79">
        <v>0.28776978475758519</v>
      </c>
      <c r="N12" s="79">
        <v>0.23980815396465435</v>
      </c>
      <c r="O12" s="79">
        <v>0.13322675220258576</v>
      </c>
      <c r="P12" s="79">
        <v>7.4014862334769865E-2</v>
      </c>
      <c r="Q12" s="79">
        <v>4.111936796376104E-2</v>
      </c>
      <c r="R12" s="79">
        <v>2.2844093313200579E-2</v>
      </c>
      <c r="S12" s="79">
        <v>1.2691162951778103E-2</v>
      </c>
    </row>
    <row r="13" spans="1:19" x14ac:dyDescent="0.25">
      <c r="A13" s="13" t="s">
        <v>153</v>
      </c>
      <c r="B13" s="77">
        <f>C3*B12</f>
        <v>6</v>
      </c>
      <c r="C13" s="77">
        <v>20</v>
      </c>
      <c r="D13" s="77">
        <f t="shared" ref="D13:D16" si="1">60/C13</f>
        <v>3</v>
      </c>
      <c r="E13" s="77">
        <v>3</v>
      </c>
      <c r="F13" s="78">
        <f t="shared" ref="F13:F16" si="2">B13/(E13*D13)</f>
        <v>0.66666666666666663</v>
      </c>
      <c r="G13" s="77" t="s">
        <v>158</v>
      </c>
      <c r="H13" s="79">
        <v>2.8888831958428143</v>
      </c>
      <c r="I13" s="79">
        <v>0.88888359967592978</v>
      </c>
      <c r="J13" s="79">
        <v>0.48148062985938045</v>
      </c>
      <c r="K13" s="79">
        <v>0.14814729652604711</v>
      </c>
      <c r="L13" s="79">
        <v>0.11111111128536978</v>
      </c>
      <c r="M13" s="79">
        <v>0.22222222257073956</v>
      </c>
      <c r="N13" s="79">
        <v>0.22222222257073956</v>
      </c>
      <c r="O13" s="79">
        <v>0.14814814838049303</v>
      </c>
      <c r="P13" s="79">
        <v>9.8765432253662022E-2</v>
      </c>
      <c r="Q13" s="79">
        <v>6.5843621502441343E-2</v>
      </c>
      <c r="R13" s="79">
        <v>4.3895747668294231E-2</v>
      </c>
      <c r="S13" s="79">
        <v>2.9263831778862825E-2</v>
      </c>
    </row>
    <row r="14" spans="1:19" x14ac:dyDescent="0.25">
      <c r="A14" s="13" t="s">
        <v>154</v>
      </c>
      <c r="B14" s="77">
        <f>D3*B12</f>
        <v>4</v>
      </c>
      <c r="C14" s="77">
        <v>12</v>
      </c>
      <c r="D14" s="77">
        <f t="shared" si="1"/>
        <v>5</v>
      </c>
      <c r="E14" s="77">
        <v>1</v>
      </c>
      <c r="F14" s="78">
        <f t="shared" si="2"/>
        <v>0.8</v>
      </c>
      <c r="G14" s="77" t="s">
        <v>158</v>
      </c>
      <c r="H14" s="79">
        <v>3.9999772104276312</v>
      </c>
      <c r="I14" s="79">
        <v>3.1999775260256369</v>
      </c>
      <c r="J14" s="79">
        <v>0.99999469710232292</v>
      </c>
      <c r="K14" s="79">
        <v>0.79999469710232296</v>
      </c>
      <c r="L14" s="79">
        <v>0.20000000144740104</v>
      </c>
      <c r="M14" s="79">
        <v>0.16000000115792085</v>
      </c>
      <c r="N14" s="79">
        <v>0.1280000009263367</v>
      </c>
      <c r="O14" s="79">
        <v>0.10240000074106936</v>
      </c>
      <c r="P14" s="79">
        <v>8.1920000592855508E-2</v>
      </c>
      <c r="Q14" s="79">
        <v>6.5536000474284414E-2</v>
      </c>
      <c r="R14" s="79">
        <v>5.2428800379427529E-2</v>
      </c>
      <c r="S14" s="79">
        <v>4.1943040303542033E-2</v>
      </c>
    </row>
    <row r="15" spans="1:19" x14ac:dyDescent="0.25">
      <c r="A15" s="13" t="s">
        <v>155</v>
      </c>
      <c r="B15" s="77">
        <f>E4*B13+E5*B14</f>
        <v>3</v>
      </c>
      <c r="C15" s="77">
        <v>30</v>
      </c>
      <c r="D15" s="77">
        <f t="shared" si="1"/>
        <v>2</v>
      </c>
      <c r="E15" s="77">
        <v>2</v>
      </c>
      <c r="F15" s="78">
        <f t="shared" si="2"/>
        <v>0.75</v>
      </c>
      <c r="G15" s="77" t="s">
        <v>158</v>
      </c>
      <c r="H15" s="79">
        <v>3.4285561503970459</v>
      </c>
      <c r="I15" s="79">
        <v>1.9285566910196323</v>
      </c>
      <c r="J15" s="79">
        <v>1.1428524620335847</v>
      </c>
      <c r="K15" s="79">
        <v>0.64285246203358459</v>
      </c>
      <c r="L15" s="79">
        <v>0.14285714337840941</v>
      </c>
      <c r="M15" s="79">
        <v>0.21428571506761412</v>
      </c>
      <c r="N15" s="79">
        <v>0.16071428630071058</v>
      </c>
      <c r="O15" s="79">
        <v>0.12053571472553294</v>
      </c>
      <c r="P15" s="79">
        <v>9.040178604414971E-2</v>
      </c>
      <c r="Q15" s="79">
        <v>6.7801339533112279E-2</v>
      </c>
      <c r="R15" s="79">
        <v>5.0851004649834206E-2</v>
      </c>
      <c r="S15" s="79">
        <v>3.8138253487375658E-2</v>
      </c>
    </row>
    <row r="16" spans="1:19" x14ac:dyDescent="0.25">
      <c r="A16" s="13" t="s">
        <v>156</v>
      </c>
      <c r="B16" s="77">
        <f>F4*B13+F5*B14</f>
        <v>6.9999999999999991</v>
      </c>
      <c r="C16" s="77">
        <v>45</v>
      </c>
      <c r="D16" s="78">
        <f t="shared" si="1"/>
        <v>1.3333333333333333</v>
      </c>
      <c r="E16" s="77">
        <v>6</v>
      </c>
      <c r="F16" s="78">
        <f t="shared" si="2"/>
        <v>0.87499999999999989</v>
      </c>
      <c r="G16" s="77" t="s">
        <v>158</v>
      </c>
      <c r="H16" s="79">
        <v>10.030567924296138</v>
      </c>
      <c r="I16" s="79">
        <v>4.7792590006257587</v>
      </c>
      <c r="J16" s="79">
        <v>1.4329393403404889</v>
      </c>
      <c r="K16" s="79">
        <v>0.68275179345376724</v>
      </c>
      <c r="L16" s="79">
        <v>2.9192677446517475E-3</v>
      </c>
      <c r="M16" s="79">
        <v>1.532998815646079E-2</v>
      </c>
      <c r="N16" s="79">
        <v>4.0251281731142362E-2</v>
      </c>
      <c r="O16" s="79">
        <v>7.0457357368841331E-2</v>
      </c>
      <c r="P16" s="79">
        <v>9.2498406148141296E-2</v>
      </c>
      <c r="Q16" s="79">
        <v>9.7147613358888094E-2</v>
      </c>
      <c r="R16" s="79">
        <v>8.5025418043537984E-2</v>
      </c>
      <c r="S16" s="79">
        <v>7.4415844749283033E-2</v>
      </c>
    </row>
    <row r="18" spans="7:19" x14ac:dyDescent="0.25">
      <c r="G18" s="22" t="s">
        <v>159</v>
      </c>
      <c r="H18" s="79">
        <f>SUM(H12:H16)</f>
        <v>22.389347751706612</v>
      </c>
      <c r="I18" s="79">
        <f t="shared" ref="I18:S18" si="3">SUM(I12:I16)</f>
        <v>11.171373791356736</v>
      </c>
      <c r="J18" s="79">
        <f t="shared" si="3"/>
        <v>4.2614035017202001</v>
      </c>
      <c r="K18" s="79">
        <f t="shared" si="3"/>
        <v>2.3112159548334783</v>
      </c>
      <c r="L18" s="79">
        <f t="shared" si="3"/>
        <v>0.62954939471038318</v>
      </c>
      <c r="M18" s="79">
        <f t="shared" si="3"/>
        <v>0.8996077117103205</v>
      </c>
      <c r="N18" s="79">
        <f t="shared" si="3"/>
        <v>0.79099594549358354</v>
      </c>
      <c r="O18" s="79">
        <f t="shared" si="3"/>
        <v>0.57476797341852237</v>
      </c>
      <c r="P18" s="79">
        <f t="shared" si="3"/>
        <v>0.43760048737357843</v>
      </c>
      <c r="Q18" s="79">
        <f t="shared" si="3"/>
        <v>0.33744794283248719</v>
      </c>
      <c r="R18" s="79">
        <f t="shared" si="3"/>
        <v>0.2550450640542945</v>
      </c>
      <c r="S18" s="79">
        <f t="shared" si="3"/>
        <v>0.19645213327084166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B6" sqref="B6"/>
    </sheetView>
  </sheetViews>
  <sheetFormatPr baseColWidth="10" defaultRowHeight="15" x14ac:dyDescent="0.25"/>
  <cols>
    <col min="2" max="2" width="16.7109375" customWidth="1"/>
  </cols>
  <sheetData>
    <row r="1" spans="1:15" x14ac:dyDescent="0.25">
      <c r="A1" t="s">
        <v>21</v>
      </c>
      <c r="B1">
        <v>20</v>
      </c>
      <c r="C1" t="s">
        <v>1</v>
      </c>
    </row>
    <row r="2" spans="1:15" x14ac:dyDescent="0.25">
      <c r="A2" s="11" t="s">
        <v>22</v>
      </c>
      <c r="B2">
        <v>3</v>
      </c>
      <c r="C2" t="s">
        <v>6</v>
      </c>
    </row>
    <row r="3" spans="1:15" x14ac:dyDescent="0.25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1"/>
    </row>
    <row r="4" spans="1:15" x14ac:dyDescent="0.25">
      <c r="A4" s="3" t="s">
        <v>3</v>
      </c>
      <c r="B4" s="3">
        <v>1</v>
      </c>
      <c r="C4" s="3" t="s">
        <v>24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x14ac:dyDescent="0.25">
      <c r="A5" s="3" t="s">
        <v>25</v>
      </c>
      <c r="B5" s="4">
        <f>EXP(-B4*B2)</f>
        <v>4.9787068367863944E-2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x14ac:dyDescent="0.25">
      <c r="A6" s="2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5" x14ac:dyDescent="0.25">
      <c r="A7" s="3" t="s">
        <v>3</v>
      </c>
      <c r="B7" s="3">
        <v>15</v>
      </c>
      <c r="C7" s="3" t="s">
        <v>8</v>
      </c>
      <c r="D7" s="3">
        <f>B7/60</f>
        <v>0.25</v>
      </c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A8" s="3" t="s">
        <v>27</v>
      </c>
      <c r="B8" s="4">
        <f>EXP(-D7*B2)</f>
        <v>0.47236655274101469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s="2" t="s">
        <v>28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 x14ac:dyDescent="0.25">
      <c r="A10" s="3" t="s">
        <v>3</v>
      </c>
      <c r="B10" s="3">
        <v>10</v>
      </c>
      <c r="C10" s="3" t="s">
        <v>8</v>
      </c>
      <c r="D10" s="3">
        <f>B10/60</f>
        <v>0.16666666666666666</v>
      </c>
      <c r="E10" s="3"/>
      <c r="F10" s="3"/>
      <c r="G10" s="3"/>
      <c r="H10" s="3"/>
      <c r="I10" s="3"/>
      <c r="J10" s="3"/>
      <c r="K10" s="3"/>
      <c r="L10" s="3"/>
      <c r="M10" s="3"/>
    </row>
    <row r="11" spans="1:15" x14ac:dyDescent="0.25">
      <c r="A11" s="3" t="s">
        <v>29</v>
      </c>
      <c r="B11" s="3">
        <v>5</v>
      </c>
      <c r="C11" s="3" t="s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5" x14ac:dyDescent="0.25">
      <c r="A12" s="3" t="s">
        <v>30</v>
      </c>
      <c r="B12" s="5">
        <f>EXP(-B2*D10)*(B2*D10)^B11/FACT(B11)</f>
        <v>1.5795069263349829E-4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5" x14ac:dyDescent="0.25">
      <c r="A13" s="2" t="s">
        <v>31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5" x14ac:dyDescent="0.25">
      <c r="A14" s="3" t="s">
        <v>3</v>
      </c>
      <c r="B14" s="3">
        <v>40</v>
      </c>
      <c r="C14" s="3" t="s">
        <v>8</v>
      </c>
      <c r="D14" s="3">
        <f>B14/60</f>
        <v>0.66666666666666663</v>
      </c>
      <c r="E14" s="3"/>
      <c r="F14" s="3"/>
      <c r="G14" s="3"/>
      <c r="H14" s="3"/>
      <c r="I14" s="3"/>
      <c r="J14" s="3"/>
      <c r="K14" s="3"/>
      <c r="L14" s="3"/>
      <c r="M14" s="3"/>
    </row>
    <row r="15" spans="1:15" x14ac:dyDescent="0.25">
      <c r="A15" s="3" t="s">
        <v>29</v>
      </c>
      <c r="B15" s="3">
        <v>5</v>
      </c>
      <c r="C15" s="3" t="s">
        <v>11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A16" s="3" t="s">
        <v>30</v>
      </c>
      <c r="B16" s="4">
        <f>EXP(-B2*D14)*(B2*D14)^B15/FACT(B15)</f>
        <v>3.6089408863096722E-2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 t="s">
        <v>32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3" t="s">
        <v>3</v>
      </c>
      <c r="B18" s="3">
        <v>40</v>
      </c>
      <c r="C18" s="3" t="s">
        <v>8</v>
      </c>
      <c r="D18" s="3">
        <f>B18/60</f>
        <v>0.66666666666666663</v>
      </c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 t="s">
        <v>10</v>
      </c>
      <c r="B19" s="3">
        <v>0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3">
        <v>8</v>
      </c>
      <c r="K19" s="3">
        <v>9</v>
      </c>
      <c r="L19" s="3">
        <v>10</v>
      </c>
      <c r="M19" s="9" t="s">
        <v>16</v>
      </c>
    </row>
    <row r="20" spans="1:13" x14ac:dyDescent="0.25">
      <c r="A20" s="3" t="s">
        <v>9</v>
      </c>
      <c r="B20" s="4">
        <f>EXP(-$B$2*$D$18)*($B$2*'P2 A'!$D$18)^B19/FACT(B19)</f>
        <v>0.1353352832366127</v>
      </c>
      <c r="C20" s="4">
        <f>EXP(-$B$2*$D$18)*($B$2*'P2 A'!$D$18)^C19/FACT(C19)</f>
        <v>0.2706705664732254</v>
      </c>
      <c r="D20" s="4">
        <f>EXP(-$B$2*$D$18)*($B$2*'P2 A'!$D$18)^D19/FACT(D19)</f>
        <v>0.2706705664732254</v>
      </c>
      <c r="E20" s="4">
        <f>EXP(-$B$2*$D$18)*($B$2*'P2 A'!$D$18)^E19/FACT(E19)</f>
        <v>0.18044704431548361</v>
      </c>
      <c r="F20" s="4">
        <f>EXP(-$B$2*$D$18)*($B$2*'P2 A'!$D$18)^F19/FACT(F19)</f>
        <v>9.0223522157741806E-2</v>
      </c>
      <c r="G20" s="4">
        <f>EXP(-$B$2*$D$18)*($B$2*'P2 A'!$D$18)^G19/FACT(G19)</f>
        <v>3.6089408863096722E-2</v>
      </c>
      <c r="H20" s="4">
        <f>EXP(-$B$2*$D$18)*($B$2*'P2 A'!$D$18)^H19/FACT(H19)</f>
        <v>1.2029802954365574E-2</v>
      </c>
      <c r="I20" s="4">
        <f>EXP(-$B$2*$D$18)*($B$2*'P2 A'!$D$18)^I19/FACT(I19)</f>
        <v>3.4370865583901638E-3</v>
      </c>
      <c r="J20" s="4">
        <f>EXP(-$B$2*$D$18)*($B$2*'P2 A'!$D$18)^J19/FACT(J19)</f>
        <v>8.5927163959754094E-4</v>
      </c>
      <c r="K20" s="4">
        <f>EXP(-$B$2*$D$18)*($B$2*'P2 A'!$D$18)^K19/FACT(K19)</f>
        <v>1.9094925324389798E-4</v>
      </c>
      <c r="L20" s="4">
        <f>EXP(-$B$2*$D$18)*($B$2*'P2 A'!$D$18)^L19/FACT(L19)</f>
        <v>3.8189850648779595E-5</v>
      </c>
      <c r="M20" s="10">
        <f>SUM(B20:L20)</f>
        <v>0.99999169177563163</v>
      </c>
    </row>
    <row r="21" spans="1:13" x14ac:dyDescent="0.25">
      <c r="A21" s="2" t="s">
        <v>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6">
        <f>1-M20</f>
        <v>8.3082243683696433E-6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E26" sqref="E26"/>
    </sheetView>
  </sheetViews>
  <sheetFormatPr baseColWidth="10" defaultRowHeight="15" x14ac:dyDescent="0.25"/>
  <cols>
    <col min="1" max="1" width="18.28515625" customWidth="1"/>
    <col min="2" max="6" width="8" customWidth="1"/>
    <col min="7" max="7" width="5.5703125" style="15" customWidth="1"/>
    <col min="8" max="8" width="13.85546875" customWidth="1"/>
  </cols>
  <sheetData>
    <row r="1" spans="1:8" x14ac:dyDescent="0.25">
      <c r="A1" s="22" t="s">
        <v>34</v>
      </c>
      <c r="B1" s="18">
        <v>2</v>
      </c>
      <c r="C1" s="3"/>
      <c r="D1" s="3"/>
      <c r="E1" s="3"/>
      <c r="F1" s="3"/>
      <c r="G1" s="16"/>
      <c r="H1" s="16"/>
    </row>
    <row r="2" spans="1:8" x14ac:dyDescent="0.25">
      <c r="A2" s="22" t="s">
        <v>35</v>
      </c>
      <c r="B2" s="18">
        <v>15</v>
      </c>
      <c r="C2" s="3" t="s">
        <v>8</v>
      </c>
      <c r="D2" s="3"/>
      <c r="E2" s="3"/>
      <c r="F2" s="3"/>
      <c r="G2" s="16"/>
      <c r="H2" s="16"/>
    </row>
    <row r="3" spans="1:8" x14ac:dyDescent="0.25">
      <c r="A3" s="14" t="s">
        <v>5</v>
      </c>
      <c r="B3" s="18">
        <v>16</v>
      </c>
      <c r="C3" s="3" t="s">
        <v>36</v>
      </c>
      <c r="D3" s="3"/>
      <c r="E3" s="3"/>
      <c r="F3" s="3"/>
      <c r="G3" s="16"/>
      <c r="H3" s="16"/>
    </row>
    <row r="4" spans="1:8" x14ac:dyDescent="0.25">
      <c r="A4" s="14" t="s">
        <v>37</v>
      </c>
      <c r="B4" s="18">
        <f>60/B2</f>
        <v>4</v>
      </c>
      <c r="C4" s="3" t="s">
        <v>36</v>
      </c>
      <c r="D4" s="3"/>
      <c r="E4" s="3"/>
      <c r="F4" s="3"/>
      <c r="G4" s="16"/>
      <c r="H4" s="16"/>
    </row>
    <row r="5" spans="1:8" x14ac:dyDescent="0.25">
      <c r="A5" s="14" t="s">
        <v>40</v>
      </c>
      <c r="B5" s="13">
        <v>0</v>
      </c>
      <c r="C5" s="13">
        <v>1</v>
      </c>
      <c r="D5" s="13">
        <v>2</v>
      </c>
      <c r="E5" s="13">
        <v>3</v>
      </c>
      <c r="F5" s="13">
        <v>4</v>
      </c>
      <c r="G5" s="16"/>
      <c r="H5" s="16"/>
    </row>
    <row r="6" spans="1:8" x14ac:dyDescent="0.25">
      <c r="A6" s="14" t="s">
        <v>38</v>
      </c>
      <c r="B6" s="12">
        <v>16</v>
      </c>
      <c r="C6" s="12">
        <v>16</v>
      </c>
      <c r="D6" s="12">
        <f>B3-B3/4</f>
        <v>12</v>
      </c>
      <c r="E6" s="12">
        <f>B3-B3*3/8</f>
        <v>10</v>
      </c>
      <c r="F6" s="12">
        <v>0</v>
      </c>
      <c r="G6" s="16"/>
      <c r="H6" s="16"/>
    </row>
    <row r="7" spans="1:8" x14ac:dyDescent="0.25">
      <c r="A7" s="14" t="s">
        <v>39</v>
      </c>
      <c r="B7" s="12">
        <v>0</v>
      </c>
      <c r="C7" s="12">
        <v>4</v>
      </c>
      <c r="D7" s="12">
        <f>$B$1*$B$4</f>
        <v>8</v>
      </c>
      <c r="E7" s="12">
        <f t="shared" ref="E7:F7" si="0">$B$1*$B$4</f>
        <v>8</v>
      </c>
      <c r="F7" s="12">
        <f t="shared" si="0"/>
        <v>8</v>
      </c>
      <c r="G7" s="16"/>
      <c r="H7" s="16"/>
    </row>
    <row r="8" spans="1:8" x14ac:dyDescent="0.25">
      <c r="A8" s="14" t="s">
        <v>41</v>
      </c>
      <c r="B8" s="12">
        <v>0</v>
      </c>
      <c r="C8" s="12">
        <f>B6/C7</f>
        <v>4</v>
      </c>
      <c r="D8" s="12">
        <f>C8*C6/D7</f>
        <v>8</v>
      </c>
      <c r="E8" s="12">
        <f t="shared" ref="E8:F8" si="1">D8*D6/E7</f>
        <v>12</v>
      </c>
      <c r="F8" s="12">
        <f t="shared" si="1"/>
        <v>15</v>
      </c>
      <c r="G8" s="16"/>
      <c r="H8" s="16"/>
    </row>
    <row r="9" spans="1:8" x14ac:dyDescent="0.25">
      <c r="A9" s="14" t="s">
        <v>42</v>
      </c>
      <c r="B9" s="12">
        <f>1/(1+SUM(C8:F8))</f>
        <v>2.5000000000000001E-2</v>
      </c>
      <c r="C9" s="12">
        <f>$B$9*C8</f>
        <v>0.1</v>
      </c>
      <c r="D9" s="12">
        <f t="shared" ref="D9:F9" si="2">$B$9*D8</f>
        <v>0.2</v>
      </c>
      <c r="E9" s="12">
        <f>$B$9*E8</f>
        <v>0.30000000000000004</v>
      </c>
      <c r="F9" s="12">
        <f t="shared" si="2"/>
        <v>0.375</v>
      </c>
      <c r="G9" s="16">
        <f>SUM(B9:F9)</f>
        <v>1</v>
      </c>
      <c r="H9" s="16"/>
    </row>
    <row r="10" spans="1:8" x14ac:dyDescent="0.25">
      <c r="A10" s="14" t="s">
        <v>43</v>
      </c>
      <c r="B10" s="20">
        <f>B9</f>
        <v>2.5000000000000001E-2</v>
      </c>
      <c r="C10" s="20">
        <f t="shared" ref="C10:F10" si="3">C9</f>
        <v>0.1</v>
      </c>
      <c r="D10" s="20">
        <f t="shared" si="3"/>
        <v>0.2</v>
      </c>
      <c r="E10" s="20">
        <f t="shared" si="3"/>
        <v>0.30000000000000004</v>
      </c>
      <c r="F10" s="20">
        <f t="shared" si="3"/>
        <v>0.375</v>
      </c>
      <c r="G10" s="16"/>
      <c r="H10" s="16"/>
    </row>
    <row r="11" spans="1:8" x14ac:dyDescent="0.25">
      <c r="A11" s="14" t="s">
        <v>44</v>
      </c>
      <c r="B11" s="23"/>
      <c r="C11" s="2"/>
      <c r="D11" s="2"/>
      <c r="E11" s="2"/>
      <c r="F11" s="2"/>
      <c r="G11" s="17" t="s">
        <v>16</v>
      </c>
      <c r="H11" s="17"/>
    </row>
    <row r="12" spans="1:8" x14ac:dyDescent="0.25">
      <c r="A12" s="14" t="s">
        <v>45</v>
      </c>
      <c r="B12" s="12">
        <f>B10*B5</f>
        <v>0</v>
      </c>
      <c r="C12" s="12">
        <f t="shared" ref="C12:F12" si="4">C10*C5</f>
        <v>0.1</v>
      </c>
      <c r="D12" s="12">
        <f>D10*D5</f>
        <v>0.4</v>
      </c>
      <c r="E12" s="12">
        <f t="shared" si="4"/>
        <v>0.90000000000000013</v>
      </c>
      <c r="F12" s="12">
        <f t="shared" si="4"/>
        <v>1.5</v>
      </c>
      <c r="G12" s="19">
        <f>SUM(B12:F12)</f>
        <v>2.9000000000000004</v>
      </c>
      <c r="H12" s="25" t="s">
        <v>51</v>
      </c>
    </row>
    <row r="13" spans="1:8" x14ac:dyDescent="0.25">
      <c r="A13" s="14" t="s">
        <v>46</v>
      </c>
      <c r="B13" s="23"/>
      <c r="C13" s="2"/>
      <c r="D13" s="2"/>
      <c r="E13" s="2"/>
      <c r="F13" s="2"/>
      <c r="G13" s="17"/>
      <c r="H13" s="17"/>
    </row>
    <row r="14" spans="1:8" x14ac:dyDescent="0.25">
      <c r="A14" s="14" t="s">
        <v>47</v>
      </c>
      <c r="B14" s="12">
        <v>0</v>
      </c>
      <c r="C14" s="12">
        <v>0</v>
      </c>
      <c r="D14" s="12">
        <v>0</v>
      </c>
      <c r="E14" s="12">
        <f>E5-B1</f>
        <v>1</v>
      </c>
      <c r="F14" s="12">
        <f>F5-B1</f>
        <v>2</v>
      </c>
      <c r="G14" s="19" t="s">
        <v>16</v>
      </c>
      <c r="H14" s="25"/>
    </row>
    <row r="15" spans="1:8" x14ac:dyDescent="0.25">
      <c r="A15" s="14" t="s">
        <v>48</v>
      </c>
      <c r="B15" s="12">
        <f>B14*B10</f>
        <v>0</v>
      </c>
      <c r="C15" s="12">
        <f t="shared" ref="C15:F15" si="5">C14*C10</f>
        <v>0</v>
      </c>
      <c r="D15" s="12">
        <f t="shared" si="5"/>
        <v>0</v>
      </c>
      <c r="E15" s="12">
        <f t="shared" si="5"/>
        <v>0.30000000000000004</v>
      </c>
      <c r="F15" s="12">
        <f t="shared" si="5"/>
        <v>0.75</v>
      </c>
      <c r="G15" s="19">
        <f>SUM(B15:F15)</f>
        <v>1.05</v>
      </c>
      <c r="H15" s="25" t="s">
        <v>51</v>
      </c>
    </row>
    <row r="16" spans="1:8" x14ac:dyDescent="0.25">
      <c r="A16" s="14" t="s">
        <v>49</v>
      </c>
      <c r="B16" s="23"/>
      <c r="C16" s="2"/>
      <c r="D16" s="2"/>
      <c r="E16" s="2"/>
      <c r="F16" s="2"/>
      <c r="G16" s="17"/>
      <c r="H16" s="17"/>
    </row>
    <row r="17" spans="1:9" x14ac:dyDescent="0.25">
      <c r="A17" s="14" t="s">
        <v>50</v>
      </c>
      <c r="B17" s="12">
        <f>B6*B10</f>
        <v>0.4</v>
      </c>
      <c r="C17" s="12">
        <f t="shared" ref="C17:F17" si="6">C6*C10</f>
        <v>1.6</v>
      </c>
      <c r="D17" s="12">
        <f t="shared" si="6"/>
        <v>2.4000000000000004</v>
      </c>
      <c r="E17" s="12">
        <f t="shared" si="6"/>
        <v>3.0000000000000004</v>
      </c>
      <c r="F17" s="12">
        <f t="shared" si="6"/>
        <v>0</v>
      </c>
      <c r="G17" s="19">
        <f>SUM(B17:F17)</f>
        <v>7.4</v>
      </c>
      <c r="H17" s="16" t="s">
        <v>52</v>
      </c>
      <c r="I17" s="21"/>
    </row>
    <row r="18" spans="1:9" x14ac:dyDescent="0.25">
      <c r="A18" s="14" t="s">
        <v>53</v>
      </c>
      <c r="B18" s="18"/>
      <c r="C18" s="3"/>
      <c r="D18" s="3"/>
      <c r="E18" s="3"/>
      <c r="F18" s="3"/>
      <c r="G18" s="19">
        <f>B3-G17</f>
        <v>8.6</v>
      </c>
      <c r="H18" s="16" t="s">
        <v>52</v>
      </c>
    </row>
    <row r="19" spans="1:9" x14ac:dyDescent="0.25">
      <c r="A19" s="14" t="s">
        <v>54</v>
      </c>
      <c r="B19" s="18">
        <v>2000</v>
      </c>
      <c r="C19" s="3" t="s">
        <v>55</v>
      </c>
      <c r="D19" s="3"/>
      <c r="E19" s="3"/>
      <c r="F19" s="3"/>
      <c r="G19" s="16"/>
      <c r="H19" s="16"/>
    </row>
    <row r="20" spans="1:9" x14ac:dyDescent="0.25">
      <c r="A20" s="14" t="s">
        <v>56</v>
      </c>
      <c r="B20" s="18">
        <f>B19*G17</f>
        <v>14800</v>
      </c>
      <c r="C20" s="3" t="s">
        <v>58</v>
      </c>
      <c r="D20" s="3"/>
      <c r="E20" s="3"/>
      <c r="F20" s="3"/>
      <c r="G20" s="16"/>
      <c r="H20" s="16"/>
    </row>
    <row r="21" spans="1:9" x14ac:dyDescent="0.25">
      <c r="A21" s="14" t="s">
        <v>57</v>
      </c>
      <c r="B21" s="18">
        <f>B19*G18</f>
        <v>17200</v>
      </c>
      <c r="C21" s="3" t="s">
        <v>58</v>
      </c>
      <c r="D21" s="3"/>
      <c r="E21" s="3"/>
      <c r="F21" s="3"/>
      <c r="G21" s="16"/>
      <c r="H21" s="16"/>
    </row>
    <row r="22" spans="1:9" x14ac:dyDescent="0.25">
      <c r="A22" s="14" t="s">
        <v>59</v>
      </c>
      <c r="B22" s="2"/>
      <c r="C22" s="2"/>
      <c r="D22" s="2"/>
      <c r="E22" s="2"/>
      <c r="F22" s="2"/>
      <c r="G22" s="17"/>
      <c r="H22" s="17"/>
    </row>
    <row r="23" spans="1:9" x14ac:dyDescent="0.25">
      <c r="A23" s="14" t="s">
        <v>40</v>
      </c>
      <c r="B23" s="13">
        <v>0</v>
      </c>
      <c r="C23" s="13">
        <v>1</v>
      </c>
      <c r="D23" s="13">
        <v>2</v>
      </c>
      <c r="E23" s="13">
        <v>3</v>
      </c>
      <c r="F23" s="13">
        <v>4</v>
      </c>
      <c r="G23" s="16"/>
      <c r="H23" s="16"/>
    </row>
    <row r="24" spans="1:9" x14ac:dyDescent="0.25">
      <c r="A24" s="2" t="s">
        <v>60</v>
      </c>
      <c r="B24" s="12">
        <f>B2</f>
        <v>15</v>
      </c>
      <c r="C24" s="12">
        <f>B2</f>
        <v>15</v>
      </c>
      <c r="D24" s="12">
        <f>2*B2</f>
        <v>30</v>
      </c>
      <c r="E24" s="12">
        <f>2*B2</f>
        <v>30</v>
      </c>
      <c r="F24" s="12">
        <v>0</v>
      </c>
      <c r="G24" s="16"/>
      <c r="H24" s="16"/>
    </row>
    <row r="25" spans="1:9" x14ac:dyDescent="0.25">
      <c r="A25" s="2" t="s">
        <v>63</v>
      </c>
      <c r="B25" s="12">
        <f>B24*B10</f>
        <v>0.375</v>
      </c>
      <c r="C25" s="12">
        <f>C24*C10</f>
        <v>1.5</v>
      </c>
      <c r="D25" s="12">
        <f t="shared" ref="D25:F25" si="7">D24*D10</f>
        <v>6</v>
      </c>
      <c r="E25" s="12">
        <f>E24*E10</f>
        <v>9.0000000000000018</v>
      </c>
      <c r="F25" s="12">
        <f t="shared" si="7"/>
        <v>0</v>
      </c>
      <c r="G25" s="24">
        <f>SUM(B25:F25)</f>
        <v>16.875</v>
      </c>
      <c r="H25" s="16" t="s">
        <v>1</v>
      </c>
    </row>
    <row r="26" spans="1:9" x14ac:dyDescent="0.25">
      <c r="A26" s="2" t="s">
        <v>61</v>
      </c>
      <c r="B26" s="23"/>
      <c r="C26" s="2"/>
      <c r="D26" s="2"/>
      <c r="E26" s="2"/>
      <c r="F26" s="2"/>
      <c r="G26" s="17"/>
      <c r="H26" s="17"/>
    </row>
    <row r="27" spans="1:9" x14ac:dyDescent="0.25">
      <c r="A27" s="2" t="s">
        <v>62</v>
      </c>
      <c r="B27" s="12">
        <f>B24-$B$2</f>
        <v>0</v>
      </c>
      <c r="C27" s="12">
        <f t="shared" ref="C27:E27" si="8">C24-$B$2</f>
        <v>0</v>
      </c>
      <c r="D27" s="12">
        <f t="shared" si="8"/>
        <v>15</v>
      </c>
      <c r="E27" s="12">
        <f t="shared" si="8"/>
        <v>15</v>
      </c>
      <c r="F27" s="12">
        <v>0</v>
      </c>
      <c r="G27" s="16"/>
      <c r="H27" s="16"/>
    </row>
    <row r="28" spans="1:9" x14ac:dyDescent="0.25">
      <c r="A28" s="2" t="s">
        <v>64</v>
      </c>
      <c r="B28" s="12">
        <f>B27*B10</f>
        <v>0</v>
      </c>
      <c r="C28" s="12">
        <f t="shared" ref="C28:F28" si="9">C27*C10</f>
        <v>0</v>
      </c>
      <c r="D28" s="12">
        <f t="shared" si="9"/>
        <v>3</v>
      </c>
      <c r="E28" s="12">
        <f t="shared" si="9"/>
        <v>4.5000000000000009</v>
      </c>
      <c r="F28" s="12">
        <f t="shared" si="9"/>
        <v>0</v>
      </c>
      <c r="G28" s="16">
        <f>SUM(B28:F28)</f>
        <v>7.5000000000000009</v>
      </c>
      <c r="H28" s="16" t="s">
        <v>1</v>
      </c>
    </row>
    <row r="29" spans="1:9" x14ac:dyDescent="0.25">
      <c r="A29" s="2" t="s">
        <v>65</v>
      </c>
      <c r="B29" s="23"/>
      <c r="C29" s="2"/>
      <c r="D29" s="2"/>
      <c r="E29" s="2"/>
      <c r="F29" s="2"/>
      <c r="G29" s="17"/>
      <c r="H29" s="17"/>
    </row>
    <row r="30" spans="1:9" x14ac:dyDescent="0.25">
      <c r="A30" s="2" t="s">
        <v>66</v>
      </c>
      <c r="B30" s="27">
        <f>D10+E10</f>
        <v>0.5</v>
      </c>
      <c r="C30" s="3"/>
      <c r="D30" s="3"/>
      <c r="E30" s="3"/>
      <c r="F30" s="3"/>
      <c r="G30" s="16"/>
      <c r="H30" s="3"/>
    </row>
    <row r="31" spans="1:9" x14ac:dyDescent="0.25">
      <c r="A31" s="2" t="s">
        <v>67</v>
      </c>
      <c r="B31" s="23"/>
      <c r="C31" s="2"/>
      <c r="D31" s="2"/>
      <c r="E31" s="2"/>
      <c r="F31" s="2"/>
      <c r="G31" s="17"/>
      <c r="H31" s="2"/>
    </row>
    <row r="32" spans="1:9" x14ac:dyDescent="0.25">
      <c r="A32" s="26" t="s">
        <v>68</v>
      </c>
      <c r="B32" s="6">
        <f>F10</f>
        <v>0.375</v>
      </c>
      <c r="C32" s="3"/>
      <c r="D32" s="3"/>
      <c r="E32" s="3"/>
      <c r="F32" s="3"/>
      <c r="G32" s="16"/>
      <c r="H32" s="3"/>
    </row>
    <row r="33" spans="1:8" x14ac:dyDescent="0.25">
      <c r="A33" s="26"/>
      <c r="B33" s="3"/>
      <c r="C33" s="3"/>
      <c r="D33" s="3"/>
      <c r="E33" s="3"/>
      <c r="F33" s="3"/>
      <c r="G33" s="16"/>
      <c r="H33" s="3"/>
    </row>
    <row r="34" spans="1:8" x14ac:dyDescent="0.25">
      <c r="A34" s="26"/>
      <c r="B34" s="3"/>
      <c r="C34" s="3"/>
      <c r="D34" s="3"/>
      <c r="E34" s="3"/>
      <c r="F34" s="3"/>
      <c r="G34" s="16"/>
      <c r="H3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5" sqref="A4:A5"/>
    </sheetView>
  </sheetViews>
  <sheetFormatPr baseColWidth="10" defaultRowHeight="15" x14ac:dyDescent="0.25"/>
  <cols>
    <col min="1" max="1" width="21.7109375" customWidth="1"/>
    <col min="4" max="4" width="12" customWidth="1"/>
    <col min="7" max="7" width="15.42578125" customWidth="1"/>
    <col min="8" max="8" width="12.140625" customWidth="1"/>
  </cols>
  <sheetData>
    <row r="1" spans="1:8" x14ac:dyDescent="0.25">
      <c r="A1" s="2" t="s">
        <v>69</v>
      </c>
      <c r="B1" s="2"/>
      <c r="C1" s="2"/>
      <c r="D1" s="2"/>
      <c r="E1" s="2"/>
      <c r="F1" s="2"/>
      <c r="G1" s="2"/>
      <c r="H1" s="2"/>
    </row>
    <row r="2" spans="1:8" x14ac:dyDescent="0.25">
      <c r="A2" s="2" t="s">
        <v>73</v>
      </c>
      <c r="B2" s="3">
        <v>1</v>
      </c>
      <c r="C2" s="3"/>
      <c r="D2" s="3"/>
      <c r="E2" s="3"/>
      <c r="F2" s="3"/>
      <c r="G2" s="3"/>
      <c r="H2" s="3"/>
    </row>
    <row r="3" spans="1:8" x14ac:dyDescent="0.25">
      <c r="A3" s="2" t="s">
        <v>70</v>
      </c>
      <c r="B3" s="28">
        <v>30</v>
      </c>
      <c r="C3" s="3" t="s">
        <v>71</v>
      </c>
      <c r="D3" s="3"/>
      <c r="E3" s="3"/>
      <c r="F3" s="3"/>
      <c r="G3" s="3"/>
      <c r="H3" s="3"/>
    </row>
    <row r="4" spans="1:8" x14ac:dyDescent="0.25">
      <c r="A4" s="14" t="s">
        <v>5</v>
      </c>
      <c r="B4" s="3">
        <v>3</v>
      </c>
      <c r="C4" s="3" t="s">
        <v>72</v>
      </c>
      <c r="D4" s="3"/>
      <c r="E4" s="3"/>
      <c r="F4" s="3"/>
      <c r="G4" s="3"/>
      <c r="H4" s="3"/>
    </row>
    <row r="5" spans="1:8" x14ac:dyDescent="0.25">
      <c r="A5" s="14" t="s">
        <v>37</v>
      </c>
      <c r="B5" s="3">
        <f>60/B3</f>
        <v>2</v>
      </c>
      <c r="C5" s="3" t="s">
        <v>72</v>
      </c>
      <c r="D5" s="3"/>
      <c r="E5" s="3"/>
      <c r="F5" s="3"/>
      <c r="G5" s="3"/>
      <c r="H5" s="3"/>
    </row>
    <row r="6" spans="1:8" x14ac:dyDescent="0.25">
      <c r="A6" s="2" t="s">
        <v>40</v>
      </c>
      <c r="B6" s="13">
        <v>0</v>
      </c>
      <c r="C6" s="13">
        <v>1</v>
      </c>
      <c r="D6" s="13">
        <v>2</v>
      </c>
      <c r="E6" s="13">
        <v>3</v>
      </c>
      <c r="F6" s="3"/>
      <c r="G6" s="3"/>
      <c r="H6" s="3"/>
    </row>
    <row r="7" spans="1:8" x14ac:dyDescent="0.25">
      <c r="A7" s="14" t="s">
        <v>38</v>
      </c>
      <c r="B7" s="12">
        <f>$B$4-$B$4*B6/3</f>
        <v>3</v>
      </c>
      <c r="C7" s="12">
        <f>$B$4-$B$4*C6/3</f>
        <v>2</v>
      </c>
      <c r="D7" s="12">
        <f t="shared" ref="D7:E7" si="0">$B$4-$B$4*D6/3</f>
        <v>1</v>
      </c>
      <c r="E7" s="12">
        <f t="shared" si="0"/>
        <v>0</v>
      </c>
      <c r="F7" s="3"/>
      <c r="G7" s="3"/>
      <c r="H7" s="3"/>
    </row>
    <row r="8" spans="1:8" x14ac:dyDescent="0.25">
      <c r="A8" s="14" t="s">
        <v>39</v>
      </c>
      <c r="B8" s="12">
        <v>0</v>
      </c>
      <c r="C8" s="12">
        <f>$B$5*$B$2</f>
        <v>2</v>
      </c>
      <c r="D8" s="12">
        <f t="shared" ref="D8:E8" si="1">$B$5*$B$2</f>
        <v>2</v>
      </c>
      <c r="E8" s="12">
        <f t="shared" si="1"/>
        <v>2</v>
      </c>
      <c r="F8" s="3"/>
      <c r="G8" s="3"/>
      <c r="H8" s="3"/>
    </row>
    <row r="9" spans="1:8" x14ac:dyDescent="0.25">
      <c r="A9" s="2" t="s">
        <v>75</v>
      </c>
      <c r="B9" s="12">
        <v>0</v>
      </c>
      <c r="C9" s="12">
        <f>B7/C8</f>
        <v>1.5</v>
      </c>
      <c r="D9" s="12">
        <f>C9*C7/D8</f>
        <v>1.5</v>
      </c>
      <c r="E9" s="12">
        <f>D9*D7/E8</f>
        <v>0.75</v>
      </c>
      <c r="F9" s="3"/>
      <c r="G9" s="3"/>
      <c r="H9" s="3"/>
    </row>
    <row r="10" spans="1:8" x14ac:dyDescent="0.25">
      <c r="A10" s="2"/>
      <c r="B10" s="12">
        <f>1/(1+SUM(C9:E9))</f>
        <v>0.21052631578947367</v>
      </c>
      <c r="C10" s="12">
        <f>C9*$B$10</f>
        <v>0.31578947368421051</v>
      </c>
      <c r="D10" s="12">
        <f t="shared" ref="D10:E10" si="2">D9*$B$10</f>
        <v>0.31578947368421051</v>
      </c>
      <c r="E10" s="12">
        <f t="shared" si="2"/>
        <v>0.15789473684210525</v>
      </c>
      <c r="F10" s="3"/>
      <c r="G10" s="3"/>
      <c r="H10" s="3"/>
    </row>
    <row r="11" spans="1:8" x14ac:dyDescent="0.25">
      <c r="A11" s="2" t="s">
        <v>74</v>
      </c>
      <c r="B11" s="20">
        <f>B10</f>
        <v>0.21052631578947367</v>
      </c>
      <c r="C11" s="20">
        <f t="shared" ref="C11:E11" si="3">C10</f>
        <v>0.31578947368421051</v>
      </c>
      <c r="D11" s="20">
        <f t="shared" si="3"/>
        <v>0.31578947368421051</v>
      </c>
      <c r="E11" s="20">
        <f t="shared" si="3"/>
        <v>0.15789473684210525</v>
      </c>
      <c r="F11" s="3"/>
      <c r="G11" s="3"/>
      <c r="H11" s="3"/>
    </row>
    <row r="12" spans="1:8" x14ac:dyDescent="0.25">
      <c r="A12" s="14" t="s">
        <v>44</v>
      </c>
      <c r="B12" s="2"/>
      <c r="C12" s="2"/>
      <c r="D12" s="2"/>
      <c r="E12" s="2"/>
      <c r="F12" s="2"/>
      <c r="G12" s="2"/>
      <c r="H12" s="2"/>
    </row>
    <row r="13" spans="1:8" x14ac:dyDescent="0.25">
      <c r="A13" s="2" t="s">
        <v>76</v>
      </c>
      <c r="B13" s="12">
        <f>B11*B6</f>
        <v>0</v>
      </c>
      <c r="C13" s="12">
        <f t="shared" ref="C13:E13" si="4">C11*C6</f>
        <v>0.31578947368421051</v>
      </c>
      <c r="D13" s="12">
        <f t="shared" si="4"/>
        <v>0.63157894736842102</v>
      </c>
      <c r="E13" s="12">
        <f t="shared" si="4"/>
        <v>0.47368421052631576</v>
      </c>
      <c r="F13" s="12">
        <f>SUM(B13:E13)</f>
        <v>1.4210526315789473</v>
      </c>
      <c r="G13" s="12" t="s">
        <v>77</v>
      </c>
      <c r="H13" s="3"/>
    </row>
    <row r="14" spans="1:8" x14ac:dyDescent="0.25">
      <c r="A14" s="2" t="s">
        <v>87</v>
      </c>
      <c r="B14" s="2"/>
      <c r="C14" s="2"/>
      <c r="D14" s="2"/>
      <c r="E14" s="2"/>
      <c r="F14" s="2"/>
      <c r="G14" s="2"/>
      <c r="H14" s="2"/>
    </row>
    <row r="15" spans="1:8" x14ac:dyDescent="0.25">
      <c r="A15" s="2" t="s">
        <v>78</v>
      </c>
      <c r="B15" s="12">
        <v>0</v>
      </c>
      <c r="C15" s="12">
        <v>0</v>
      </c>
      <c r="D15" s="12">
        <v>1</v>
      </c>
      <c r="E15" s="12">
        <v>2</v>
      </c>
      <c r="F15" s="12"/>
      <c r="G15" s="3"/>
      <c r="H15" s="3"/>
    </row>
    <row r="16" spans="1:8" x14ac:dyDescent="0.25">
      <c r="A16" s="2" t="s">
        <v>79</v>
      </c>
      <c r="B16" s="12">
        <f>B15*B11</f>
        <v>0</v>
      </c>
      <c r="C16" s="12">
        <f t="shared" ref="C16:E16" si="5">C15*C11</f>
        <v>0</v>
      </c>
      <c r="D16" s="12">
        <f t="shared" si="5"/>
        <v>0.31578947368421051</v>
      </c>
      <c r="E16" s="12">
        <f t="shared" si="5"/>
        <v>0.31578947368421051</v>
      </c>
      <c r="F16" s="12">
        <f t="shared" ref="F16:F17" si="6">SUM(B16:E16)</f>
        <v>0.63157894736842102</v>
      </c>
      <c r="G16" s="3" t="s">
        <v>77</v>
      </c>
      <c r="H16" s="3"/>
    </row>
    <row r="17" spans="1:8" x14ac:dyDescent="0.25">
      <c r="A17" s="2" t="s">
        <v>80</v>
      </c>
      <c r="B17" s="12">
        <f>B11*B7</f>
        <v>0.63157894736842102</v>
      </c>
      <c r="C17" s="12">
        <f t="shared" ref="C17:E17" si="7">C11*C7</f>
        <v>0.63157894736842102</v>
      </c>
      <c r="D17" s="12">
        <f t="shared" si="7"/>
        <v>0.31578947368421051</v>
      </c>
      <c r="E17" s="12">
        <f t="shared" si="7"/>
        <v>0</v>
      </c>
      <c r="F17" s="12">
        <f t="shared" si="6"/>
        <v>1.5789473684210527</v>
      </c>
      <c r="G17" s="3" t="s">
        <v>92</v>
      </c>
      <c r="H17" s="3"/>
    </row>
    <row r="18" spans="1:8" x14ac:dyDescent="0.25">
      <c r="A18" s="2" t="s">
        <v>81</v>
      </c>
      <c r="B18" s="12"/>
      <c r="C18" s="12"/>
      <c r="D18" s="12"/>
      <c r="E18" s="12"/>
      <c r="F18" s="12">
        <f>B4-F17</f>
        <v>1.4210526315789473</v>
      </c>
      <c r="G18" s="3" t="s">
        <v>92</v>
      </c>
      <c r="H18" s="3"/>
    </row>
    <row r="19" spans="1:8" x14ac:dyDescent="0.25">
      <c r="A19" s="2" t="s">
        <v>82</v>
      </c>
      <c r="B19" s="3">
        <v>1000</v>
      </c>
      <c r="C19" s="3"/>
      <c r="D19" s="3"/>
      <c r="E19" s="3"/>
      <c r="F19" s="3"/>
      <c r="G19" s="3"/>
      <c r="H19" s="3"/>
    </row>
    <row r="20" spans="1:8" x14ac:dyDescent="0.25">
      <c r="A20" s="2" t="s">
        <v>83</v>
      </c>
      <c r="B20" s="3">
        <f>$B$19*F17</f>
        <v>1578.9473684210527</v>
      </c>
      <c r="C20" s="3" t="s">
        <v>85</v>
      </c>
      <c r="D20" s="3">
        <f>B20*60</f>
        <v>94736.84210526316</v>
      </c>
      <c r="E20" s="3" t="s">
        <v>58</v>
      </c>
      <c r="F20" s="3">
        <f>D20*10</f>
        <v>947368.42105263157</v>
      </c>
      <c r="G20" s="3" t="s">
        <v>86</v>
      </c>
      <c r="H20" s="3"/>
    </row>
    <row r="21" spans="1:8" x14ac:dyDescent="0.25">
      <c r="A21" s="2" t="s">
        <v>84</v>
      </c>
      <c r="B21" s="3">
        <f>$B$19*F18</f>
        <v>1421.0526315789473</v>
      </c>
      <c r="C21" s="3" t="s">
        <v>85</v>
      </c>
      <c r="D21" s="3">
        <f>B21*60</f>
        <v>85263.15789473684</v>
      </c>
      <c r="E21" s="3" t="s">
        <v>58</v>
      </c>
      <c r="F21" s="3">
        <f>D21*10</f>
        <v>852631.57894736843</v>
      </c>
      <c r="G21" s="3" t="s">
        <v>86</v>
      </c>
      <c r="H21" s="3"/>
    </row>
    <row r="22" spans="1:8" x14ac:dyDescent="0.25">
      <c r="A22" s="2" t="s">
        <v>88</v>
      </c>
      <c r="B22" s="2"/>
      <c r="C22" s="2"/>
      <c r="D22" s="2"/>
      <c r="E22" s="2"/>
      <c r="F22" s="2"/>
      <c r="G22" s="2"/>
      <c r="H22" s="2"/>
    </row>
    <row r="23" spans="1:8" x14ac:dyDescent="0.25">
      <c r="A23" s="2" t="s">
        <v>89</v>
      </c>
      <c r="B23" s="12">
        <v>30</v>
      </c>
      <c r="C23" s="12">
        <v>60</v>
      </c>
      <c r="D23" s="12">
        <v>90</v>
      </c>
      <c r="E23" s="12">
        <v>0</v>
      </c>
      <c r="F23" s="12"/>
      <c r="G23" s="12"/>
      <c r="H23" s="3"/>
    </row>
    <row r="24" spans="1:8" x14ac:dyDescent="0.25">
      <c r="A24" s="2" t="s">
        <v>63</v>
      </c>
      <c r="B24" s="12">
        <f>B23*B11</f>
        <v>6.3157894736842106</v>
      </c>
      <c r="C24" s="12">
        <f t="shared" ref="C24:E24" si="8">C23*C11</f>
        <v>18.94736842105263</v>
      </c>
      <c r="D24" s="12">
        <f t="shared" si="8"/>
        <v>28.421052631578945</v>
      </c>
      <c r="E24" s="12">
        <f t="shared" si="8"/>
        <v>0</v>
      </c>
      <c r="F24" s="12">
        <f>SUM(B24:E24)</f>
        <v>53.684210526315788</v>
      </c>
      <c r="G24" s="12"/>
      <c r="H24" s="3"/>
    </row>
    <row r="25" spans="1:8" x14ac:dyDescent="0.25">
      <c r="A25" s="2" t="s">
        <v>61</v>
      </c>
      <c r="B25" s="2"/>
      <c r="C25" s="2"/>
      <c r="D25" s="2"/>
      <c r="E25" s="2"/>
      <c r="F25" s="2"/>
      <c r="G25" s="2"/>
      <c r="H25" s="2"/>
    </row>
    <row r="26" spans="1:8" x14ac:dyDescent="0.25">
      <c r="A26" s="2" t="s">
        <v>62</v>
      </c>
      <c r="B26" s="12">
        <v>0</v>
      </c>
      <c r="C26" s="12">
        <v>30</v>
      </c>
      <c r="D26" s="12">
        <v>60</v>
      </c>
      <c r="E26" s="12"/>
      <c r="F26" s="12"/>
      <c r="G26" s="3"/>
      <c r="H26" s="3"/>
    </row>
    <row r="27" spans="1:8" x14ac:dyDescent="0.25">
      <c r="A27" s="2" t="s">
        <v>64</v>
      </c>
      <c r="B27" s="12">
        <f>B26*B11</f>
        <v>0</v>
      </c>
      <c r="C27" s="12">
        <f t="shared" ref="C27:D27" si="9">C26*C11</f>
        <v>9.473684210526315</v>
      </c>
      <c r="D27" s="12">
        <f t="shared" si="9"/>
        <v>18.94736842105263</v>
      </c>
      <c r="E27" s="12"/>
      <c r="F27" s="12">
        <f>SUM(B27:D27)</f>
        <v>28.421052631578945</v>
      </c>
      <c r="G27" s="3"/>
      <c r="H27" s="3"/>
    </row>
    <row r="28" spans="1:8" x14ac:dyDescent="0.25">
      <c r="A28" s="2" t="s">
        <v>90</v>
      </c>
      <c r="B28" s="2"/>
      <c r="C28" s="2"/>
      <c r="D28" s="2"/>
      <c r="E28" s="2"/>
      <c r="F28" s="2"/>
      <c r="G28" s="2"/>
      <c r="H28" s="2"/>
    </row>
    <row r="29" spans="1:8" x14ac:dyDescent="0.25">
      <c r="A29" s="2" t="s">
        <v>84</v>
      </c>
      <c r="B29" s="29">
        <f>B21</f>
        <v>1421.0526315789473</v>
      </c>
      <c r="C29" s="30" t="s">
        <v>85</v>
      </c>
      <c r="D29" s="29">
        <f>B29*60</f>
        <v>85263.15789473684</v>
      </c>
      <c r="E29" s="30" t="s">
        <v>58</v>
      </c>
      <c r="F29" s="29">
        <f>D29*10</f>
        <v>852631.57894736843</v>
      </c>
      <c r="G29" s="30" t="s">
        <v>91</v>
      </c>
      <c r="H29" s="3"/>
    </row>
    <row r="30" spans="1:8" x14ac:dyDescent="0.25">
      <c r="B30" s="31"/>
      <c r="C30" s="31"/>
      <c r="D30" s="31"/>
      <c r="E30" s="31"/>
      <c r="F30" s="31"/>
      <c r="G3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L7"/>
    </sheetView>
  </sheetViews>
  <sheetFormatPr baseColWidth="10" defaultRowHeight="15" x14ac:dyDescent="0.25"/>
  <cols>
    <col min="2" max="2" width="15.85546875" customWidth="1"/>
    <col min="3" max="12" width="12.42578125" customWidth="1"/>
  </cols>
  <sheetData>
    <row r="1" spans="1:13" x14ac:dyDescent="0.25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x14ac:dyDescent="0.25">
      <c r="A2" s="2" t="s">
        <v>34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25">
      <c r="A3" s="14" t="s">
        <v>5</v>
      </c>
      <c r="B3" s="3">
        <v>24</v>
      </c>
      <c r="C3" s="3" t="s">
        <v>94</v>
      </c>
      <c r="D3" s="3"/>
      <c r="E3" s="3"/>
      <c r="F3" s="3"/>
      <c r="G3" s="3"/>
      <c r="H3" s="3"/>
      <c r="I3" s="3"/>
      <c r="J3" s="3"/>
      <c r="K3" s="3"/>
      <c r="L3" s="3"/>
    </row>
    <row r="4" spans="1:13" x14ac:dyDescent="0.25">
      <c r="A4" s="14" t="s">
        <v>95</v>
      </c>
      <c r="B4" s="3">
        <v>2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</row>
    <row r="5" spans="1:13" x14ac:dyDescent="0.25">
      <c r="A5" s="14" t="s">
        <v>37</v>
      </c>
      <c r="B5" s="3">
        <f>60/B4</f>
        <v>30</v>
      </c>
      <c r="C5" s="3" t="s">
        <v>94</v>
      </c>
      <c r="D5" s="3"/>
      <c r="E5" s="3"/>
      <c r="F5" s="3"/>
      <c r="G5" s="3"/>
      <c r="H5" s="3"/>
      <c r="I5" s="3"/>
      <c r="J5" s="3"/>
      <c r="K5" s="3"/>
      <c r="L5" s="3"/>
    </row>
    <row r="6" spans="1:13" x14ac:dyDescent="0.25">
      <c r="A6" s="2" t="s">
        <v>93</v>
      </c>
      <c r="B6" s="3">
        <f>B3/B5</f>
        <v>0.8</v>
      </c>
      <c r="C6" s="3" t="s">
        <v>96</v>
      </c>
      <c r="D6" s="3"/>
      <c r="E6" s="3"/>
      <c r="F6" s="3"/>
      <c r="G6" s="3"/>
      <c r="H6" s="3"/>
      <c r="I6" s="3"/>
      <c r="J6" s="3"/>
      <c r="K6" s="3"/>
      <c r="L6" s="3"/>
    </row>
    <row r="7" spans="1:13" x14ac:dyDescent="0.25">
      <c r="A7" s="2" t="s">
        <v>10</v>
      </c>
      <c r="B7" s="13">
        <v>0</v>
      </c>
      <c r="C7" s="13">
        <v>1</v>
      </c>
      <c r="D7" s="13">
        <v>2</v>
      </c>
      <c r="E7" s="13">
        <v>3</v>
      </c>
      <c r="F7" s="13">
        <v>4</v>
      </c>
      <c r="G7" s="13">
        <v>5</v>
      </c>
      <c r="H7" s="13">
        <v>6</v>
      </c>
      <c r="I7" s="13">
        <v>7</v>
      </c>
      <c r="J7" s="13">
        <v>8</v>
      </c>
      <c r="K7" s="13">
        <v>9</v>
      </c>
      <c r="L7" s="13">
        <v>10</v>
      </c>
    </row>
    <row r="8" spans="1:13" x14ac:dyDescent="0.25">
      <c r="A8" s="2" t="s">
        <v>42</v>
      </c>
      <c r="B8" s="12">
        <f>1-B6</f>
        <v>0.19999999999999996</v>
      </c>
      <c r="C8" s="32">
        <f>$B$8*$B$6^C7</f>
        <v>0.15999999999999998</v>
      </c>
      <c r="D8" s="32">
        <f t="shared" ref="D8:L8" si="0">$B$8*$B$6^D7</f>
        <v>0.128</v>
      </c>
      <c r="E8" s="32">
        <f t="shared" si="0"/>
        <v>0.1024</v>
      </c>
      <c r="F8" s="32">
        <f t="shared" si="0"/>
        <v>8.1920000000000021E-2</v>
      </c>
      <c r="G8" s="32">
        <f t="shared" si="0"/>
        <v>6.5536000000000025E-2</v>
      </c>
      <c r="H8" s="32">
        <f t="shared" si="0"/>
        <v>5.2428800000000018E-2</v>
      </c>
      <c r="I8" s="32">
        <f t="shared" si="0"/>
        <v>4.1943040000000022E-2</v>
      </c>
      <c r="J8" s="32">
        <f t="shared" si="0"/>
        <v>3.3554432000000023E-2</v>
      </c>
      <c r="K8" s="32">
        <f t="shared" si="0"/>
        <v>2.6843545600000018E-2</v>
      </c>
      <c r="L8" s="32">
        <f t="shared" si="0"/>
        <v>2.147483648000002E-2</v>
      </c>
    </row>
    <row r="9" spans="1:13" x14ac:dyDescent="0.25">
      <c r="A9" s="2" t="s">
        <v>74</v>
      </c>
      <c r="B9" s="20">
        <f>B8</f>
        <v>0.19999999999999996</v>
      </c>
      <c r="C9" s="20">
        <f t="shared" ref="C9:L9" si="1">C8</f>
        <v>0.15999999999999998</v>
      </c>
      <c r="D9" s="20">
        <f t="shared" si="1"/>
        <v>0.128</v>
      </c>
      <c r="E9" s="20">
        <f t="shared" si="1"/>
        <v>0.1024</v>
      </c>
      <c r="F9" s="20">
        <f t="shared" si="1"/>
        <v>8.1920000000000021E-2</v>
      </c>
      <c r="G9" s="20">
        <f t="shared" si="1"/>
        <v>6.5536000000000025E-2</v>
      </c>
      <c r="H9" s="20">
        <f t="shared" si="1"/>
        <v>5.2428800000000018E-2</v>
      </c>
      <c r="I9" s="20">
        <f t="shared" si="1"/>
        <v>4.1943040000000022E-2</v>
      </c>
      <c r="J9" s="20">
        <f t="shared" si="1"/>
        <v>3.3554432000000023E-2</v>
      </c>
      <c r="K9" s="20">
        <f t="shared" si="1"/>
        <v>2.6843545600000018E-2</v>
      </c>
      <c r="L9" s="20">
        <f t="shared" si="1"/>
        <v>2.147483648000002E-2</v>
      </c>
      <c r="M9" s="33"/>
    </row>
    <row r="10" spans="1:13" x14ac:dyDescent="0.25">
      <c r="A10" s="22" t="s">
        <v>45</v>
      </c>
      <c r="B10" s="3">
        <f>B6/(1-B6)</f>
        <v>4.0000000000000009</v>
      </c>
      <c r="C10" s="3" t="s">
        <v>98</v>
      </c>
      <c r="D10" s="3"/>
      <c r="E10" s="3"/>
      <c r="F10" s="3"/>
      <c r="G10" s="3"/>
      <c r="H10" s="3"/>
      <c r="I10" s="3"/>
      <c r="J10" s="3"/>
      <c r="K10" s="3"/>
      <c r="L10" s="3"/>
    </row>
    <row r="11" spans="1:13" x14ac:dyDescent="0.25">
      <c r="A11" s="22" t="s">
        <v>48</v>
      </c>
      <c r="B11" s="3">
        <f>B6^2/(1-B6)</f>
        <v>3.2000000000000015</v>
      </c>
      <c r="C11" s="3" t="s">
        <v>98</v>
      </c>
      <c r="D11" s="3"/>
      <c r="E11" s="3"/>
      <c r="F11" s="3"/>
      <c r="G11" s="3"/>
      <c r="H11" s="3"/>
      <c r="I11" s="3"/>
      <c r="J11" s="3"/>
      <c r="K11" s="3"/>
      <c r="L11" s="3"/>
    </row>
    <row r="12" spans="1:13" x14ac:dyDescent="0.25">
      <c r="A12" s="22" t="s">
        <v>99</v>
      </c>
      <c r="B12" s="34">
        <f>B10/B3</f>
        <v>0.16666666666666671</v>
      </c>
      <c r="C12" s="3" t="s">
        <v>4</v>
      </c>
      <c r="D12" s="3">
        <f>60*B12</f>
        <v>10.000000000000004</v>
      </c>
      <c r="E12" s="3" t="s">
        <v>8</v>
      </c>
      <c r="F12" s="3"/>
      <c r="G12" s="3"/>
      <c r="H12" s="3"/>
      <c r="I12" s="3"/>
      <c r="J12" s="3"/>
      <c r="K12" s="3"/>
      <c r="L12" s="3"/>
    </row>
    <row r="13" spans="1:13" x14ac:dyDescent="0.25">
      <c r="A13" s="22" t="s">
        <v>100</v>
      </c>
      <c r="B13" s="3">
        <f>B11/B3</f>
        <v>0.13333333333333339</v>
      </c>
      <c r="C13" s="3" t="s">
        <v>4</v>
      </c>
      <c r="D13" s="3">
        <f>60*B13</f>
        <v>8.0000000000000036</v>
      </c>
      <c r="E13" s="3" t="s">
        <v>8</v>
      </c>
      <c r="F13" s="3"/>
      <c r="G13" s="3"/>
      <c r="H13" s="3"/>
      <c r="I13" s="3"/>
      <c r="J13" s="3"/>
      <c r="K13" s="3"/>
      <c r="L13" s="3"/>
    </row>
    <row r="14" spans="1:13" x14ac:dyDescent="0.25">
      <c r="A14" s="22" t="s">
        <v>101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2" t="s">
        <v>102</v>
      </c>
      <c r="B15" s="2" t="s">
        <v>103</v>
      </c>
      <c r="C15" s="6">
        <f>1-SUM(B9:G9)</f>
        <v>0.26214400000000004</v>
      </c>
      <c r="D15" s="3"/>
      <c r="E15" s="3"/>
      <c r="F15" s="3"/>
      <c r="G15" s="3"/>
      <c r="H15" s="3"/>
      <c r="I15" s="3"/>
      <c r="J15" s="3"/>
      <c r="K15" s="3"/>
      <c r="L15" s="3"/>
    </row>
  </sheetData>
  <mergeCells count="1">
    <mergeCell ref="A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M18" sqref="M18"/>
    </sheetView>
  </sheetViews>
  <sheetFormatPr baseColWidth="10" defaultRowHeight="15" x14ac:dyDescent="0.25"/>
  <cols>
    <col min="1" max="1" width="9.85546875" customWidth="1"/>
    <col min="2" max="2" width="12.5703125" bestFit="1" customWidth="1"/>
    <col min="3" max="3" width="12" bestFit="1" customWidth="1"/>
  </cols>
  <sheetData>
    <row r="1" spans="1:12" s="37" customFormat="1" x14ac:dyDescent="0.25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s="37" customFormat="1" x14ac:dyDescent="0.25">
      <c r="A2" s="35" t="s">
        <v>104</v>
      </c>
      <c r="B2" s="36">
        <v>4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s="37" customFormat="1" x14ac:dyDescent="0.25">
      <c r="A3" s="35" t="s">
        <v>34</v>
      </c>
      <c r="B3" s="36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s="37" customFormat="1" x14ac:dyDescent="0.25">
      <c r="A4" s="48" t="s">
        <v>5</v>
      </c>
      <c r="B4" s="36">
        <v>10</v>
      </c>
      <c r="C4" s="36" t="s">
        <v>105</v>
      </c>
      <c r="D4" s="36"/>
      <c r="E4" s="36"/>
      <c r="F4" s="36"/>
      <c r="G4" s="36"/>
      <c r="H4" s="36"/>
      <c r="I4" s="36"/>
      <c r="J4" s="36"/>
      <c r="K4" s="36"/>
      <c r="L4" s="36"/>
    </row>
    <row r="5" spans="1:12" s="37" customFormat="1" x14ac:dyDescent="0.25">
      <c r="A5" s="48" t="s">
        <v>95</v>
      </c>
      <c r="B5" s="36">
        <v>2</v>
      </c>
      <c r="C5" s="36" t="s">
        <v>1</v>
      </c>
      <c r="D5" s="36"/>
      <c r="E5" s="36"/>
      <c r="F5" s="36"/>
      <c r="G5" s="36"/>
      <c r="H5" s="36"/>
      <c r="I5" s="36"/>
      <c r="J5" s="36"/>
      <c r="K5" s="36"/>
      <c r="L5" s="36"/>
    </row>
    <row r="6" spans="1:12" s="37" customFormat="1" x14ac:dyDescent="0.25">
      <c r="A6" s="48" t="s">
        <v>37</v>
      </c>
      <c r="B6" s="36">
        <f>60/B5</f>
        <v>30</v>
      </c>
      <c r="C6" s="36" t="s">
        <v>105</v>
      </c>
      <c r="D6" s="36"/>
      <c r="E6" s="36"/>
      <c r="F6" s="36"/>
      <c r="G6" s="36"/>
      <c r="H6" s="36"/>
      <c r="I6" s="36"/>
      <c r="J6" s="36"/>
      <c r="K6" s="36"/>
      <c r="L6" s="36"/>
    </row>
    <row r="7" spans="1:12" s="37" customFormat="1" x14ac:dyDescent="0.25">
      <c r="A7" s="35" t="s">
        <v>93</v>
      </c>
      <c r="B7" s="36">
        <f>B4/B6</f>
        <v>0.33333333333333331</v>
      </c>
      <c r="C7" s="36" t="s">
        <v>96</v>
      </c>
      <c r="D7" s="36"/>
      <c r="E7" s="36"/>
      <c r="F7" s="36"/>
      <c r="G7" s="36"/>
      <c r="H7" s="36"/>
      <c r="I7" s="36"/>
      <c r="J7" s="36"/>
      <c r="K7" s="36"/>
      <c r="L7" s="36"/>
    </row>
    <row r="8" spans="1:12" s="37" customFormat="1" x14ac:dyDescent="0.25">
      <c r="A8" s="35" t="s">
        <v>10</v>
      </c>
      <c r="B8" s="39">
        <v>0</v>
      </c>
      <c r="C8" s="39">
        <v>1</v>
      </c>
      <c r="D8" s="39">
        <v>2</v>
      </c>
      <c r="E8" s="39">
        <v>3</v>
      </c>
      <c r="F8" s="39">
        <v>4</v>
      </c>
      <c r="G8" s="39" t="s">
        <v>106</v>
      </c>
      <c r="H8" s="40"/>
      <c r="I8" s="40"/>
      <c r="J8" s="40"/>
      <c r="K8" s="40"/>
      <c r="L8" s="40"/>
    </row>
    <row r="9" spans="1:12" s="37" customFormat="1" x14ac:dyDescent="0.25">
      <c r="A9" s="49" t="s">
        <v>42</v>
      </c>
      <c r="B9" s="41">
        <f>(1-B7)/(1-B7^(B2+1))</f>
        <v>0.66942148760330589</v>
      </c>
      <c r="C9" s="41">
        <f>$B$9*$B$7^C8</f>
        <v>0.22314049586776863</v>
      </c>
      <c r="D9" s="41">
        <f t="shared" ref="D9:F9" si="0">$B$9*$B$7^D8</f>
        <v>7.43801652892562E-2</v>
      </c>
      <c r="E9" s="41">
        <f t="shared" si="0"/>
        <v>2.4793388429752067E-2</v>
      </c>
      <c r="F9" s="41">
        <f t="shared" si="0"/>
        <v>8.2644628099173556E-3</v>
      </c>
      <c r="G9" s="41">
        <f>SUM(B9:F9)</f>
        <v>1.0000000000000002</v>
      </c>
      <c r="H9" s="36"/>
      <c r="I9" s="36"/>
      <c r="J9" s="36"/>
      <c r="K9" s="36"/>
      <c r="L9" s="36"/>
    </row>
    <row r="10" spans="1:12" s="37" customFormat="1" x14ac:dyDescent="0.25">
      <c r="A10" s="49" t="s">
        <v>74</v>
      </c>
      <c r="B10" s="42">
        <f>B9</f>
        <v>0.66942148760330589</v>
      </c>
      <c r="C10" s="42">
        <f t="shared" ref="C10:G10" si="1">C9</f>
        <v>0.22314049586776863</v>
      </c>
      <c r="D10" s="42">
        <f t="shared" si="1"/>
        <v>7.43801652892562E-2</v>
      </c>
      <c r="E10" s="42">
        <f t="shared" si="1"/>
        <v>2.4793388429752067E-2</v>
      </c>
      <c r="F10" s="42">
        <f t="shared" si="1"/>
        <v>8.2644628099173556E-3</v>
      </c>
      <c r="G10" s="42">
        <f t="shared" si="1"/>
        <v>1.0000000000000002</v>
      </c>
      <c r="H10" s="36"/>
      <c r="I10" s="36"/>
      <c r="J10" s="36"/>
      <c r="K10" s="36"/>
      <c r="L10" s="36"/>
    </row>
    <row r="11" spans="1:12" s="37" customFormat="1" x14ac:dyDescent="0.25">
      <c r="A11" s="48" t="s">
        <v>50</v>
      </c>
      <c r="B11" s="43">
        <f>B4*(1-F9)</f>
        <v>9.9173553719008272</v>
      </c>
      <c r="C11" s="36" t="s">
        <v>105</v>
      </c>
      <c r="D11" s="44"/>
      <c r="E11" s="44"/>
      <c r="F11" s="44"/>
      <c r="G11" s="44"/>
      <c r="H11" s="36"/>
      <c r="I11" s="36"/>
      <c r="J11" s="36"/>
      <c r="K11" s="36"/>
      <c r="L11" s="36"/>
    </row>
    <row r="12" spans="1:12" s="37" customFormat="1" x14ac:dyDescent="0.25">
      <c r="A12" s="49" t="s">
        <v>45</v>
      </c>
      <c r="B12" s="45">
        <f>(B7*(1-(B2+1)*B7^B2+B2*B7^(B2+1)))/((1-B7)*(1-B7^(B2+1)))</f>
        <v>0.47933884297520651</v>
      </c>
      <c r="C12" s="36" t="s">
        <v>107</v>
      </c>
      <c r="D12" s="36"/>
      <c r="E12" s="36"/>
      <c r="F12" s="36"/>
      <c r="G12" s="36"/>
      <c r="H12" s="36"/>
      <c r="I12" s="36"/>
      <c r="J12" s="36"/>
      <c r="K12" s="36"/>
      <c r="L12" s="36"/>
    </row>
    <row r="13" spans="1:12" s="37" customFormat="1" x14ac:dyDescent="0.25">
      <c r="A13" s="49" t="s">
        <v>79</v>
      </c>
      <c r="B13" s="45">
        <f>B12-(1-B9)</f>
        <v>0.1487603305785124</v>
      </c>
      <c r="C13" s="36" t="s">
        <v>107</v>
      </c>
      <c r="D13" s="36"/>
      <c r="E13" s="36"/>
      <c r="F13" s="36"/>
      <c r="G13" s="36"/>
      <c r="H13" s="36"/>
      <c r="I13" s="36"/>
      <c r="J13" s="36"/>
      <c r="K13" s="36"/>
      <c r="L13" s="36"/>
    </row>
    <row r="14" spans="1:12" s="37" customFormat="1" x14ac:dyDescent="0.25">
      <c r="A14" s="49" t="s">
        <v>99</v>
      </c>
      <c r="B14" s="46">
        <f>B12/B11</f>
        <v>4.8333333333333318E-2</v>
      </c>
      <c r="C14" s="36" t="s">
        <v>4</v>
      </c>
      <c r="D14" s="51">
        <f>60*B14</f>
        <v>2.899999999999999</v>
      </c>
      <c r="E14" s="36" t="s">
        <v>1</v>
      </c>
      <c r="F14" s="36"/>
      <c r="G14" s="36"/>
      <c r="H14" s="36"/>
      <c r="I14" s="36"/>
      <c r="J14" s="36"/>
      <c r="K14" s="36"/>
      <c r="L14" s="36"/>
    </row>
    <row r="15" spans="1:12" s="37" customFormat="1" x14ac:dyDescent="0.25">
      <c r="A15" s="49" t="s">
        <v>100</v>
      </c>
      <c r="B15" s="50">
        <f>B13/B11</f>
        <v>1.4999999999999999E-2</v>
      </c>
      <c r="C15" s="36" t="s">
        <v>4</v>
      </c>
      <c r="D15" s="51">
        <f>60*B15</f>
        <v>0.89999999999999991</v>
      </c>
      <c r="E15" s="36" t="s">
        <v>1</v>
      </c>
      <c r="F15" s="36"/>
      <c r="G15" s="36"/>
      <c r="H15" s="36"/>
      <c r="I15" s="36"/>
      <c r="J15" s="36"/>
      <c r="K15" s="36"/>
      <c r="L15" s="36"/>
    </row>
    <row r="16" spans="1:12" s="37" customFormat="1" x14ac:dyDescent="0.25">
      <c r="A16" s="52"/>
    </row>
    <row r="17" spans="1:12" s="37" customFormat="1" x14ac:dyDescent="0.25">
      <c r="A17" s="35" t="s">
        <v>54</v>
      </c>
      <c r="B17" s="38"/>
      <c r="C17" s="36">
        <v>300</v>
      </c>
      <c r="D17" s="36" t="s">
        <v>108</v>
      </c>
      <c r="E17" s="53"/>
      <c r="F17" s="53"/>
      <c r="G17" s="53"/>
      <c r="H17" s="53"/>
      <c r="I17" s="53"/>
      <c r="J17" s="53"/>
      <c r="K17" s="53"/>
      <c r="L17" s="53"/>
    </row>
    <row r="18" spans="1:12" s="37" customFormat="1" x14ac:dyDescent="0.25">
      <c r="A18" s="35" t="s">
        <v>109</v>
      </c>
      <c r="B18" s="38"/>
      <c r="C18" s="47">
        <f>C17*B11</f>
        <v>2975.2066115702482</v>
      </c>
      <c r="D18" s="36" t="s">
        <v>58</v>
      </c>
      <c r="E18" s="53"/>
      <c r="F18" s="53"/>
      <c r="G18" s="53"/>
      <c r="H18" s="53"/>
      <c r="I18" s="53"/>
      <c r="J18" s="53"/>
      <c r="K18" s="53"/>
      <c r="L18" s="53"/>
    </row>
    <row r="19" spans="1:12" s="37" customFormat="1" x14ac:dyDescent="0.25">
      <c r="A19" s="35" t="s">
        <v>110</v>
      </c>
      <c r="B19" s="38"/>
      <c r="C19" s="47">
        <f>10*C18</f>
        <v>29752.066115702481</v>
      </c>
      <c r="D19" s="36" t="s">
        <v>91</v>
      </c>
      <c r="E19" s="53"/>
      <c r="F19" s="53"/>
      <c r="G19" s="53"/>
      <c r="H19" s="53"/>
      <c r="I19" s="53"/>
      <c r="J19" s="53"/>
      <c r="K19" s="53"/>
      <c r="L19" s="53"/>
    </row>
    <row r="20" spans="1:12" s="37" customFormat="1" x14ac:dyDescent="0.25">
      <c r="A20" s="48" t="s">
        <v>53</v>
      </c>
      <c r="B20" s="38"/>
      <c r="C20" s="47">
        <f>B4-B11</f>
        <v>8.2644628099172834E-2</v>
      </c>
      <c r="D20" s="36" t="s">
        <v>105</v>
      </c>
      <c r="E20" s="53"/>
      <c r="F20" s="53"/>
      <c r="G20" s="53"/>
      <c r="H20" s="53"/>
      <c r="I20" s="53"/>
      <c r="J20" s="53"/>
      <c r="K20" s="53"/>
      <c r="L20" s="53"/>
    </row>
    <row r="21" spans="1:12" s="37" customFormat="1" x14ac:dyDescent="0.25">
      <c r="A21" s="35" t="s">
        <v>111</v>
      </c>
      <c r="B21" s="38"/>
      <c r="C21" s="47">
        <f>C17*C20</f>
        <v>24.79338842975185</v>
      </c>
      <c r="D21" s="36" t="s">
        <v>58</v>
      </c>
      <c r="E21" s="53"/>
      <c r="F21" s="53"/>
      <c r="G21" s="53"/>
      <c r="H21" s="53"/>
      <c r="I21" s="53"/>
      <c r="J21" s="53"/>
      <c r="K21" s="53"/>
      <c r="L21" s="53"/>
    </row>
    <row r="22" spans="1:12" s="37" customFormat="1" x14ac:dyDescent="0.25">
      <c r="A22" s="52"/>
    </row>
    <row r="23" spans="1:12" s="37" customFormat="1" x14ac:dyDescent="0.25">
      <c r="A23" s="52"/>
    </row>
    <row r="24" spans="1:12" s="37" customFormat="1" x14ac:dyDescent="0.25">
      <c r="A24" s="52"/>
    </row>
    <row r="25" spans="1:12" x14ac:dyDescent="0.25">
      <c r="A25" s="52"/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7" workbookViewId="0">
      <selection activeCell="A14" sqref="A14"/>
    </sheetView>
  </sheetViews>
  <sheetFormatPr baseColWidth="10" defaultRowHeight="15" x14ac:dyDescent="0.25"/>
  <cols>
    <col min="1" max="1" width="13.140625" customWidth="1"/>
  </cols>
  <sheetData>
    <row r="1" spans="1:15" x14ac:dyDescent="0.25">
      <c r="A1" s="69" t="s">
        <v>112</v>
      </c>
      <c r="B1" s="69"/>
      <c r="C1" s="69"/>
      <c r="D1" s="69"/>
      <c r="E1" s="69"/>
      <c r="F1" s="69"/>
      <c r="G1" s="69"/>
      <c r="H1" s="69"/>
      <c r="I1" s="69"/>
      <c r="J1" s="63"/>
      <c r="K1" s="63"/>
      <c r="L1" s="63"/>
      <c r="M1" s="63"/>
      <c r="N1" s="63"/>
      <c r="O1" s="63"/>
    </row>
    <row r="2" spans="1:15" x14ac:dyDescent="0.25">
      <c r="A2" s="64" t="s">
        <v>34</v>
      </c>
      <c r="B2" s="61">
        <v>2</v>
      </c>
      <c r="C2" s="61"/>
      <c r="D2" s="34"/>
      <c r="E2" s="34"/>
      <c r="F2" s="34"/>
      <c r="G2" s="34"/>
      <c r="H2" s="34"/>
      <c r="I2" s="34"/>
      <c r="J2" s="63"/>
      <c r="K2" s="63"/>
      <c r="L2" s="63"/>
      <c r="M2" s="63"/>
      <c r="N2" s="63"/>
      <c r="O2" s="63"/>
    </row>
    <row r="3" spans="1:15" x14ac:dyDescent="0.25">
      <c r="A3" s="68" t="s">
        <v>5</v>
      </c>
      <c r="B3" s="61">
        <v>100</v>
      </c>
      <c r="C3" s="61" t="s">
        <v>113</v>
      </c>
      <c r="D3" s="34"/>
      <c r="E3" s="34"/>
      <c r="F3" s="34"/>
      <c r="G3" s="34"/>
      <c r="H3" s="34"/>
      <c r="I3" s="34"/>
      <c r="J3" s="63"/>
      <c r="K3" s="63"/>
      <c r="L3" s="63"/>
      <c r="M3" s="63"/>
      <c r="N3" s="63"/>
      <c r="O3" s="63"/>
    </row>
    <row r="4" spans="1:15" x14ac:dyDescent="0.25">
      <c r="A4" s="68" t="s">
        <v>37</v>
      </c>
      <c r="B4" s="61">
        <v>60</v>
      </c>
      <c r="C4" s="61" t="s">
        <v>113</v>
      </c>
      <c r="D4" s="34"/>
      <c r="E4" s="34"/>
      <c r="F4" s="34"/>
      <c r="G4" s="34"/>
      <c r="H4" s="34"/>
      <c r="I4" s="34"/>
      <c r="J4" s="63"/>
      <c r="K4" s="63"/>
      <c r="L4" s="63"/>
      <c r="M4" s="63"/>
      <c r="N4" s="63"/>
      <c r="O4" s="63"/>
    </row>
    <row r="5" spans="1:15" x14ac:dyDescent="0.25">
      <c r="A5" s="64" t="s">
        <v>93</v>
      </c>
      <c r="B5" s="61">
        <f>B3/(B2*B4)</f>
        <v>0.83333333333333337</v>
      </c>
      <c r="C5" s="61" t="s">
        <v>96</v>
      </c>
      <c r="D5" s="34"/>
      <c r="E5" s="34"/>
      <c r="F5" s="34"/>
      <c r="G5" s="34"/>
      <c r="H5" s="34"/>
      <c r="I5" s="34"/>
      <c r="J5" s="63"/>
      <c r="K5" s="63"/>
      <c r="L5" s="63"/>
      <c r="M5" s="63"/>
      <c r="N5" s="63"/>
      <c r="O5" s="63"/>
    </row>
    <row r="6" spans="1:15" x14ac:dyDescent="0.25">
      <c r="A6" s="34"/>
      <c r="B6" s="34"/>
      <c r="C6" s="34"/>
      <c r="D6" s="34"/>
      <c r="E6" s="34"/>
      <c r="F6" s="34"/>
      <c r="G6" s="34"/>
      <c r="H6" s="34"/>
      <c r="I6" s="56"/>
      <c r="J6" s="63"/>
      <c r="K6" s="63"/>
      <c r="L6" s="63"/>
      <c r="M6" s="63"/>
      <c r="N6" s="63"/>
      <c r="O6" s="63"/>
    </row>
    <row r="7" spans="1:15" x14ac:dyDescent="0.25">
      <c r="A7" s="64" t="s">
        <v>119</v>
      </c>
      <c r="B7" s="34"/>
      <c r="C7" s="34"/>
      <c r="D7" s="34"/>
      <c r="E7" s="34"/>
      <c r="F7" s="34"/>
      <c r="G7" s="34"/>
      <c r="H7" s="34"/>
      <c r="I7" s="56"/>
      <c r="J7" s="63"/>
      <c r="K7" s="63"/>
      <c r="L7" s="63"/>
      <c r="M7" s="63"/>
      <c r="N7" s="63"/>
      <c r="O7" s="63"/>
    </row>
    <row r="8" spans="1:15" x14ac:dyDescent="0.25">
      <c r="A8" s="64" t="s">
        <v>120</v>
      </c>
      <c r="B8" s="64">
        <v>0</v>
      </c>
      <c r="C8" s="64">
        <v>1</v>
      </c>
      <c r="D8" s="34"/>
      <c r="E8" s="34"/>
      <c r="F8" s="34"/>
      <c r="G8" s="34"/>
      <c r="H8" s="34"/>
      <c r="I8" s="56"/>
      <c r="J8" s="63"/>
      <c r="K8" s="63"/>
      <c r="L8" s="63"/>
      <c r="M8" s="63"/>
      <c r="N8" s="63"/>
      <c r="O8" s="63"/>
    </row>
    <row r="9" spans="1:15" x14ac:dyDescent="0.25">
      <c r="A9" s="64" t="s">
        <v>121</v>
      </c>
      <c r="B9" s="61">
        <f>((($B$3/$B$4)^B8)/FACT(B8))</f>
        <v>1</v>
      </c>
      <c r="C9" s="61">
        <f>((($B$3/$B$4)^C8)/FACT(C8))</f>
        <v>1.6666666666666667</v>
      </c>
      <c r="D9" s="34"/>
      <c r="E9" s="34"/>
      <c r="F9" s="34"/>
      <c r="G9" s="34"/>
      <c r="H9" s="34"/>
      <c r="I9" s="56"/>
      <c r="J9" s="63"/>
      <c r="K9" s="63"/>
      <c r="L9" s="63"/>
      <c r="M9" s="63"/>
      <c r="N9" s="63"/>
      <c r="O9" s="63"/>
    </row>
    <row r="10" spans="1:15" x14ac:dyDescent="0.25">
      <c r="A10" s="64" t="s">
        <v>122</v>
      </c>
      <c r="B10" s="61">
        <f>SUM(B9:C9)</f>
        <v>2.666666666666667</v>
      </c>
      <c r="C10" s="61"/>
      <c r="D10" s="34"/>
      <c r="E10" s="34"/>
      <c r="F10" s="34"/>
      <c r="G10" s="34"/>
      <c r="H10" s="34"/>
      <c r="I10" s="56"/>
      <c r="J10" s="63"/>
      <c r="K10" s="63"/>
      <c r="L10" s="63"/>
      <c r="M10" s="63"/>
      <c r="N10" s="63"/>
      <c r="O10" s="63"/>
    </row>
    <row r="11" spans="1:15" x14ac:dyDescent="0.25">
      <c r="A11" s="64" t="s">
        <v>123</v>
      </c>
      <c r="B11" s="61">
        <f>(((B3/B4)^B2)/(FACT(B2)*(1-B5)))</f>
        <v>8.3333333333333357</v>
      </c>
      <c r="C11" s="61"/>
      <c r="D11" s="34"/>
      <c r="E11" s="34"/>
      <c r="F11" s="34"/>
      <c r="G11" s="34"/>
      <c r="H11" s="34"/>
      <c r="I11" s="56"/>
      <c r="J11" s="63"/>
      <c r="K11" s="63"/>
      <c r="L11" s="63"/>
      <c r="M11" s="63"/>
      <c r="N11" s="63"/>
      <c r="O11" s="63"/>
    </row>
    <row r="12" spans="1:15" x14ac:dyDescent="0.25">
      <c r="A12" s="64" t="s">
        <v>124</v>
      </c>
      <c r="B12" s="61">
        <f>1/(B10+B11)</f>
        <v>9.0909090909090884E-2</v>
      </c>
      <c r="C12" s="61"/>
      <c r="D12" s="34"/>
      <c r="E12" s="34"/>
      <c r="F12" s="34"/>
      <c r="G12" s="34"/>
      <c r="H12" s="34"/>
      <c r="I12" s="56"/>
      <c r="J12" s="63"/>
      <c r="K12" s="63"/>
      <c r="L12" s="63"/>
      <c r="M12" s="63"/>
      <c r="N12" s="63"/>
      <c r="O12" s="63"/>
    </row>
    <row r="13" spans="1:15" x14ac:dyDescent="0.25">
      <c r="A13" s="56"/>
      <c r="B13" s="56"/>
      <c r="C13" s="56"/>
      <c r="D13" s="34"/>
      <c r="E13" s="34"/>
      <c r="F13" s="34"/>
      <c r="G13" s="34"/>
      <c r="H13" s="34"/>
      <c r="I13" s="56"/>
      <c r="J13" s="63"/>
      <c r="K13" s="63"/>
      <c r="L13" s="63"/>
      <c r="M13" s="63"/>
      <c r="N13" s="63"/>
      <c r="O13" s="63"/>
    </row>
    <row r="14" spans="1:15" x14ac:dyDescent="0.25">
      <c r="A14" s="64" t="s">
        <v>125</v>
      </c>
      <c r="B14" s="34"/>
      <c r="C14" s="34"/>
      <c r="D14" s="34"/>
      <c r="E14" s="34"/>
      <c r="F14" s="34"/>
      <c r="G14" s="34"/>
      <c r="H14" s="34"/>
      <c r="I14" s="56"/>
      <c r="J14" s="63"/>
      <c r="K14" s="63"/>
      <c r="L14" s="63"/>
      <c r="M14" s="63"/>
      <c r="N14" s="63"/>
      <c r="O14" s="63"/>
    </row>
    <row r="15" spans="1:15" x14ac:dyDescent="0.25">
      <c r="A15" s="64" t="s">
        <v>10</v>
      </c>
      <c r="B15" s="60">
        <v>0</v>
      </c>
      <c r="C15" s="60">
        <v>1</v>
      </c>
      <c r="D15" s="60">
        <v>2</v>
      </c>
      <c r="E15" s="34"/>
      <c r="F15" s="34"/>
      <c r="G15" s="34"/>
      <c r="H15" s="34"/>
      <c r="I15" s="34"/>
      <c r="J15" s="63"/>
      <c r="K15" s="63"/>
      <c r="L15" s="63"/>
      <c r="M15" s="63"/>
      <c r="N15" s="63"/>
      <c r="O15" s="63"/>
    </row>
    <row r="16" spans="1:15" x14ac:dyDescent="0.25">
      <c r="A16" s="64" t="s">
        <v>42</v>
      </c>
      <c r="B16" s="61">
        <f>B12</f>
        <v>9.0909090909090884E-2</v>
      </c>
      <c r="C16" s="61">
        <f>(($B$16*($B$3/$B$4)^C15)/(FACT(C15)))</f>
        <v>0.15151515151515149</v>
      </c>
      <c r="D16" s="61">
        <f>(($B$16*($B$3/$B$4)^D15)/(FACT(D15)))</f>
        <v>0.12626262626262624</v>
      </c>
      <c r="E16" s="34"/>
      <c r="F16" s="34"/>
      <c r="G16" s="34"/>
      <c r="H16" s="34"/>
      <c r="I16" s="34"/>
      <c r="J16" s="63"/>
      <c r="K16" s="63"/>
      <c r="L16" s="63"/>
      <c r="M16" s="63"/>
      <c r="N16" s="63"/>
      <c r="O16" s="63"/>
    </row>
    <row r="17" spans="1:15" x14ac:dyDescent="0.25">
      <c r="A17" s="64" t="s">
        <v>43</v>
      </c>
      <c r="B17" s="65">
        <f>B16</f>
        <v>9.0909090909090884E-2</v>
      </c>
      <c r="C17" s="65">
        <f t="shared" ref="C17:D17" si="0">C16</f>
        <v>0.15151515151515149</v>
      </c>
      <c r="D17" s="65">
        <f t="shared" si="0"/>
        <v>0.12626262626262624</v>
      </c>
      <c r="E17" s="34"/>
      <c r="F17" s="34"/>
      <c r="G17" s="34"/>
      <c r="H17" s="34"/>
      <c r="I17" s="34"/>
      <c r="J17" s="63"/>
      <c r="K17" s="63"/>
      <c r="L17" s="63"/>
      <c r="M17" s="63"/>
      <c r="N17" s="63"/>
      <c r="O17" s="63"/>
    </row>
    <row r="18" spans="1:15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3"/>
      <c r="K18" s="63"/>
      <c r="L18" s="63"/>
      <c r="M18" s="63"/>
      <c r="N18" s="63"/>
      <c r="O18" s="63"/>
    </row>
    <row r="19" spans="1:15" x14ac:dyDescent="0.25">
      <c r="A19" s="64" t="s">
        <v>126</v>
      </c>
      <c r="B19" s="66"/>
      <c r="C19" s="66"/>
      <c r="D19" s="66"/>
      <c r="E19" s="66"/>
      <c r="F19" s="66"/>
      <c r="G19" s="66"/>
      <c r="H19" s="66"/>
      <c r="I19" s="66"/>
      <c r="J19" s="63"/>
      <c r="K19" s="63"/>
      <c r="L19" s="63"/>
      <c r="M19" s="63"/>
      <c r="N19" s="63"/>
      <c r="O19" s="63"/>
    </row>
    <row r="20" spans="1:15" x14ac:dyDescent="0.25">
      <c r="A20" s="64" t="s">
        <v>10</v>
      </c>
      <c r="B20" s="67">
        <v>3</v>
      </c>
      <c r="C20" s="67">
        <v>4</v>
      </c>
      <c r="D20" s="67">
        <v>5</v>
      </c>
      <c r="E20" s="67">
        <v>6</v>
      </c>
      <c r="F20" s="67">
        <v>7</v>
      </c>
      <c r="G20" s="67">
        <v>8</v>
      </c>
      <c r="H20" s="67">
        <v>9</v>
      </c>
      <c r="I20" s="67">
        <v>10</v>
      </c>
      <c r="J20" s="63"/>
      <c r="K20" s="63"/>
      <c r="L20" s="63"/>
      <c r="M20" s="63"/>
      <c r="N20" s="63"/>
      <c r="O20" s="63"/>
    </row>
    <row r="21" spans="1:15" x14ac:dyDescent="0.25">
      <c r="A21" s="64" t="s">
        <v>42</v>
      </c>
      <c r="B21" s="59">
        <f>($B$12*($B$3/$B$4)^B20)/(FACT($B$2)*$B$2^(B20-$B$2))</f>
        <v>0.10521885521885521</v>
      </c>
      <c r="C21" s="59">
        <f t="shared" ref="C21:I21" si="1">($B$12*($B$3/$B$4)^C20)/(FACT($B$2)*$B$2^(C20-$B$2))</f>
        <v>8.7682379349046019E-2</v>
      </c>
      <c r="D21" s="59">
        <f t="shared" si="1"/>
        <v>7.306864945753834E-2</v>
      </c>
      <c r="E21" s="59">
        <f t="shared" si="1"/>
        <v>6.0890541214615297E-2</v>
      </c>
      <c r="F21" s="59">
        <f t="shared" si="1"/>
        <v>5.074211767884608E-2</v>
      </c>
      <c r="G21" s="59">
        <f t="shared" si="1"/>
        <v>4.2285098065705073E-2</v>
      </c>
      <c r="H21" s="59">
        <f t="shared" si="1"/>
        <v>3.5237581721420899E-2</v>
      </c>
      <c r="I21" s="59">
        <f t="shared" si="1"/>
        <v>2.9364651434517417E-2</v>
      </c>
      <c r="J21" s="63"/>
      <c r="K21" s="63"/>
      <c r="L21" s="63"/>
      <c r="M21" s="63"/>
      <c r="N21" s="63"/>
      <c r="O21" s="63"/>
    </row>
    <row r="22" spans="1:15" x14ac:dyDescent="0.25">
      <c r="A22" s="64" t="s">
        <v>43</v>
      </c>
      <c r="B22" s="57">
        <f>B21</f>
        <v>0.10521885521885521</v>
      </c>
      <c r="C22" s="57">
        <f t="shared" ref="C22:I22" si="2">C21</f>
        <v>8.7682379349046019E-2</v>
      </c>
      <c r="D22" s="57">
        <f t="shared" si="2"/>
        <v>7.306864945753834E-2</v>
      </c>
      <c r="E22" s="57">
        <f t="shared" si="2"/>
        <v>6.0890541214615297E-2</v>
      </c>
      <c r="F22" s="57">
        <f t="shared" si="2"/>
        <v>5.074211767884608E-2</v>
      </c>
      <c r="G22" s="57">
        <f t="shared" si="2"/>
        <v>4.2285098065705073E-2</v>
      </c>
      <c r="H22" s="57">
        <f t="shared" si="2"/>
        <v>3.5237581721420899E-2</v>
      </c>
      <c r="I22" s="57">
        <f t="shared" si="2"/>
        <v>2.9364651434517417E-2</v>
      </c>
      <c r="J22" s="63"/>
      <c r="K22" s="63"/>
      <c r="L22" s="63"/>
      <c r="M22" s="63"/>
      <c r="N22" s="63"/>
      <c r="O22" s="63"/>
    </row>
    <row r="23" spans="1:15" x14ac:dyDescent="0.25">
      <c r="A23" s="34"/>
      <c r="B23" s="34"/>
      <c r="C23" s="34"/>
      <c r="D23" s="34"/>
      <c r="E23" s="34"/>
      <c r="F23" s="34"/>
      <c r="G23" s="34"/>
      <c r="H23" s="34"/>
      <c r="I23" s="56"/>
      <c r="J23" s="63"/>
      <c r="K23" s="63"/>
      <c r="L23" s="63"/>
      <c r="M23" s="63"/>
      <c r="N23" s="63"/>
      <c r="O23" s="63"/>
    </row>
    <row r="24" spans="1:15" x14ac:dyDescent="0.25">
      <c r="A24" s="64" t="s">
        <v>48</v>
      </c>
      <c r="B24" s="61">
        <f>((B16*(B5^(B2+1)))/(FACT(B2-1)*((B2-B5)^2)))</f>
        <v>3.8651824366110088E-2</v>
      </c>
      <c r="C24" s="61" t="s">
        <v>114</v>
      </c>
      <c r="D24" s="34"/>
      <c r="E24" s="34"/>
      <c r="F24" s="34"/>
      <c r="G24" s="34"/>
      <c r="H24" s="34"/>
      <c r="I24" s="34"/>
      <c r="J24" s="63"/>
      <c r="K24" s="63"/>
      <c r="L24" s="63"/>
      <c r="M24" s="63"/>
      <c r="N24" s="63"/>
      <c r="O24" s="63"/>
    </row>
    <row r="25" spans="1:15" x14ac:dyDescent="0.25">
      <c r="A25" s="64" t="s">
        <v>45</v>
      </c>
      <c r="B25" s="61">
        <f>B24+(B3/B4)</f>
        <v>1.7053184910327768</v>
      </c>
      <c r="C25" s="61" t="s">
        <v>114</v>
      </c>
      <c r="D25" s="34"/>
      <c r="E25" s="34"/>
      <c r="F25" s="34"/>
      <c r="G25" s="34"/>
      <c r="H25" s="34"/>
      <c r="I25" s="34"/>
      <c r="J25" s="63"/>
      <c r="K25" s="63"/>
      <c r="L25" s="63"/>
      <c r="M25" s="63"/>
      <c r="N25" s="63"/>
      <c r="O25" s="63"/>
    </row>
    <row r="26" spans="1:15" x14ac:dyDescent="0.25">
      <c r="A26" s="64" t="s">
        <v>100</v>
      </c>
      <c r="B26" s="61">
        <f>B24/B3</f>
        <v>3.8651824366110087E-4</v>
      </c>
      <c r="C26" s="61" t="s">
        <v>4</v>
      </c>
      <c r="D26" s="61">
        <f>B26*60</f>
        <v>2.3191094619666053E-2</v>
      </c>
      <c r="E26" s="61" t="s">
        <v>8</v>
      </c>
      <c r="F26" s="61">
        <f>60*D26</f>
        <v>1.3914656771799632</v>
      </c>
      <c r="G26" s="61" t="s">
        <v>127</v>
      </c>
      <c r="H26" s="34"/>
      <c r="I26" s="34"/>
      <c r="J26" s="63"/>
      <c r="K26" s="63"/>
      <c r="L26" s="63"/>
      <c r="M26" s="63"/>
      <c r="N26" s="63"/>
      <c r="O26" s="63"/>
    </row>
    <row r="27" spans="1:15" x14ac:dyDescent="0.25">
      <c r="A27" s="64" t="s">
        <v>99</v>
      </c>
      <c r="B27" s="61">
        <f>B26+(1/B4)</f>
        <v>1.7053184910327767E-2</v>
      </c>
      <c r="C27" s="61" t="s">
        <v>4</v>
      </c>
      <c r="D27" s="61">
        <f>B27*60</f>
        <v>1.0231910946196661</v>
      </c>
      <c r="E27" s="61" t="s">
        <v>8</v>
      </c>
      <c r="F27" s="61">
        <f>60*D27</f>
        <v>61.391465677179966</v>
      </c>
      <c r="G27" s="61" t="s">
        <v>127</v>
      </c>
      <c r="H27" s="34"/>
      <c r="I27" s="34"/>
      <c r="J27" s="63"/>
      <c r="K27" s="63"/>
      <c r="L27" s="63"/>
      <c r="M27" s="63"/>
      <c r="N27" s="63"/>
      <c r="O27" s="63"/>
    </row>
    <row r="28" spans="1:15" x14ac:dyDescent="0.2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 x14ac:dyDescent="0.2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5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5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  <row r="35" spans="1:15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</row>
    <row r="36" spans="1:15" x14ac:dyDescent="0.2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</row>
    <row r="37" spans="1:15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</row>
    <row r="38" spans="1:15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</row>
    <row r="39" spans="1:15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</row>
    <row r="40" spans="1:15" x14ac:dyDescent="0.2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15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</row>
    <row r="42" spans="1:15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</row>
    <row r="43" spans="1:15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15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</row>
    <row r="45" spans="1:15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</row>
    <row r="46" spans="1:15" x14ac:dyDescent="0.2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</row>
    <row r="47" spans="1:15" x14ac:dyDescent="0.2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</row>
    <row r="48" spans="1:15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</row>
    <row r="49" spans="1:15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</row>
    <row r="50" spans="1:15" x14ac:dyDescent="0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</row>
    <row r="51" spans="1:15" x14ac:dyDescent="0.2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</row>
    <row r="52" spans="1:15" x14ac:dyDescent="0.2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</row>
    <row r="53" spans="1:15" x14ac:dyDescent="0.2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</row>
    <row r="54" spans="1:15" x14ac:dyDescent="0.2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</row>
    <row r="55" spans="1:15" x14ac:dyDescent="0.2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</row>
    <row r="56" spans="1:15" x14ac:dyDescent="0.2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</row>
    <row r="57" spans="1:15" x14ac:dyDescent="0.2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</row>
    <row r="58" spans="1:15" x14ac:dyDescent="0.2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</row>
    <row r="59" spans="1:15" x14ac:dyDescent="0.2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</row>
    <row r="60" spans="1:15" x14ac:dyDescent="0.2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</row>
    <row r="61" spans="1:15" x14ac:dyDescent="0.2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</row>
    <row r="62" spans="1:15" x14ac:dyDescent="0.2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</row>
    <row r="63" spans="1:15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</row>
    <row r="64" spans="1:15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</row>
    <row r="65" spans="1:15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</row>
    <row r="66" spans="1:15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</row>
    <row r="67" spans="1:15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</row>
    <row r="68" spans="1:15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</row>
    <row r="69" spans="1:15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A7"/>
    </sheetView>
  </sheetViews>
  <sheetFormatPr baseColWidth="10" defaultRowHeight="15" x14ac:dyDescent="0.25"/>
  <cols>
    <col min="1" max="1" width="13.5703125" customWidth="1"/>
    <col min="2" max="9" width="13" customWidth="1"/>
  </cols>
  <sheetData>
    <row r="1" spans="1:7" x14ac:dyDescent="0.25">
      <c r="A1" s="73" t="s">
        <v>115</v>
      </c>
      <c r="B1" s="73"/>
      <c r="C1" s="73"/>
      <c r="D1" s="73"/>
      <c r="E1" s="73"/>
      <c r="F1" s="73"/>
      <c r="G1" s="73"/>
    </row>
    <row r="2" spans="1:7" x14ac:dyDescent="0.25">
      <c r="A2" s="70" t="s">
        <v>104</v>
      </c>
      <c r="B2" s="12">
        <v>7</v>
      </c>
      <c r="C2" s="12" t="s">
        <v>107</v>
      </c>
      <c r="D2" s="55"/>
      <c r="E2" s="3"/>
      <c r="F2" s="3"/>
      <c r="G2" s="3"/>
    </row>
    <row r="3" spans="1:7" x14ac:dyDescent="0.25">
      <c r="A3" s="70" t="s">
        <v>34</v>
      </c>
      <c r="B3" s="12">
        <v>4</v>
      </c>
      <c r="C3" s="12"/>
      <c r="D3" s="55"/>
      <c r="E3" s="3"/>
      <c r="F3" s="3"/>
      <c r="G3" s="3"/>
    </row>
    <row r="4" spans="1:7" x14ac:dyDescent="0.25">
      <c r="A4" s="58" t="s">
        <v>5</v>
      </c>
      <c r="B4" s="12">
        <v>15</v>
      </c>
      <c r="C4" s="12" t="s">
        <v>105</v>
      </c>
      <c r="D4" s="55"/>
      <c r="E4" s="3"/>
      <c r="F4" s="3"/>
      <c r="G4" s="3"/>
    </row>
    <row r="5" spans="1:7" x14ac:dyDescent="0.25">
      <c r="A5" s="58" t="s">
        <v>95</v>
      </c>
      <c r="B5" s="12">
        <v>12</v>
      </c>
      <c r="C5" s="12" t="s">
        <v>8</v>
      </c>
      <c r="D5" s="55"/>
      <c r="E5" s="3"/>
      <c r="F5" s="3"/>
      <c r="G5" s="3"/>
    </row>
    <row r="6" spans="1:7" x14ac:dyDescent="0.25">
      <c r="A6" s="58" t="s">
        <v>37</v>
      </c>
      <c r="B6" s="12">
        <f>60/B5</f>
        <v>5</v>
      </c>
      <c r="C6" s="12" t="s">
        <v>105</v>
      </c>
      <c r="D6" s="55"/>
      <c r="E6" s="3"/>
      <c r="F6" s="3"/>
      <c r="G6" s="3"/>
    </row>
    <row r="7" spans="1:7" x14ac:dyDescent="0.25">
      <c r="A7" s="70" t="s">
        <v>93</v>
      </c>
      <c r="B7" s="61">
        <f>B4/(B3*B6)</f>
        <v>0.75</v>
      </c>
      <c r="C7" s="12" t="s">
        <v>116</v>
      </c>
      <c r="D7" s="55"/>
      <c r="E7" s="3"/>
      <c r="F7" s="3"/>
      <c r="G7" s="3"/>
    </row>
    <row r="8" spans="1:7" x14ac:dyDescent="0.25">
      <c r="A8" s="54"/>
      <c r="B8" s="56"/>
      <c r="C8" s="55"/>
      <c r="D8" s="55"/>
      <c r="E8" s="3"/>
      <c r="F8" s="3"/>
      <c r="G8" s="3"/>
    </row>
    <row r="9" spans="1:7" x14ac:dyDescent="0.25">
      <c r="A9" s="64" t="s">
        <v>119</v>
      </c>
      <c r="B9" s="34"/>
      <c r="C9" s="34"/>
      <c r="D9" s="55"/>
      <c r="E9" s="3"/>
      <c r="F9" s="3"/>
      <c r="G9" s="3"/>
    </row>
    <row r="10" spans="1:7" x14ac:dyDescent="0.25">
      <c r="A10" s="64" t="s">
        <v>120</v>
      </c>
      <c r="B10" s="60">
        <v>0</v>
      </c>
      <c r="C10" s="60">
        <v>1</v>
      </c>
      <c r="D10" s="13">
        <v>2</v>
      </c>
      <c r="E10" s="13">
        <v>3</v>
      </c>
      <c r="F10" s="3"/>
      <c r="G10" s="3"/>
    </row>
    <row r="11" spans="1:7" x14ac:dyDescent="0.25">
      <c r="A11" s="64" t="s">
        <v>121</v>
      </c>
      <c r="B11" s="61">
        <f>((($B$4/$B$6)^B10)/FACT(B10))</f>
        <v>1</v>
      </c>
      <c r="C11" s="61">
        <f t="shared" ref="C11:E11" si="0">((($B$4/$B$6)^C10)/FACT(C10))</f>
        <v>3</v>
      </c>
      <c r="D11" s="61">
        <f t="shared" si="0"/>
        <v>4.5</v>
      </c>
      <c r="E11" s="61">
        <f t="shared" si="0"/>
        <v>4.5</v>
      </c>
      <c r="F11" s="3"/>
      <c r="G11" s="3"/>
    </row>
    <row r="12" spans="1:7" x14ac:dyDescent="0.25">
      <c r="A12" s="64" t="s">
        <v>122</v>
      </c>
      <c r="B12" s="62">
        <f>SUM(B11:E11)</f>
        <v>13</v>
      </c>
      <c r="C12" s="55"/>
      <c r="D12" s="55"/>
      <c r="E12" s="3"/>
      <c r="F12" s="3"/>
      <c r="G12" s="3"/>
    </row>
    <row r="13" spans="1:7" x14ac:dyDescent="0.25">
      <c r="A13" s="64" t="s">
        <v>123</v>
      </c>
      <c r="B13" s="61">
        <f>((((B4/B6)^(B3)/(FACT(B3)))*(1-B7^(B2-B3+1)))/(1-B7))</f>
        <v>9.228515625</v>
      </c>
      <c r="C13" s="55"/>
      <c r="D13" s="55"/>
      <c r="E13" s="3"/>
      <c r="F13" s="3"/>
      <c r="G13" s="3"/>
    </row>
    <row r="14" spans="1:7" x14ac:dyDescent="0.25">
      <c r="A14" s="64" t="s">
        <v>124</v>
      </c>
      <c r="B14" s="61">
        <f>1/(B13+B12)</f>
        <v>4.4987259467533611E-2</v>
      </c>
      <c r="C14" s="3"/>
      <c r="D14" s="3"/>
      <c r="E14" s="3"/>
      <c r="F14" s="3"/>
      <c r="G14" s="3"/>
    </row>
    <row r="15" spans="1:7" x14ac:dyDescent="0.25">
      <c r="A15" s="56"/>
      <c r="B15" s="56"/>
      <c r="C15" s="3"/>
      <c r="D15" s="3"/>
      <c r="E15" s="3"/>
      <c r="F15" s="3"/>
      <c r="G15" s="3"/>
    </row>
    <row r="16" spans="1:7" x14ac:dyDescent="0.25">
      <c r="A16" s="64" t="s">
        <v>128</v>
      </c>
      <c r="B16" s="56"/>
      <c r="C16" s="3"/>
      <c r="D16" s="3"/>
      <c r="E16" s="3"/>
      <c r="F16" s="3"/>
      <c r="G16" s="3"/>
    </row>
    <row r="17" spans="1:7" x14ac:dyDescent="0.25">
      <c r="A17" s="13" t="s">
        <v>10</v>
      </c>
      <c r="B17" s="13">
        <v>0</v>
      </c>
      <c r="C17" s="13">
        <v>1</v>
      </c>
      <c r="D17" s="13">
        <v>2</v>
      </c>
      <c r="E17" s="13">
        <v>3</v>
      </c>
      <c r="F17" s="13">
        <v>4</v>
      </c>
      <c r="G17" s="3"/>
    </row>
    <row r="18" spans="1:7" x14ac:dyDescent="0.25">
      <c r="A18" s="13" t="s">
        <v>42</v>
      </c>
      <c r="B18" s="72">
        <f>B14</f>
        <v>4.4987259467533611E-2</v>
      </c>
      <c r="C18" s="61">
        <f>(($B$4/$B$6)^(C17)/FACT(C17))*$B$18</f>
        <v>0.13496177840260082</v>
      </c>
      <c r="D18" s="61">
        <f>(($B$4/$B$6)^(D17)/FACT(D17))*$B$18</f>
        <v>0.20244266760390126</v>
      </c>
      <c r="E18" s="61">
        <f>(($B$4/$B$6)^(E17)/FACT(E17))*$B$18</f>
        <v>0.20244266760390126</v>
      </c>
      <c r="F18" s="61">
        <f>(($B$4/$B$6)^(F17)/FACT(F17))*$B$18</f>
        <v>0.15183200070292593</v>
      </c>
      <c r="G18" s="3"/>
    </row>
    <row r="19" spans="1:7" x14ac:dyDescent="0.25">
      <c r="A19" s="13" t="s">
        <v>74</v>
      </c>
      <c r="B19" s="20">
        <f>B18</f>
        <v>4.4987259467533611E-2</v>
      </c>
      <c r="C19" s="20">
        <f t="shared" ref="C19:F19" si="1">C18</f>
        <v>0.13496177840260082</v>
      </c>
      <c r="D19" s="20">
        <f t="shared" si="1"/>
        <v>0.20244266760390126</v>
      </c>
      <c r="E19" s="20">
        <f t="shared" si="1"/>
        <v>0.20244266760390126</v>
      </c>
      <c r="F19" s="20">
        <f t="shared" si="1"/>
        <v>0.15183200070292593</v>
      </c>
      <c r="G19" s="3"/>
    </row>
    <row r="20" spans="1:7" x14ac:dyDescent="0.25">
      <c r="A20" s="71"/>
      <c r="B20" s="71"/>
      <c r="C20" s="71"/>
      <c r="D20" s="71"/>
      <c r="E20" s="71"/>
      <c r="F20" s="71"/>
      <c r="G20" s="3"/>
    </row>
    <row r="21" spans="1:7" x14ac:dyDescent="0.25">
      <c r="A21" s="64" t="s">
        <v>129</v>
      </c>
      <c r="B21" s="71"/>
      <c r="C21" s="71"/>
      <c r="D21" s="71"/>
      <c r="E21" s="71"/>
      <c r="F21" s="71"/>
      <c r="G21" s="3"/>
    </row>
    <row r="22" spans="1:7" x14ac:dyDescent="0.25">
      <c r="A22" s="13" t="s">
        <v>10</v>
      </c>
      <c r="B22" s="13">
        <v>5</v>
      </c>
      <c r="C22" s="13">
        <v>6</v>
      </c>
      <c r="D22" s="13">
        <v>7</v>
      </c>
      <c r="E22" s="3"/>
      <c r="F22" s="13" t="s">
        <v>130</v>
      </c>
      <c r="G22" s="3"/>
    </row>
    <row r="23" spans="1:7" x14ac:dyDescent="0.25">
      <c r="A23" s="13" t="s">
        <v>42</v>
      </c>
      <c r="B23" s="61">
        <f>((($B$4/$B$6)^(B22))/(FACT($B$3)*($B$3^(B22-$B$3))))*$B$18</f>
        <v>0.11387400052719446</v>
      </c>
      <c r="C23" s="61">
        <f t="shared" ref="C23:D23" si="2">((($B$4/$B$6)^(C22))/(FACT($B$3)*($B$3^(C22-$B$3))))*$B$18</f>
        <v>8.5405500395395836E-2</v>
      </c>
      <c r="D23" s="61">
        <f t="shared" si="2"/>
        <v>6.4054125296546874E-2</v>
      </c>
      <c r="E23" s="3"/>
      <c r="F23" s="61">
        <f>SUM(B23:D23,B18:I18)</f>
        <v>1</v>
      </c>
      <c r="G23" s="3"/>
    </row>
    <row r="24" spans="1:7" x14ac:dyDescent="0.25">
      <c r="A24" s="13" t="s">
        <v>74</v>
      </c>
      <c r="B24" s="20">
        <f t="shared" ref="B24:D24" si="3">B23</f>
        <v>0.11387400052719446</v>
      </c>
      <c r="C24" s="20">
        <f t="shared" si="3"/>
        <v>8.5405500395395836E-2</v>
      </c>
      <c r="D24" s="20">
        <f t="shared" si="3"/>
        <v>6.4054125296546874E-2</v>
      </c>
      <c r="E24" s="3"/>
      <c r="F24" s="3"/>
      <c r="G24" s="3"/>
    </row>
    <row r="25" spans="1:7" x14ac:dyDescent="0.25">
      <c r="A25" s="55"/>
      <c r="B25" s="34"/>
      <c r="C25" s="3"/>
      <c r="D25" s="3"/>
      <c r="E25" s="3"/>
      <c r="F25" s="3"/>
      <c r="G25" s="3"/>
    </row>
    <row r="26" spans="1:7" x14ac:dyDescent="0.25">
      <c r="A26" s="58" t="s">
        <v>117</v>
      </c>
      <c r="B26" s="61">
        <f>B4*(1-D23)</f>
        <v>14.039188120551797</v>
      </c>
      <c r="C26" s="12" t="s">
        <v>105</v>
      </c>
      <c r="D26" s="3"/>
      <c r="E26" s="3"/>
      <c r="F26" s="3"/>
      <c r="G26" s="3"/>
    </row>
    <row r="27" spans="1:7" x14ac:dyDescent="0.25">
      <c r="A27" s="58" t="s">
        <v>118</v>
      </c>
      <c r="B27" s="61">
        <f>B4*D23</f>
        <v>0.96081187944820312</v>
      </c>
      <c r="C27" s="12" t="s">
        <v>105</v>
      </c>
      <c r="D27" s="3"/>
      <c r="E27" s="3"/>
      <c r="F27" s="3"/>
      <c r="G27" s="3"/>
    </row>
    <row r="28" spans="1:7" x14ac:dyDescent="0.25">
      <c r="A28" s="13" t="s">
        <v>48</v>
      </c>
      <c r="B28" s="61">
        <f>B18*(((B4/B6)^(B3+1))/(FACT(B3-1)*(B3-B4/B6)^2))*((1-B7^(B2-B3+1))-((1-B7)*(B7^(B2-B3))*(B2-B3+1)))</f>
        <v>0.47684737720762677</v>
      </c>
      <c r="C28" s="12" t="s">
        <v>107</v>
      </c>
      <c r="D28" s="3"/>
      <c r="E28" s="3"/>
      <c r="F28" s="3"/>
      <c r="G28" s="3"/>
    </row>
    <row r="29" spans="1:7" x14ac:dyDescent="0.25">
      <c r="A29" s="13" t="s">
        <v>45</v>
      </c>
      <c r="B29" s="61">
        <f>B28+(B26/B6)</f>
        <v>3.2846850013179862</v>
      </c>
      <c r="C29" s="12" t="s">
        <v>107</v>
      </c>
      <c r="D29" s="3"/>
      <c r="E29" s="3"/>
      <c r="F29" s="3"/>
      <c r="G29" s="3"/>
    </row>
    <row r="30" spans="1:7" x14ac:dyDescent="0.25">
      <c r="A30" s="13" t="s">
        <v>100</v>
      </c>
      <c r="B30" s="61">
        <f>B28/B26</f>
        <v>3.3965452497183628E-2</v>
      </c>
      <c r="C30" s="12" t="s">
        <v>4</v>
      </c>
      <c r="D30" s="61">
        <f t="shared" ref="D30:D31" si="4">60*B30</f>
        <v>2.0379271498310176</v>
      </c>
      <c r="E30" s="12" t="s">
        <v>132</v>
      </c>
      <c r="F30" s="61">
        <f t="shared" ref="F30:F31" si="5">D30*60</f>
        <v>122.27562898986106</v>
      </c>
      <c r="G30" s="12" t="s">
        <v>131</v>
      </c>
    </row>
    <row r="31" spans="1:7" x14ac:dyDescent="0.25">
      <c r="A31" s="13" t="s">
        <v>99</v>
      </c>
      <c r="B31" s="61">
        <f>B29/B26</f>
        <v>0.23396545249718362</v>
      </c>
      <c r="C31" s="12" t="s">
        <v>4</v>
      </c>
      <c r="D31" s="61">
        <f t="shared" si="4"/>
        <v>14.037927149831017</v>
      </c>
      <c r="E31" s="12" t="s">
        <v>132</v>
      </c>
      <c r="F31" s="61">
        <f t="shared" si="5"/>
        <v>842.27562898986105</v>
      </c>
      <c r="G31" s="12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H4" sqref="H4"/>
    </sheetView>
  </sheetViews>
  <sheetFormatPr baseColWidth="10" defaultRowHeight="15" x14ac:dyDescent="0.25"/>
  <cols>
    <col min="5" max="5" width="6" bestFit="1" customWidth="1"/>
    <col min="8" max="8" width="12.5703125" bestFit="1" customWidth="1"/>
  </cols>
  <sheetData>
    <row r="1" spans="1:19" x14ac:dyDescent="0.25">
      <c r="D1" s="2" t="s">
        <v>149</v>
      </c>
      <c r="E1" s="2"/>
    </row>
    <row r="2" spans="1:19" x14ac:dyDescent="0.25">
      <c r="A2" s="13" t="s">
        <v>133</v>
      </c>
      <c r="B2" s="58" t="s">
        <v>137</v>
      </c>
      <c r="C2" s="13" t="s">
        <v>134</v>
      </c>
      <c r="D2" s="58" t="s">
        <v>136</v>
      </c>
      <c r="E2" s="13" t="s">
        <v>135</v>
      </c>
      <c r="F2" s="70" t="s">
        <v>93</v>
      </c>
      <c r="G2" s="13" t="s">
        <v>138</v>
      </c>
      <c r="H2" s="70" t="s">
        <v>76</v>
      </c>
      <c r="I2" s="13" t="s">
        <v>79</v>
      </c>
      <c r="J2" s="70" t="s">
        <v>63</v>
      </c>
      <c r="K2" s="13" t="s">
        <v>64</v>
      </c>
      <c r="L2" s="70" t="s">
        <v>139</v>
      </c>
      <c r="M2" s="13" t="s">
        <v>140</v>
      </c>
      <c r="N2" s="70" t="s">
        <v>141</v>
      </c>
      <c r="O2" s="13" t="s">
        <v>142</v>
      </c>
      <c r="P2" s="70" t="s">
        <v>143</v>
      </c>
      <c r="Q2" s="13" t="s">
        <v>144</v>
      </c>
      <c r="R2" s="70" t="s">
        <v>145</v>
      </c>
      <c r="S2" s="13" t="s">
        <v>146</v>
      </c>
    </row>
    <row r="3" spans="1:19" x14ac:dyDescent="0.25">
      <c r="A3" s="77">
        <v>1</v>
      </c>
      <c r="B3" s="77">
        <v>40</v>
      </c>
      <c r="C3" s="77">
        <v>45</v>
      </c>
      <c r="D3" s="78">
        <f>60/C3</f>
        <v>1.3333333333333333</v>
      </c>
      <c r="E3" s="77">
        <v>99999</v>
      </c>
      <c r="F3" s="77">
        <f>B3/(E3*D3)</f>
        <v>3.0000300003000027E-4</v>
      </c>
      <c r="G3" s="77" t="s">
        <v>147</v>
      </c>
      <c r="H3" s="78">
        <v>29.99999773305521</v>
      </c>
      <c r="I3" s="77">
        <v>0</v>
      </c>
      <c r="J3" s="77">
        <v>0.75000001875000044</v>
      </c>
      <c r="K3" s="77">
        <v>0</v>
      </c>
      <c r="L3" s="77">
        <v>9.3576159506254308E-14</v>
      </c>
      <c r="M3" s="77">
        <v>2.8072848553697505E-12</v>
      </c>
      <c r="N3" s="77">
        <v>4.2109273883278099E-11</v>
      </c>
      <c r="O3" s="77">
        <v>4.2109274936009963E-10</v>
      </c>
      <c r="P3" s="77">
        <v>3.1581956991556388E-9</v>
      </c>
      <c r="Q3" s="77">
        <v>1.8949174668663203E-8</v>
      </c>
      <c r="R3" s="77">
        <v>9.4745875711962893E-8</v>
      </c>
      <c r="S3" s="77">
        <v>4.0605376320261357E-7</v>
      </c>
    </row>
    <row r="4" spans="1:19" x14ac:dyDescent="0.25">
      <c r="A4" s="77">
        <v>2</v>
      </c>
      <c r="B4" s="77">
        <v>40</v>
      </c>
      <c r="C4" s="77">
        <v>4</v>
      </c>
      <c r="D4" s="77">
        <f>60/C4</f>
        <v>15</v>
      </c>
      <c r="E4" s="77">
        <v>4</v>
      </c>
      <c r="F4" s="78">
        <f>B4/(E4*D4)</f>
        <v>0.66666666666666663</v>
      </c>
      <c r="G4" s="77" t="s">
        <v>147</v>
      </c>
      <c r="H4" s="77">
        <v>3.4234960522622493</v>
      </c>
      <c r="I4" s="77">
        <v>0.75683007624334153</v>
      </c>
      <c r="J4" s="77">
        <v>8.5587423473092061E-2</v>
      </c>
      <c r="K4" s="77">
        <v>1.8920756806425396E-2</v>
      </c>
      <c r="L4" s="77">
        <v>5.9866962359281829E-2</v>
      </c>
      <c r="M4" s="77">
        <v>0.15964523295808486</v>
      </c>
      <c r="N4" s="77">
        <v>0.21286031061077981</v>
      </c>
      <c r="O4" s="77">
        <v>0.18920916498735985</v>
      </c>
      <c r="P4" s="77">
        <v>0.12613944332490656</v>
      </c>
      <c r="Q4" s="77">
        <v>8.4092962216604367E-2</v>
      </c>
      <c r="R4" s="77">
        <v>5.606197481106958E-2</v>
      </c>
      <c r="S4" s="77">
        <v>3.7374649874046387E-2</v>
      </c>
    </row>
    <row r="6" spans="1:19" x14ac:dyDescent="0.25">
      <c r="G6" s="2" t="s">
        <v>148</v>
      </c>
      <c r="H6" s="76">
        <f>SUM(H3:H4)</f>
        <v>33.423493785317461</v>
      </c>
      <c r="I6" s="76">
        <f t="shared" ref="I6:S6" si="0">SUM(I3:I4)</f>
        <v>0.75683007624334153</v>
      </c>
      <c r="J6" s="76">
        <f t="shared" si="0"/>
        <v>0.83558744222309245</v>
      </c>
      <c r="K6" s="76">
        <f t="shared" si="0"/>
        <v>1.8920756806425396E-2</v>
      </c>
      <c r="L6" s="76">
        <f t="shared" si="0"/>
        <v>5.9866962359375407E-2</v>
      </c>
      <c r="M6" s="76">
        <f t="shared" si="0"/>
        <v>0.15964523296089214</v>
      </c>
      <c r="N6" s="76">
        <f t="shared" si="0"/>
        <v>0.21286031065288907</v>
      </c>
      <c r="O6" s="76">
        <f t="shared" si="0"/>
        <v>0.18920916540845259</v>
      </c>
      <c r="P6" s="76">
        <f t="shared" si="0"/>
        <v>0.12613944648310227</v>
      </c>
      <c r="Q6" s="76">
        <f t="shared" si="0"/>
        <v>8.409298116577904E-2</v>
      </c>
      <c r="R6" s="76">
        <f t="shared" si="0"/>
        <v>5.6062069556945295E-2</v>
      </c>
      <c r="S6" s="76">
        <f t="shared" si="0"/>
        <v>3.737505592780959E-2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P1</vt:lpstr>
      <vt:lpstr>P2 A</vt:lpstr>
      <vt:lpstr>P2 Balance</vt:lpstr>
      <vt:lpstr>p3</vt:lpstr>
      <vt:lpstr>p4 (modelo 1)</vt:lpstr>
      <vt:lpstr>p4 (modelo 2)</vt:lpstr>
      <vt:lpstr>P5 (modelo 3)</vt:lpstr>
      <vt:lpstr>P5 (modelo 4)</vt:lpstr>
      <vt:lpstr>P6</vt:lpstr>
      <vt:lpstr>P6 (clinica)</vt:lpstr>
    </vt:vector>
  </TitlesOfParts>
  <Company>UCAB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lab_a611</dc:creator>
  <cp:lastModifiedBy>DTI</cp:lastModifiedBy>
  <dcterms:created xsi:type="dcterms:W3CDTF">2017-03-13T11:58:58Z</dcterms:created>
  <dcterms:modified xsi:type="dcterms:W3CDTF">2017-05-05T13:01:52Z</dcterms:modified>
</cp:coreProperties>
</file>