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070" tabRatio="783" firstSheet="4" activeTab="9"/>
  </bookViews>
  <sheets>
    <sheet name="P1" sheetId="1" r:id="rId1"/>
    <sheet name="P2" sheetId="2" r:id="rId2"/>
    <sheet name="Balance" sheetId="3" r:id="rId3"/>
    <sheet name="P3" sheetId="4" r:id="rId4"/>
    <sheet name="P4 (Modelo1)" sheetId="5" r:id="rId5"/>
    <sheet name="P4(Modelo 2)" sheetId="6" r:id="rId6"/>
    <sheet name="P5(Modelo3)" sheetId="7" r:id="rId7"/>
    <sheet name="P5(Modelo4)" sheetId="8" r:id="rId8"/>
    <sheet name="P6" sheetId="9" r:id="rId9"/>
    <sheet name="P6 Parte 2" sheetId="10" r:id="rId10"/>
  </sheets>
  <externalReferences>
    <externalReference r:id="rId11"/>
  </externalReferences>
  <calcPr calcId="145621"/>
</workbook>
</file>

<file path=xl/calcChain.xml><?xml version="1.0" encoding="utf-8"?>
<calcChain xmlns="http://schemas.openxmlformats.org/spreadsheetml/2006/main">
  <c r="S12" i="10" l="1"/>
  <c r="R12" i="10"/>
  <c r="Q12" i="10"/>
  <c r="P12" i="10"/>
  <c r="O12" i="10"/>
  <c r="N12" i="10"/>
  <c r="M12" i="10"/>
  <c r="L12" i="10"/>
  <c r="K12" i="10"/>
  <c r="J12" i="10"/>
  <c r="I12" i="10"/>
  <c r="H12" i="10"/>
  <c r="F14" i="10"/>
  <c r="F15" i="10"/>
  <c r="F16" i="10"/>
  <c r="F17" i="10"/>
  <c r="F13" i="10"/>
  <c r="D14" i="10"/>
  <c r="D15" i="10"/>
  <c r="D16" i="10"/>
  <c r="D17" i="10"/>
  <c r="D13" i="10"/>
  <c r="B17" i="10"/>
  <c r="B16" i="10"/>
  <c r="B15" i="10"/>
  <c r="B14" i="10"/>
  <c r="B13" i="10"/>
  <c r="H5" i="10"/>
  <c r="H6" i="10"/>
  <c r="H7" i="10"/>
  <c r="H8" i="10"/>
  <c r="H9" i="10"/>
  <c r="H4" i="10"/>
  <c r="L7" i="9"/>
  <c r="M7" i="9"/>
  <c r="N7" i="9"/>
  <c r="O7" i="9"/>
  <c r="P7" i="9"/>
  <c r="Q7" i="9"/>
  <c r="R7" i="9"/>
  <c r="S7" i="9"/>
  <c r="K7" i="9"/>
  <c r="J7" i="9"/>
  <c r="I7" i="9"/>
  <c r="H7" i="9"/>
  <c r="B5" i="7" l="1"/>
  <c r="F4" i="9"/>
  <c r="D4" i="9"/>
  <c r="F5" i="9"/>
  <c r="D5" i="9"/>
  <c r="B6" i="8"/>
  <c r="B7" i="8"/>
  <c r="B27" i="8" l="1"/>
  <c r="D32" i="8"/>
  <c r="D31" i="8"/>
  <c r="F24" i="8"/>
  <c r="B29" i="8"/>
  <c r="C10" i="7"/>
  <c r="B10" i="7"/>
  <c r="B11" i="7" l="1"/>
  <c r="B12" i="7"/>
  <c r="D12" i="8" l="1"/>
  <c r="E12" i="8"/>
  <c r="B12" i="8"/>
  <c r="C12" i="8"/>
  <c r="B13" i="7"/>
  <c r="B17" i="7"/>
  <c r="B18" i="7" s="1"/>
  <c r="H22" i="7"/>
  <c r="H23" i="7" s="1"/>
  <c r="B14" i="8"/>
  <c r="B23" i="6"/>
  <c r="B21" i="6"/>
  <c r="B22" i="6"/>
  <c r="B20" i="6"/>
  <c r="D17" i="6"/>
  <c r="D16" i="6"/>
  <c r="B17" i="6"/>
  <c r="B16" i="6"/>
  <c r="B13" i="6"/>
  <c r="B6" i="6"/>
  <c r="B7" i="6" s="1"/>
  <c r="B14" i="6" s="1"/>
  <c r="D19" i="5"/>
  <c r="D16" i="5"/>
  <c r="B16" i="5"/>
  <c r="D15" i="5"/>
  <c r="B15" i="5"/>
  <c r="B14" i="5"/>
  <c r="B13" i="5"/>
  <c r="C11" i="5"/>
  <c r="D11" i="5"/>
  <c r="E11" i="5"/>
  <c r="F11" i="5"/>
  <c r="G11" i="5"/>
  <c r="H11" i="5"/>
  <c r="I11" i="5"/>
  <c r="J11" i="5"/>
  <c r="K11" i="5"/>
  <c r="L11" i="5"/>
  <c r="B11" i="5"/>
  <c r="D10" i="5"/>
  <c r="E10" i="5"/>
  <c r="F10" i="5"/>
  <c r="G10" i="5"/>
  <c r="H10" i="5"/>
  <c r="I10" i="5"/>
  <c r="J10" i="5"/>
  <c r="K10" i="5"/>
  <c r="L10" i="5"/>
  <c r="C10" i="5"/>
  <c r="B10" i="5"/>
  <c r="B7" i="5"/>
  <c r="B6" i="5"/>
  <c r="B5" i="5"/>
  <c r="B22" i="7" l="1"/>
  <c r="B23" i="7" s="1"/>
  <c r="C17" i="7"/>
  <c r="C18" i="7" s="1"/>
  <c r="B13" i="8"/>
  <c r="B15" i="8" s="1"/>
  <c r="B19" i="8" s="1"/>
  <c r="C22" i="7"/>
  <c r="C23" i="7" s="1"/>
  <c r="B25" i="7"/>
  <c r="B26" i="7" s="1"/>
  <c r="D22" i="7"/>
  <c r="D23" i="7" s="1"/>
  <c r="I22" i="7"/>
  <c r="I23" i="7" s="1"/>
  <c r="G22" i="7"/>
  <c r="G23" i="7" s="1"/>
  <c r="F22" i="7"/>
  <c r="F23" i="7" s="1"/>
  <c r="E22" i="7"/>
  <c r="E23" i="7" s="1"/>
  <c r="B10" i="6"/>
  <c r="E10" i="6" s="1"/>
  <c r="E11" i="6" s="1"/>
  <c r="D10" i="6"/>
  <c r="D11" i="6" s="1"/>
  <c r="B15" i="6"/>
  <c r="F10" i="6"/>
  <c r="F11" i="6" s="1"/>
  <c r="B11" i="6"/>
  <c r="D25" i="4"/>
  <c r="D28" i="4" s="1"/>
  <c r="D29" i="4" s="1"/>
  <c r="C25" i="4"/>
  <c r="C28" i="4" s="1"/>
  <c r="C29" i="4" s="1"/>
  <c r="G22" i="4"/>
  <c r="G21" i="4"/>
  <c r="E22" i="4"/>
  <c r="E21" i="4"/>
  <c r="D16" i="4"/>
  <c r="D26" i="4"/>
  <c r="C26" i="4"/>
  <c r="B25" i="4"/>
  <c r="B28" i="4" s="1"/>
  <c r="B29" i="4" s="1"/>
  <c r="E18" i="4"/>
  <c r="D18" i="4"/>
  <c r="C18" i="4"/>
  <c r="B18" i="4"/>
  <c r="G18" i="4" s="1"/>
  <c r="D17" i="4"/>
  <c r="C17" i="4"/>
  <c r="B17" i="4"/>
  <c r="E16" i="4"/>
  <c r="E17" i="4" s="1"/>
  <c r="E14" i="4"/>
  <c r="D14" i="4"/>
  <c r="C14" i="4"/>
  <c r="B14" i="4"/>
  <c r="G14" i="4" s="1"/>
  <c r="F9" i="4"/>
  <c r="C8" i="4"/>
  <c r="D8" i="4" s="1"/>
  <c r="E8" i="4" s="1"/>
  <c r="D6" i="4"/>
  <c r="E6" i="4"/>
  <c r="C6" i="4"/>
  <c r="B4" i="4"/>
  <c r="B33" i="3"/>
  <c r="B31" i="3"/>
  <c r="G29" i="3"/>
  <c r="C29" i="3"/>
  <c r="D29" i="3"/>
  <c r="E29" i="3"/>
  <c r="F29" i="3"/>
  <c r="B29" i="3"/>
  <c r="C28" i="3"/>
  <c r="D28" i="3"/>
  <c r="E28" i="3"/>
  <c r="B28" i="3"/>
  <c r="G26" i="3"/>
  <c r="C26" i="3"/>
  <c r="D26" i="3"/>
  <c r="E26" i="3"/>
  <c r="F26" i="3"/>
  <c r="B26" i="3"/>
  <c r="E25" i="3"/>
  <c r="D25" i="3"/>
  <c r="C25" i="3"/>
  <c r="B25" i="3"/>
  <c r="B27" i="7" l="1"/>
  <c r="C19" i="8"/>
  <c r="C20" i="8" s="1"/>
  <c r="F19" i="8"/>
  <c r="E19" i="8"/>
  <c r="E20" i="8" s="1"/>
  <c r="B24" i="8"/>
  <c r="D19" i="8"/>
  <c r="B20" i="8"/>
  <c r="D20" i="8"/>
  <c r="C24" i="8"/>
  <c r="C25" i="8" s="1"/>
  <c r="F20" i="8"/>
  <c r="B25" i="8"/>
  <c r="D24" i="8"/>
  <c r="B28" i="7"/>
  <c r="D28" i="7" s="1"/>
  <c r="F28" i="7" s="1"/>
  <c r="D27" i="7"/>
  <c r="F27" i="7" s="1"/>
  <c r="C10" i="6"/>
  <c r="C11" i="6" s="1"/>
  <c r="G10" i="6"/>
  <c r="G11" i="6"/>
  <c r="C21" i="4"/>
  <c r="G19" i="4"/>
  <c r="C22" i="4" s="1"/>
  <c r="G17" i="4"/>
  <c r="G29" i="4"/>
  <c r="E26" i="4"/>
  <c r="B26" i="4"/>
  <c r="B9" i="4"/>
  <c r="C22" i="3"/>
  <c r="C21" i="3"/>
  <c r="G19" i="3"/>
  <c r="G18" i="3"/>
  <c r="F16" i="3"/>
  <c r="E16" i="3"/>
  <c r="C8" i="3"/>
  <c r="E6" i="3"/>
  <c r="D6" i="3"/>
  <c r="B4" i="3"/>
  <c r="F7" i="3" s="1"/>
  <c r="M20" i="2"/>
  <c r="H20" i="2"/>
  <c r="I20" i="2"/>
  <c r="J20" i="2"/>
  <c r="K20" i="2"/>
  <c r="L20" i="2"/>
  <c r="G20" i="2"/>
  <c r="E18" i="2"/>
  <c r="E14" i="2"/>
  <c r="B16" i="2" s="1"/>
  <c r="E10" i="2"/>
  <c r="E7" i="2"/>
  <c r="D20" i="2"/>
  <c r="B8" i="2"/>
  <c r="B2" i="2"/>
  <c r="B28" i="8" l="1"/>
  <c r="B31" i="8"/>
  <c r="D25" i="8"/>
  <c r="G26" i="4"/>
  <c r="E9" i="4"/>
  <c r="E10" i="4" s="1"/>
  <c r="B10" i="4"/>
  <c r="D9" i="4"/>
  <c r="D10" i="4" s="1"/>
  <c r="C9" i="4"/>
  <c r="C10" i="4" s="1"/>
  <c r="D8" i="3"/>
  <c r="E7" i="3"/>
  <c r="D7" i="3"/>
  <c r="E20" i="2"/>
  <c r="B5" i="2"/>
  <c r="B12" i="2"/>
  <c r="B20" i="2"/>
  <c r="F20" i="2"/>
  <c r="C20" i="2"/>
  <c r="B22" i="1"/>
  <c r="H20" i="1"/>
  <c r="C20" i="1"/>
  <c r="D20" i="1"/>
  <c r="E20" i="1"/>
  <c r="F20" i="1"/>
  <c r="G20" i="1"/>
  <c r="B20" i="1"/>
  <c r="E18" i="1"/>
  <c r="B16" i="1"/>
  <c r="E14" i="1"/>
  <c r="B12" i="1"/>
  <c r="E10" i="1"/>
  <c r="B8" i="1"/>
  <c r="E7" i="1"/>
  <c r="B5" i="1"/>
  <c r="B2" i="1"/>
  <c r="B30" i="8" l="1"/>
  <c r="B32" i="8" s="1"/>
  <c r="E8" i="3"/>
  <c r="F8" i="3" s="1"/>
  <c r="B9" i="3" s="1"/>
  <c r="B22" i="2"/>
  <c r="E9" i="3" l="1"/>
  <c r="E10" i="3" s="1"/>
  <c r="F9" i="3"/>
  <c r="F10" i="3" s="1"/>
  <c r="C9" i="3"/>
  <c r="C10" i="3" s="1"/>
  <c r="D9" i="3"/>
  <c r="D10" i="3" s="1"/>
  <c r="B10" i="3"/>
  <c r="D17" i="3" l="1"/>
  <c r="D14" i="3"/>
  <c r="D18" i="3"/>
  <c r="C18" i="3"/>
  <c r="C14" i="3"/>
  <c r="C17" i="3"/>
  <c r="B18" i="3"/>
  <c r="B14" i="3"/>
  <c r="G14" i="3" s="1"/>
  <c r="B17" i="3"/>
  <c r="F14" i="3"/>
  <c r="F18" i="3"/>
  <c r="F17" i="3"/>
  <c r="G17" i="3" s="1"/>
  <c r="G9" i="3"/>
  <c r="E14" i="3"/>
  <c r="E18" i="3"/>
  <c r="E17" i="3"/>
</calcChain>
</file>

<file path=xl/sharedStrings.xml><?xml version="1.0" encoding="utf-8"?>
<sst xmlns="http://schemas.openxmlformats.org/spreadsheetml/2006/main" count="386" uniqueCount="144">
  <si>
    <t>t llegadas=</t>
  </si>
  <si>
    <t>minutos</t>
  </si>
  <si>
    <t>1. ¿Probabilidad de no llegar nadie en media hora?</t>
  </si>
  <si>
    <t>t=</t>
  </si>
  <si>
    <t>horas</t>
  </si>
  <si>
    <t>λ=</t>
  </si>
  <si>
    <t>personas/hora</t>
  </si>
  <si>
    <t>P0(0,5)=</t>
  </si>
  <si>
    <t>n=</t>
  </si>
  <si>
    <t>personas</t>
  </si>
  <si>
    <t>P10(5 min)=</t>
  </si>
  <si>
    <t>3. ¿Probabilidad de llegar 10 personas en 5 minutos?</t>
  </si>
  <si>
    <t>2. ¿Probabilidad de no llegar nadie en 20 minutos?</t>
  </si>
  <si>
    <t>4. ¿Probabilidad de llegar 5 personas en 10 minutos?</t>
  </si>
  <si>
    <t>5. ¿Probabilidad de llegar 5 personas o menos en 10 minutos?</t>
  </si>
  <si>
    <t>Pn(10 min)=</t>
  </si>
  <si>
    <t>Total</t>
  </si>
  <si>
    <t>6. ¿Probabilidad de llegar mas de 5 personas en 10 minutos?</t>
  </si>
  <si>
    <t>PRACTICA 1</t>
  </si>
  <si>
    <t xml:space="preserve">Nombre: </t>
  </si>
  <si>
    <t>Mariángel Pérez</t>
  </si>
  <si>
    <t>P=</t>
  </si>
  <si>
    <t>PRACTICA 2</t>
  </si>
  <si>
    <t>t salidas=</t>
  </si>
  <si>
    <t>µ=</t>
  </si>
  <si>
    <t>1. ¿Probabilidad de no vender helados en una hora?</t>
  </si>
  <si>
    <t>P0(1)=</t>
  </si>
  <si>
    <t>2. ¿Probabilidad de no vender helados en 15 minutos?</t>
  </si>
  <si>
    <t>P0(15 min)=</t>
  </si>
  <si>
    <t>3. ¿Probabilidad de vender 5 helados en 10 minutos?</t>
  </si>
  <si>
    <t>helados</t>
  </si>
  <si>
    <t>helados/hora</t>
  </si>
  <si>
    <t>4. ¿Probabilidad de vender 5 helados en 40 minutos?</t>
  </si>
  <si>
    <t>5. ¿Probabilidad de vender 10 helados o menos en 40 minutos?</t>
  </si>
  <si>
    <t>P10(40 min)=</t>
  </si>
  <si>
    <t>Pn(40 min)=</t>
  </si>
  <si>
    <t>clientes/hora</t>
  </si>
  <si>
    <t>s=</t>
  </si>
  <si>
    <t>Ts=</t>
  </si>
  <si>
    <t>λn=</t>
  </si>
  <si>
    <t>µn=</t>
  </si>
  <si>
    <t>Estado</t>
  </si>
  <si>
    <t>Cn=</t>
  </si>
  <si>
    <t>Pn=</t>
  </si>
  <si>
    <t>%=</t>
  </si>
  <si>
    <t>1.Cantidad de personas promedio dentro del local - Ls</t>
  </si>
  <si>
    <t>Ls=</t>
  </si>
  <si>
    <t>TOTAL</t>
  </si>
  <si>
    <t>Personas</t>
  </si>
  <si>
    <t>2.Cantidad de personas promedio esperando - Lq</t>
  </si>
  <si>
    <t>Lq=</t>
  </si>
  <si>
    <t>Esperando=</t>
  </si>
  <si>
    <t>Efectivo=</t>
  </si>
  <si>
    <t>Rechazo=</t>
  </si>
  <si>
    <t>Costo=</t>
  </si>
  <si>
    <t>Bs</t>
  </si>
  <si>
    <t>IngresoxHora=</t>
  </si>
  <si>
    <t>Ingreso no percibido=</t>
  </si>
  <si>
    <t>Bs/hora</t>
  </si>
  <si>
    <t>3. Tiempo promedio que pasa una persona dentro del sistema -ws</t>
  </si>
  <si>
    <t>Tiempo en Sistema=</t>
  </si>
  <si>
    <t>ws=</t>
  </si>
  <si>
    <t>4.Tiempo promedio que espera una persona dentro del sistema -Wq</t>
  </si>
  <si>
    <t>Tiempo Esperando=</t>
  </si>
  <si>
    <t>Wq=</t>
  </si>
  <si>
    <t>min</t>
  </si>
  <si>
    <t>5. Probabilidad de esperar más de 10 minutos</t>
  </si>
  <si>
    <t>P2+P3=</t>
  </si>
  <si>
    <t>6. Probabilidad de no dejar entrar a nadie</t>
  </si>
  <si>
    <t>P4=</t>
  </si>
  <si>
    <t>segundos</t>
  </si>
  <si>
    <t>clientes/min</t>
  </si>
  <si>
    <t>Bs/min</t>
  </si>
  <si>
    <t>Bs/dia (10 horas)</t>
  </si>
  <si>
    <t>5. ¿qué ganancia espera perder el dueño de la tienda, por concepto de clientes que parten y hacen sus compras en otro lugar?</t>
  </si>
  <si>
    <t xml:space="preserve">(M / M / 1) : (FIFO / ∞ / ∞) </t>
  </si>
  <si>
    <t>ρ=</t>
  </si>
  <si>
    <t>(&lt;1)</t>
  </si>
  <si>
    <t>P0=</t>
  </si>
  <si>
    <t>clientes</t>
  </si>
  <si>
    <t>Ws=</t>
  </si>
  <si>
    <t>1. ¿Qué probabilidad hay de que una persona pase mas de 10 minutos en el sistema?</t>
  </si>
  <si>
    <t>1-suma(P0..P5)=</t>
  </si>
  <si>
    <t>P6+P7+P8…</t>
  </si>
  <si>
    <t xml:space="preserve">(M / M / 1) : (FIFO / N / ∞) </t>
  </si>
  <si>
    <t>N=</t>
  </si>
  <si>
    <t>autos/hora</t>
  </si>
  <si>
    <t>P0</t>
  </si>
  <si>
    <t>Suma</t>
  </si>
  <si>
    <t>λefectivo=</t>
  </si>
  <si>
    <t>autos</t>
  </si>
  <si>
    <t>Ingreso=</t>
  </si>
  <si>
    <t>Ingeso al día(10 horas)=</t>
  </si>
  <si>
    <t>λrechazo=</t>
  </si>
  <si>
    <t>Deja de Percibir=</t>
  </si>
  <si>
    <t>Bs/dia</t>
  </si>
  <si>
    <t>(M / M / s) : (FIFO / ∞ / ∞)</t>
  </si>
  <si>
    <t>operaciones/hora</t>
  </si>
  <si>
    <t>operaciones</t>
  </si>
  <si>
    <t>(M / M / s) : (FIFO / N / S)</t>
  </si>
  <si>
    <t>&lt;1</t>
  </si>
  <si>
    <t>%</t>
  </si>
  <si>
    <t>λef=</t>
  </si>
  <si>
    <t>λp=</t>
  </si>
  <si>
    <t>Término i=</t>
  </si>
  <si>
    <t>i=(0-&gt;s-1)</t>
  </si>
  <si>
    <t>Sumatoria=</t>
  </si>
  <si>
    <t>2do término=</t>
  </si>
  <si>
    <t>Pn(n:0-&gt;s)</t>
  </si>
  <si>
    <t>Pn(n:s+1-&gt;…)</t>
  </si>
  <si>
    <t>Calculo del P0:</t>
  </si>
  <si>
    <t>t servicio=</t>
  </si>
  <si>
    <t>Validar</t>
  </si>
  <si>
    <t>Nodo</t>
  </si>
  <si>
    <t>Infinito</t>
  </si>
  <si>
    <t>Capacidad</t>
  </si>
  <si>
    <t>Ls</t>
  </si>
  <si>
    <t>Lq</t>
  </si>
  <si>
    <t>Ws</t>
  </si>
  <si>
    <t>Wq</t>
  </si>
  <si>
    <t>λ</t>
  </si>
  <si>
    <t>ts (min)</t>
  </si>
  <si>
    <t>µ</t>
  </si>
  <si>
    <t>s</t>
  </si>
  <si>
    <t>ρ</t>
  </si>
  <si>
    <t>P1</t>
  </si>
  <si>
    <t>P2</t>
  </si>
  <si>
    <t>P3</t>
  </si>
  <si>
    <t>P4</t>
  </si>
  <si>
    <t>P5</t>
  </si>
  <si>
    <t>P6</t>
  </si>
  <si>
    <t>P7</t>
  </si>
  <si>
    <t>RESULTADO</t>
  </si>
  <si>
    <t>Ejercicio 1</t>
  </si>
  <si>
    <t>Ejercicio Parcial</t>
  </si>
  <si>
    <t>Nodos</t>
  </si>
  <si>
    <t>Inicio</t>
  </si>
  <si>
    <t>Adm</t>
  </si>
  <si>
    <t>Seg</t>
  </si>
  <si>
    <t>Caja</t>
  </si>
  <si>
    <t>Amb</t>
  </si>
  <si>
    <t>Hosp</t>
  </si>
  <si>
    <t>Fin</t>
  </si>
  <si>
    <t>Infinita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</si>
</sst>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\ _€_-;\-* #,##0.00\ _€_-;_-* &quot;-&quot;??\ _€_-;_-@_-"/>
    <numFmt numFmtId="164" formatCode="0.0000000000%"/>
    <numFmt numFmtId="165" formatCode="0.000%"/>
    <numFmt numFmtId="166" formatCode="0.000"/>
    <numFmt numFmtId="167" formatCode="0.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88">
    <xf numFmtId="0" fontId="0" fillId="0" borderId="0" xfId="0"/>
    <xf numFmtId="0" fontId="0" fillId="2" borderId="0" xfId="0" applyFill="1"/>
    <xf numFmtId="0" fontId="0" fillId="3" borderId="0" xfId="0" applyFill="1"/>
    <xf numFmtId="10" fontId="0" fillId="3" borderId="0" xfId="1" applyNumberFormat="1" applyFont="1" applyFill="1"/>
    <xf numFmtId="0" fontId="0" fillId="0" borderId="0" xfId="0" applyFill="1"/>
    <xf numFmtId="10" fontId="0" fillId="0" borderId="0" xfId="1" applyNumberFormat="1" applyFont="1" applyFill="1"/>
    <xf numFmtId="0" fontId="0" fillId="2" borderId="2" xfId="0" applyFill="1" applyBorder="1"/>
    <xf numFmtId="0" fontId="0" fillId="2" borderId="3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0" fillId="2" borderId="6" xfId="0" applyFill="1" applyBorder="1" applyAlignment="1"/>
    <xf numFmtId="0" fontId="0" fillId="2" borderId="6" xfId="0" applyFill="1" applyBorder="1"/>
    <xf numFmtId="0" fontId="0" fillId="2" borderId="7" xfId="0" applyFill="1" applyBorder="1"/>
    <xf numFmtId="0" fontId="0" fillId="4" borderId="1" xfId="0" applyFill="1" applyBorder="1"/>
    <xf numFmtId="10" fontId="0" fillId="3" borderId="1" xfId="0" applyNumberFormat="1" applyFill="1" applyBorder="1"/>
    <xf numFmtId="10" fontId="0" fillId="3" borderId="1" xfId="1" applyNumberFormat="1" applyFont="1" applyFill="1" applyBorder="1"/>
    <xf numFmtId="164" fontId="0" fillId="3" borderId="1" xfId="1" applyNumberFormat="1" applyFont="1" applyFill="1" applyBorder="1"/>
    <xf numFmtId="0" fontId="0" fillId="0" borderId="0" xfId="0" applyFill="1" applyBorder="1"/>
    <xf numFmtId="10" fontId="0" fillId="0" borderId="0" xfId="0" applyNumberFormat="1" applyFill="1" applyBorder="1"/>
    <xf numFmtId="165" fontId="0" fillId="3" borderId="1" xfId="1" applyNumberFormat="1" applyFont="1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1" xfId="0" applyFill="1" applyBorder="1"/>
    <xf numFmtId="0" fontId="2" fillId="2" borderId="0" xfId="0" applyFont="1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0" xfId="0" applyFont="1" applyFill="1" applyBorder="1"/>
    <xf numFmtId="10" fontId="0" fillId="2" borderId="1" xfId="1" applyNumberFormat="1" applyFont="1" applyFill="1" applyBorder="1"/>
    <xf numFmtId="43" fontId="0" fillId="2" borderId="1" xfId="2" applyFont="1" applyFill="1" applyBorder="1" applyAlignment="1">
      <alignment horizontal="right"/>
    </xf>
    <xf numFmtId="43" fontId="0" fillId="2" borderId="1" xfId="0" applyNumberForma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10" fontId="0" fillId="2" borderId="1" xfId="0" applyNumberFormat="1" applyFill="1" applyBorder="1"/>
    <xf numFmtId="0" fontId="0" fillId="2" borderId="11" xfId="0" applyFill="1" applyBorder="1"/>
    <xf numFmtId="43" fontId="0" fillId="0" borderId="0" xfId="0" applyNumberFormat="1" applyFill="1" applyBorder="1"/>
    <xf numFmtId="10" fontId="0" fillId="2" borderId="0" xfId="1" applyNumberFormat="1" applyFont="1" applyFill="1" applyBorder="1"/>
    <xf numFmtId="0" fontId="0" fillId="2" borderId="12" xfId="0" applyFill="1" applyBorder="1"/>
    <xf numFmtId="2" fontId="0" fillId="2" borderId="10" xfId="0" applyNumberFormat="1" applyFill="1" applyBorder="1"/>
    <xf numFmtId="2" fontId="0" fillId="2" borderId="1" xfId="0" applyNumberFormat="1" applyFill="1" applyBorder="1"/>
    <xf numFmtId="0" fontId="0" fillId="4" borderId="10" xfId="0" applyFill="1" applyBorder="1"/>
    <xf numFmtId="0" fontId="0" fillId="2" borderId="9" xfId="0" applyFill="1" applyBorder="1"/>
    <xf numFmtId="2" fontId="0" fillId="2" borderId="11" xfId="0" applyNumberFormat="1" applyFill="1" applyBorder="1"/>
    <xf numFmtId="0" fontId="0" fillId="3" borderId="11" xfId="0" applyFill="1" applyBorder="1"/>
    <xf numFmtId="0" fontId="0" fillId="2" borderId="13" xfId="0" applyFill="1" applyBorder="1"/>
    <xf numFmtId="2" fontId="0" fillId="2" borderId="4" xfId="0" applyNumberFormat="1" applyFill="1" applyBorder="1"/>
    <xf numFmtId="0" fontId="0" fillId="3" borderId="0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9" xfId="0" applyFill="1" applyBorder="1"/>
    <xf numFmtId="0" fontId="0" fillId="3" borderId="13" xfId="0" applyFill="1" applyBorder="1"/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0" xfId="0" applyNumberForma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2" fontId="0" fillId="2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Alignment="1">
      <alignment horizontal="center"/>
    </xf>
    <xf numFmtId="0" fontId="0" fillId="3" borderId="1" xfId="0" applyFill="1" applyBorder="1" applyAlignment="1">
      <alignment horizontal="left"/>
    </xf>
    <xf numFmtId="166" fontId="0" fillId="2" borderId="1" xfId="0" applyNumberFormat="1" applyFill="1" applyBorder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2" borderId="0" xfId="0" applyNumberFormat="1" applyFill="1"/>
    <xf numFmtId="167" fontId="0" fillId="2" borderId="1" xfId="0" applyNumberFormat="1" applyFill="1" applyBorder="1"/>
    <xf numFmtId="2" fontId="0" fillId="2" borderId="0" xfId="0" applyNumberFormat="1" applyFill="1" applyBorder="1"/>
    <xf numFmtId="2" fontId="0" fillId="0" borderId="0" xfId="0" applyNumberFormat="1" applyFill="1" applyBorder="1"/>
    <xf numFmtId="166" fontId="0" fillId="2" borderId="10" xfId="0" applyNumberFormat="1" applyFill="1" applyBorder="1"/>
    <xf numFmtId="0" fontId="2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/>
    <xf numFmtId="168" fontId="0" fillId="2" borderId="1" xfId="0" applyNumberFormat="1" applyFill="1" applyBorder="1"/>
    <xf numFmtId="0" fontId="0" fillId="0" borderId="0" xfId="0" applyFill="1" applyAlignment="1"/>
    <xf numFmtId="0" fontId="2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2" borderId="14" xfId="0" applyNumberFormat="1" applyFill="1" applyBorder="1"/>
    <xf numFmtId="0" fontId="0" fillId="3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1" xfId="0" applyFont="1" applyFill="1" applyBorder="1"/>
    <xf numFmtId="2" fontId="6" fillId="5" borderId="1" xfId="0" applyNumberFormat="1" applyFont="1" applyFill="1" applyBorder="1"/>
  </cellXfs>
  <cellStyles count="4">
    <cellStyle name="Millares" xfId="2" builtinId="3"/>
    <cellStyle name="Normal" xfId="0" builtinId="0"/>
    <cellStyle name="Normal 2" xfId="3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des%20de%20col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8">
          <cell r="H8">
            <v>10.163003211028554</v>
          </cell>
          <cell r="J8">
            <v>4.8998491396166441</v>
          </cell>
        </row>
        <row r="9">
          <cell r="H9">
            <v>1.4518586562517133</v>
          </cell>
          <cell r="J9">
            <v>0.69997895700359303</v>
          </cell>
        </row>
        <row r="11">
          <cell r="H11">
            <v>2.8536087163312136E-3</v>
          </cell>
        </row>
        <row r="12">
          <cell r="H12">
            <v>1.5018993243848491E-2</v>
          </cell>
        </row>
        <row r="13">
          <cell r="H13">
            <v>3.9523666431180236E-2</v>
          </cell>
        </row>
        <row r="14">
          <cell r="H14">
            <v>6.9339765668737244E-2</v>
          </cell>
        </row>
        <row r="15">
          <cell r="H15">
            <v>9.1236533774654266E-2</v>
          </cell>
        </row>
        <row r="16">
          <cell r="H16">
            <v>9.6038456604899222E-2</v>
          </cell>
        </row>
        <row r="17">
          <cell r="H17">
            <v>8.4244260179736158E-2</v>
          </cell>
        </row>
        <row r="18">
          <cell r="H18">
            <v>7.3898473841873813E-2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" sqref="J1:K2"/>
    </sheetView>
  </sheetViews>
  <sheetFormatPr baseColWidth="10" defaultRowHeight="15" x14ac:dyDescent="0.25"/>
  <cols>
    <col min="2" max="2" width="15.140625" bestFit="1" customWidth="1"/>
    <col min="3" max="3" width="13.7109375" customWidth="1"/>
    <col min="4" max="4" width="9.7109375" customWidth="1"/>
    <col min="5" max="5" width="11.42578125" customWidth="1"/>
    <col min="11" max="11" width="15.7109375" customWidth="1"/>
  </cols>
  <sheetData>
    <row r="1" spans="1:11" x14ac:dyDescent="0.25">
      <c r="A1" s="6" t="s">
        <v>0</v>
      </c>
      <c r="B1" s="7">
        <v>10</v>
      </c>
      <c r="C1" s="7" t="s">
        <v>1</v>
      </c>
      <c r="D1" s="8"/>
      <c r="E1" s="8"/>
      <c r="F1" s="8"/>
      <c r="G1" s="8"/>
      <c r="H1" s="9"/>
      <c r="J1" s="2" t="s">
        <v>18</v>
      </c>
      <c r="K1" s="2"/>
    </row>
    <row r="2" spans="1:11" x14ac:dyDescent="0.25">
      <c r="A2" s="10" t="s">
        <v>5</v>
      </c>
      <c r="B2" s="11">
        <f>60/B1</f>
        <v>6</v>
      </c>
      <c r="C2" s="11" t="s">
        <v>6</v>
      </c>
      <c r="D2" s="12"/>
      <c r="E2" s="12"/>
      <c r="F2" s="12"/>
      <c r="G2" s="12"/>
      <c r="H2" s="13"/>
      <c r="J2" s="1" t="s">
        <v>19</v>
      </c>
      <c r="K2" s="1" t="s">
        <v>20</v>
      </c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4"/>
    </row>
    <row r="4" spans="1:11" x14ac:dyDescent="0.25">
      <c r="A4" s="2" t="s">
        <v>3</v>
      </c>
      <c r="B4" s="2">
        <v>0.5</v>
      </c>
      <c r="C4" s="2" t="s">
        <v>4</v>
      </c>
      <c r="D4" s="2"/>
      <c r="E4" s="2"/>
      <c r="F4" s="2"/>
      <c r="G4" s="2"/>
      <c r="H4" s="2"/>
    </row>
    <row r="5" spans="1:11" x14ac:dyDescent="0.25">
      <c r="A5" s="2" t="s">
        <v>7</v>
      </c>
      <c r="B5" s="16">
        <f>EXP(-B2*B4)</f>
        <v>4.9787068367863944E-2</v>
      </c>
      <c r="C5" s="2"/>
      <c r="D5" s="2"/>
      <c r="E5" s="2"/>
      <c r="F5" s="2"/>
      <c r="G5" s="2"/>
      <c r="H5" s="2"/>
    </row>
    <row r="6" spans="1:11" x14ac:dyDescent="0.25">
      <c r="A6" s="1" t="s">
        <v>12</v>
      </c>
      <c r="B6" s="1"/>
      <c r="C6" s="1"/>
      <c r="D6" s="1"/>
      <c r="E6" s="1"/>
      <c r="F6" s="1"/>
      <c r="G6" s="1"/>
      <c r="H6" s="1"/>
    </row>
    <row r="7" spans="1:11" x14ac:dyDescent="0.25">
      <c r="A7" s="2" t="s">
        <v>3</v>
      </c>
      <c r="B7" s="2">
        <v>20</v>
      </c>
      <c r="C7" s="2" t="s">
        <v>1</v>
      </c>
      <c r="D7" s="2"/>
      <c r="E7" s="2">
        <f>20/60</f>
        <v>0.33333333333333331</v>
      </c>
      <c r="F7" s="2" t="s">
        <v>4</v>
      </c>
      <c r="G7" s="2"/>
      <c r="H7" s="2"/>
    </row>
    <row r="8" spans="1:11" x14ac:dyDescent="0.25">
      <c r="A8" s="2" t="s">
        <v>7</v>
      </c>
      <c r="B8" s="16">
        <f>EXP(-B2*E7)</f>
        <v>0.1353352832366127</v>
      </c>
      <c r="C8" s="2"/>
      <c r="D8" s="2"/>
      <c r="E8" s="2"/>
      <c r="F8" s="2"/>
      <c r="G8" s="2"/>
      <c r="H8" s="2"/>
    </row>
    <row r="9" spans="1:11" x14ac:dyDescent="0.25">
      <c r="A9" s="1" t="s">
        <v>11</v>
      </c>
      <c r="B9" s="1"/>
      <c r="C9" s="1"/>
      <c r="D9" s="1"/>
      <c r="E9" s="1"/>
      <c r="F9" s="1"/>
      <c r="G9" s="1"/>
      <c r="H9" s="1"/>
    </row>
    <row r="10" spans="1:11" x14ac:dyDescent="0.25">
      <c r="A10" s="2" t="s">
        <v>3</v>
      </c>
      <c r="B10" s="2">
        <v>5</v>
      </c>
      <c r="C10" s="2" t="s">
        <v>1</v>
      </c>
      <c r="D10" s="2"/>
      <c r="E10" s="2">
        <f>5/60</f>
        <v>8.3333333333333329E-2</v>
      </c>
      <c r="F10" s="2" t="s">
        <v>4</v>
      </c>
      <c r="G10" s="2"/>
      <c r="H10" s="2"/>
    </row>
    <row r="11" spans="1:11" x14ac:dyDescent="0.25">
      <c r="A11" s="2" t="s">
        <v>8</v>
      </c>
      <c r="B11" s="2">
        <v>10</v>
      </c>
      <c r="C11" s="2" t="s">
        <v>9</v>
      </c>
      <c r="D11" s="2"/>
      <c r="E11" s="2"/>
      <c r="F11" s="2"/>
      <c r="G11" s="2"/>
      <c r="H11" s="2"/>
    </row>
    <row r="12" spans="1:11" x14ac:dyDescent="0.25">
      <c r="A12" s="2" t="s">
        <v>10</v>
      </c>
      <c r="B12" s="17">
        <f>EXP(-B2*E10)*(B2*E10)^B11/FACT(B11)</f>
        <v>1.6322616219566209E-10</v>
      </c>
      <c r="C12" s="2"/>
      <c r="D12" s="2"/>
      <c r="E12" s="2"/>
      <c r="F12" s="2"/>
      <c r="G12" s="2"/>
      <c r="H12" s="2"/>
    </row>
    <row r="13" spans="1:11" x14ac:dyDescent="0.25">
      <c r="A13" s="1" t="s">
        <v>13</v>
      </c>
      <c r="B13" s="1"/>
      <c r="C13" s="1"/>
      <c r="D13" s="1"/>
      <c r="E13" s="1"/>
      <c r="F13" s="1"/>
      <c r="G13" s="1"/>
      <c r="H13" s="1"/>
    </row>
    <row r="14" spans="1:11" x14ac:dyDescent="0.25">
      <c r="A14" s="2" t="s">
        <v>3</v>
      </c>
      <c r="B14" s="2">
        <v>10</v>
      </c>
      <c r="C14" s="2" t="s">
        <v>1</v>
      </c>
      <c r="D14" s="2"/>
      <c r="E14" s="2">
        <f>10/60</f>
        <v>0.16666666666666666</v>
      </c>
      <c r="F14" s="2" t="s">
        <v>4</v>
      </c>
      <c r="G14" s="2"/>
      <c r="H14" s="2"/>
    </row>
    <row r="15" spans="1:11" x14ac:dyDescent="0.25">
      <c r="A15" s="2" t="s">
        <v>8</v>
      </c>
      <c r="B15" s="2">
        <v>5</v>
      </c>
      <c r="C15" s="2" t="s">
        <v>9</v>
      </c>
      <c r="D15" s="2"/>
      <c r="E15" s="2"/>
      <c r="F15" s="2"/>
      <c r="G15" s="2"/>
      <c r="H15" s="2"/>
    </row>
    <row r="16" spans="1:11" x14ac:dyDescent="0.25">
      <c r="A16" s="2" t="s">
        <v>10</v>
      </c>
      <c r="B16" s="16">
        <f>EXP(-B2*E14)*(B2*E14)^B15/FACT(B15)</f>
        <v>3.0656620097620196E-3</v>
      </c>
      <c r="C16" s="2"/>
      <c r="D16" s="2"/>
      <c r="E16" s="2"/>
      <c r="F16" s="2"/>
      <c r="G16" s="2"/>
      <c r="H16" s="2"/>
    </row>
    <row r="17" spans="1:8" x14ac:dyDescent="0.25">
      <c r="A17" s="1" t="s">
        <v>14</v>
      </c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3</v>
      </c>
      <c r="B18" s="2">
        <v>10</v>
      </c>
      <c r="C18" s="2" t="s">
        <v>1</v>
      </c>
      <c r="D18" s="2"/>
      <c r="E18" s="2">
        <f>10/60</f>
        <v>0.16666666666666666</v>
      </c>
      <c r="F18" s="2" t="s">
        <v>4</v>
      </c>
      <c r="G18" s="2"/>
      <c r="H18" s="2"/>
    </row>
    <row r="19" spans="1:8" x14ac:dyDescent="0.25">
      <c r="A19" s="2" t="s">
        <v>8</v>
      </c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14" t="s">
        <v>16</v>
      </c>
    </row>
    <row r="20" spans="1:8" x14ac:dyDescent="0.25">
      <c r="A20" s="2" t="s">
        <v>15</v>
      </c>
      <c r="B20" s="3">
        <f>EXP(-$B$2*$E$18)*($B$2*$E$18)^B19/FACT(B19)</f>
        <v>0.36787944117144233</v>
      </c>
      <c r="C20" s="3">
        <f t="shared" ref="C20:G20" si="0">EXP(-$B$2*$E$18)*($B$2*$E$18)^C19/FACT(C19)</f>
        <v>0.36787944117144233</v>
      </c>
      <c r="D20" s="3">
        <f t="shared" si="0"/>
        <v>0.18393972058572117</v>
      </c>
      <c r="E20" s="3">
        <f t="shared" si="0"/>
        <v>6.1313240195240391E-2</v>
      </c>
      <c r="F20" s="3">
        <f t="shared" si="0"/>
        <v>1.5328310048810098E-2</v>
      </c>
      <c r="G20" s="3">
        <f t="shared" si="0"/>
        <v>3.0656620097620196E-3</v>
      </c>
      <c r="H20" s="15">
        <f>SUM(B20:G20)</f>
        <v>0.99940581518241833</v>
      </c>
    </row>
    <row r="21" spans="1:8" x14ac:dyDescent="0.25">
      <c r="A21" s="1" t="s">
        <v>17</v>
      </c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21</v>
      </c>
      <c r="B22" s="15">
        <f>1-H20</f>
        <v>5.9418481758166664E-4</v>
      </c>
      <c r="C22" s="2"/>
      <c r="D22" s="2"/>
      <c r="E22" s="2"/>
      <c r="F22" s="2"/>
      <c r="G22" s="2"/>
      <c r="H22" s="2"/>
    </row>
    <row r="23" spans="1:8" x14ac:dyDescent="0.25">
      <c r="A23" s="4"/>
      <c r="B23" s="4"/>
      <c r="C23" s="4"/>
      <c r="D23" s="4"/>
      <c r="E23" s="4"/>
      <c r="F23" s="4"/>
      <c r="G23" s="4"/>
      <c r="H23" s="18"/>
    </row>
    <row r="24" spans="1:8" x14ac:dyDescent="0.25">
      <c r="A24" s="4"/>
      <c r="B24" s="5"/>
      <c r="C24" s="5"/>
      <c r="D24" s="5"/>
      <c r="E24" s="5"/>
      <c r="F24" s="5"/>
      <c r="G24" s="5"/>
      <c r="H2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B2" sqref="B2"/>
    </sheetView>
  </sheetViews>
  <sheetFormatPr baseColWidth="10" defaultRowHeight="15" x14ac:dyDescent="0.25"/>
  <cols>
    <col min="2" max="2" width="8.7109375" customWidth="1"/>
    <col min="3" max="3" width="7.7109375" customWidth="1"/>
    <col min="4" max="4" width="8.85546875" customWidth="1"/>
    <col min="5" max="5" width="9.42578125" customWidth="1"/>
    <col min="6" max="6" width="8.42578125" customWidth="1"/>
    <col min="7" max="7" width="7.28515625" customWidth="1"/>
    <col min="8" max="8" width="7.5703125" customWidth="1"/>
    <col min="9" max="9" width="7.7109375" customWidth="1"/>
    <col min="10" max="10" width="8.140625" customWidth="1"/>
    <col min="11" max="11" width="8.42578125" customWidth="1"/>
    <col min="12" max="12" width="6.42578125" customWidth="1"/>
    <col min="14" max="14" width="16.140625" customWidth="1"/>
    <col min="15" max="15" width="15.42578125" customWidth="1"/>
    <col min="17" max="17" width="15.5703125" customWidth="1"/>
  </cols>
  <sheetData>
    <row r="1" spans="1:17" x14ac:dyDescent="0.25">
      <c r="A1" s="6" t="s">
        <v>23</v>
      </c>
      <c r="B1" s="7">
        <v>20</v>
      </c>
      <c r="C1" s="7" t="s">
        <v>1</v>
      </c>
      <c r="D1" s="8"/>
      <c r="E1" s="8"/>
      <c r="F1" s="8"/>
      <c r="G1" s="8"/>
      <c r="H1" s="21"/>
      <c r="I1" s="21"/>
      <c r="J1" s="21"/>
      <c r="K1" s="21"/>
      <c r="L1" s="21"/>
      <c r="M1" s="22"/>
      <c r="P1" s="2" t="s">
        <v>22</v>
      </c>
      <c r="Q1" s="2"/>
    </row>
    <row r="2" spans="1:17" x14ac:dyDescent="0.25">
      <c r="A2" s="10" t="s">
        <v>24</v>
      </c>
      <c r="B2" s="11">
        <f>60/B1</f>
        <v>3</v>
      </c>
      <c r="C2" s="11" t="s">
        <v>31</v>
      </c>
      <c r="D2" s="12"/>
      <c r="E2" s="12"/>
      <c r="F2" s="12"/>
      <c r="G2" s="12"/>
      <c r="H2" s="12"/>
      <c r="I2" s="12"/>
      <c r="J2" s="12"/>
      <c r="K2" s="12"/>
      <c r="L2" s="12"/>
      <c r="M2" s="13"/>
      <c r="P2" s="1" t="s">
        <v>19</v>
      </c>
      <c r="Q2" s="1" t="s">
        <v>20</v>
      </c>
    </row>
    <row r="3" spans="1:17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A4" s="2" t="s">
        <v>3</v>
      </c>
      <c r="B4" s="2">
        <v>1</v>
      </c>
      <c r="C4" s="2" t="s">
        <v>4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7" x14ac:dyDescent="0.25">
      <c r="A5" s="2" t="s">
        <v>26</v>
      </c>
      <c r="B5" s="16">
        <f>EXP(-B2*B4)</f>
        <v>4.9787068367863944E-2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7" x14ac:dyDescent="0.25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x14ac:dyDescent="0.25">
      <c r="A7" s="2" t="s">
        <v>3</v>
      </c>
      <c r="B7" s="2">
        <v>15</v>
      </c>
      <c r="C7" s="2" t="s">
        <v>1</v>
      </c>
      <c r="D7" s="2"/>
      <c r="E7" s="2">
        <f>15/60</f>
        <v>0.25</v>
      </c>
      <c r="F7" s="2" t="s">
        <v>4</v>
      </c>
      <c r="G7" s="2"/>
      <c r="H7" s="2"/>
      <c r="I7" s="2"/>
      <c r="J7" s="2"/>
      <c r="K7" s="2"/>
      <c r="L7" s="2"/>
      <c r="M7" s="2"/>
    </row>
    <row r="8" spans="1:17" x14ac:dyDescent="0.25">
      <c r="A8" s="2" t="s">
        <v>28</v>
      </c>
      <c r="B8" s="16">
        <f>EXP(-B2*E7)</f>
        <v>0.47236655274101469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7" x14ac:dyDescent="0.25">
      <c r="A9" s="1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x14ac:dyDescent="0.25">
      <c r="A10" s="2" t="s">
        <v>3</v>
      </c>
      <c r="B10" s="2">
        <v>10</v>
      </c>
      <c r="C10" s="2" t="s">
        <v>1</v>
      </c>
      <c r="D10" s="2"/>
      <c r="E10" s="2">
        <f>10/60</f>
        <v>0.16666666666666666</v>
      </c>
      <c r="F10" s="2" t="s">
        <v>4</v>
      </c>
      <c r="G10" s="2"/>
      <c r="H10" s="2"/>
      <c r="I10" s="2"/>
      <c r="J10" s="2"/>
      <c r="K10" s="2"/>
      <c r="L10" s="2"/>
      <c r="M10" s="2"/>
    </row>
    <row r="11" spans="1:17" x14ac:dyDescent="0.25">
      <c r="A11" s="2" t="s">
        <v>8</v>
      </c>
      <c r="B11" s="2">
        <v>5</v>
      </c>
      <c r="C11" s="2" t="s">
        <v>30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7" x14ac:dyDescent="0.25">
      <c r="A12" s="2" t="s">
        <v>10</v>
      </c>
      <c r="B12" s="20">
        <f>EXP(-B2*E10)*(B2*E10)^B11/FACT(B11)</f>
        <v>1.5795069263349829E-4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7" x14ac:dyDescent="0.25">
      <c r="A13" s="1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7" x14ac:dyDescent="0.25">
      <c r="A14" s="2" t="s">
        <v>3</v>
      </c>
      <c r="B14" s="2">
        <v>40</v>
      </c>
      <c r="C14" s="2" t="s">
        <v>1</v>
      </c>
      <c r="D14" s="2"/>
      <c r="E14" s="2">
        <f>40/60</f>
        <v>0.66666666666666663</v>
      </c>
      <c r="F14" s="2" t="s">
        <v>4</v>
      </c>
      <c r="G14" s="2"/>
      <c r="H14" s="2"/>
      <c r="I14" s="2"/>
      <c r="J14" s="2"/>
      <c r="K14" s="2"/>
      <c r="L14" s="2"/>
      <c r="M14" s="2"/>
    </row>
    <row r="15" spans="1:17" x14ac:dyDescent="0.25">
      <c r="A15" s="2" t="s">
        <v>8</v>
      </c>
      <c r="B15" s="2">
        <v>5</v>
      </c>
      <c r="C15" s="2" t="s">
        <v>30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7" x14ac:dyDescent="0.25">
      <c r="A16" s="2" t="s">
        <v>34</v>
      </c>
      <c r="B16" s="16">
        <f>EXP(-B2*E14)*(B2*E14)^B15/FACT(B15)</f>
        <v>3.6089408863096722E-2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1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 t="s">
        <v>3</v>
      </c>
      <c r="B18" s="2">
        <v>40</v>
      </c>
      <c r="C18" s="2" t="s">
        <v>1</v>
      </c>
      <c r="D18" s="2"/>
      <c r="E18" s="2">
        <f>40/60</f>
        <v>0.66666666666666663</v>
      </c>
      <c r="F18" s="2" t="s">
        <v>4</v>
      </c>
      <c r="G18" s="2"/>
      <c r="H18" s="2"/>
      <c r="I18" s="2"/>
      <c r="J18" s="2"/>
      <c r="K18" s="2"/>
      <c r="L18" s="2"/>
      <c r="M18" s="2"/>
    </row>
    <row r="19" spans="1:13" x14ac:dyDescent="0.25">
      <c r="A19" s="2" t="s">
        <v>8</v>
      </c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  <c r="L19" s="2">
        <v>10</v>
      </c>
      <c r="M19" s="14" t="s">
        <v>16</v>
      </c>
    </row>
    <row r="20" spans="1:13" x14ac:dyDescent="0.25">
      <c r="A20" s="2" t="s">
        <v>35</v>
      </c>
      <c r="B20" s="3">
        <f>EXP(-$B$2*$E$18)*($B$2*$E$18)^B19/FACT(B19)</f>
        <v>0.1353352832366127</v>
      </c>
      <c r="C20" s="3">
        <f t="shared" ref="C20:F20" si="0">EXP(-$B$2*$E$18)*($B$2*$E$18)^C19/FACT(C19)</f>
        <v>0.2706705664732254</v>
      </c>
      <c r="D20" s="3">
        <f t="shared" si="0"/>
        <v>0.2706705664732254</v>
      </c>
      <c r="E20" s="3">
        <f t="shared" si="0"/>
        <v>0.18044704431548361</v>
      </c>
      <c r="F20" s="3">
        <f t="shared" si="0"/>
        <v>9.0223522157741806E-2</v>
      </c>
      <c r="G20" s="3">
        <f>EXP(-$B$2*$E$18)*($B$2*$E$18)^G19/FACT(G19)</f>
        <v>3.6089408863096722E-2</v>
      </c>
      <c r="H20" s="3">
        <f t="shared" ref="H20:L20" si="1">EXP(-$B$2*$E$18)*($B$2*$E$18)^H19/FACT(H19)</f>
        <v>1.2029802954365574E-2</v>
      </c>
      <c r="I20" s="3">
        <f t="shared" si="1"/>
        <v>3.4370865583901638E-3</v>
      </c>
      <c r="J20" s="3">
        <f t="shared" si="1"/>
        <v>8.5927163959754094E-4</v>
      </c>
      <c r="K20" s="3">
        <f t="shared" si="1"/>
        <v>1.9094925324389798E-4</v>
      </c>
      <c r="L20" s="3">
        <f t="shared" si="1"/>
        <v>3.8189850648779595E-5</v>
      </c>
      <c r="M20" s="15">
        <f>SUM(B20:L20)</f>
        <v>0.99999169177563163</v>
      </c>
    </row>
    <row r="21" spans="1:13" x14ac:dyDescent="0.25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2" t="s">
        <v>21</v>
      </c>
      <c r="B22" s="15">
        <f>1-M20</f>
        <v>8.3082243683696433E-6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12" workbookViewId="0">
      <selection activeCell="A29" sqref="A29"/>
    </sheetView>
  </sheetViews>
  <sheetFormatPr baseColWidth="10" defaultRowHeight="15" x14ac:dyDescent="0.25"/>
  <cols>
    <col min="1" max="1" width="20" customWidth="1"/>
    <col min="2" max="2" width="7.28515625" customWidth="1"/>
    <col min="3" max="3" width="8.28515625" customWidth="1"/>
    <col min="4" max="4" width="7.42578125" customWidth="1"/>
    <col min="5" max="5" width="7.85546875" customWidth="1"/>
    <col min="6" max="6" width="7.140625" customWidth="1"/>
    <col min="7" max="7" width="11.85546875" bestFit="1" customWidth="1"/>
    <col min="8" max="8" width="12.7109375" customWidth="1"/>
    <col min="11" max="11" width="15.42578125" customWidth="1"/>
  </cols>
  <sheetData>
    <row r="1" spans="1:11" x14ac:dyDescent="0.25">
      <c r="A1" s="1" t="s">
        <v>37</v>
      </c>
      <c r="B1" s="1">
        <v>2</v>
      </c>
      <c r="C1" s="1"/>
      <c r="D1" s="1"/>
      <c r="E1" s="1"/>
      <c r="F1" s="1"/>
      <c r="G1" s="1"/>
      <c r="J1" s="2" t="s">
        <v>22</v>
      </c>
      <c r="K1" s="2"/>
    </row>
    <row r="2" spans="1:11" x14ac:dyDescent="0.25">
      <c r="A2" s="1" t="s">
        <v>38</v>
      </c>
      <c r="B2" s="1">
        <v>15</v>
      </c>
      <c r="C2" s="1" t="s">
        <v>1</v>
      </c>
      <c r="D2" s="1"/>
      <c r="E2" s="1"/>
      <c r="F2" s="1"/>
      <c r="G2" s="1"/>
      <c r="J2" s="1" t="s">
        <v>19</v>
      </c>
      <c r="K2" s="1" t="s">
        <v>20</v>
      </c>
    </row>
    <row r="3" spans="1:11" x14ac:dyDescent="0.25">
      <c r="A3" s="24" t="s">
        <v>5</v>
      </c>
      <c r="B3" s="21">
        <v>16</v>
      </c>
      <c r="C3" s="21" t="s">
        <v>36</v>
      </c>
      <c r="D3" s="1"/>
      <c r="E3" s="1"/>
      <c r="F3" s="1"/>
      <c r="G3" s="1"/>
    </row>
    <row r="4" spans="1:11" x14ac:dyDescent="0.25">
      <c r="A4" s="24" t="s">
        <v>24</v>
      </c>
      <c r="B4" s="21">
        <f>60/B2</f>
        <v>4</v>
      </c>
      <c r="C4" s="21" t="s">
        <v>36</v>
      </c>
      <c r="D4" s="1"/>
      <c r="E4" s="1"/>
      <c r="F4" s="1"/>
      <c r="G4" s="1"/>
    </row>
    <row r="5" spans="1:11" x14ac:dyDescent="0.25">
      <c r="A5" s="34" t="s">
        <v>41</v>
      </c>
      <c r="B5" s="26">
        <v>0</v>
      </c>
      <c r="C5" s="26">
        <v>1</v>
      </c>
      <c r="D5" s="26">
        <v>2</v>
      </c>
      <c r="E5" s="26">
        <v>3</v>
      </c>
      <c r="F5" s="26">
        <v>4</v>
      </c>
      <c r="G5" s="1"/>
    </row>
    <row r="6" spans="1:11" x14ac:dyDescent="0.25">
      <c r="A6" s="34" t="s">
        <v>39</v>
      </c>
      <c r="B6" s="23">
        <v>16</v>
      </c>
      <c r="C6" s="23">
        <v>16</v>
      </c>
      <c r="D6" s="23">
        <f>B6-B6/4</f>
        <v>12</v>
      </c>
      <c r="E6" s="23">
        <f>B6-B6*3/8</f>
        <v>10</v>
      </c>
      <c r="F6" s="23">
        <v>0</v>
      </c>
      <c r="G6" s="1"/>
    </row>
    <row r="7" spans="1:11" x14ac:dyDescent="0.25">
      <c r="A7" s="34" t="s">
        <v>40</v>
      </c>
      <c r="B7" s="23">
        <v>0</v>
      </c>
      <c r="C7" s="23">
        <v>4</v>
      </c>
      <c r="D7" s="23">
        <f>$B$1*$B$4</f>
        <v>8</v>
      </c>
      <c r="E7" s="23">
        <f t="shared" ref="E7:F7" si="0">$B$1*$B$4</f>
        <v>8</v>
      </c>
      <c r="F7" s="23">
        <f t="shared" si="0"/>
        <v>8</v>
      </c>
      <c r="G7" s="1"/>
    </row>
    <row r="8" spans="1:11" x14ac:dyDescent="0.25">
      <c r="A8" s="34" t="s">
        <v>42</v>
      </c>
      <c r="B8" s="23">
        <v>0</v>
      </c>
      <c r="C8" s="23">
        <f>B6/C7</f>
        <v>4</v>
      </c>
      <c r="D8" s="23">
        <f>C8*C6/D7</f>
        <v>8</v>
      </c>
      <c r="E8" s="23">
        <f>D8*D6/E7</f>
        <v>12</v>
      </c>
      <c r="F8" s="23">
        <f>E8*E6/F7</f>
        <v>15</v>
      </c>
      <c r="G8" s="1"/>
    </row>
    <row r="9" spans="1:11" x14ac:dyDescent="0.25">
      <c r="A9" s="34" t="s">
        <v>43</v>
      </c>
      <c r="B9" s="29">
        <f>1/(1+SUM(C8:F8))</f>
        <v>2.5000000000000001E-2</v>
      </c>
      <c r="C9" s="30">
        <f>$B$9*C8</f>
        <v>0.1</v>
      </c>
      <c r="D9" s="30">
        <f t="shared" ref="D9:F9" si="1">$B$9*D8</f>
        <v>0.2</v>
      </c>
      <c r="E9" s="30">
        <f t="shared" si="1"/>
        <v>0.30000000000000004</v>
      </c>
      <c r="F9" s="30">
        <f t="shared" si="1"/>
        <v>0.375</v>
      </c>
      <c r="G9" s="30">
        <f>SUM(B9:F9)</f>
        <v>1</v>
      </c>
    </row>
    <row r="10" spans="1:11" x14ac:dyDescent="0.25">
      <c r="A10" s="35" t="s">
        <v>44</v>
      </c>
      <c r="B10" s="28">
        <f>B9</f>
        <v>2.5000000000000001E-2</v>
      </c>
      <c r="C10" s="28">
        <f t="shared" ref="C10:F10" si="2">C9</f>
        <v>0.1</v>
      </c>
      <c r="D10" s="28">
        <f t="shared" si="2"/>
        <v>0.2</v>
      </c>
      <c r="E10" s="28">
        <f t="shared" si="2"/>
        <v>0.30000000000000004</v>
      </c>
      <c r="F10" s="28">
        <f t="shared" si="2"/>
        <v>0.375</v>
      </c>
      <c r="G10" s="1"/>
    </row>
    <row r="12" spans="1:11" x14ac:dyDescent="0.25">
      <c r="A12" s="27" t="s">
        <v>45</v>
      </c>
      <c r="B12" s="2"/>
      <c r="C12" s="2"/>
      <c r="D12" s="2"/>
      <c r="E12" s="2"/>
      <c r="F12" s="2"/>
      <c r="G12" s="2"/>
      <c r="H12" s="2"/>
    </row>
    <row r="13" spans="1:11" x14ac:dyDescent="0.25">
      <c r="A13" s="24"/>
      <c r="B13" s="1"/>
      <c r="C13" s="1"/>
      <c r="D13" s="1"/>
      <c r="E13" s="1"/>
      <c r="F13" s="1"/>
      <c r="G13" s="14" t="s">
        <v>47</v>
      </c>
      <c r="H13" s="1"/>
    </row>
    <row r="14" spans="1:11" x14ac:dyDescent="0.25">
      <c r="A14" s="33" t="s">
        <v>46</v>
      </c>
      <c r="B14" s="23">
        <f>B5*B10</f>
        <v>0</v>
      </c>
      <c r="C14" s="23">
        <f t="shared" ref="C14:F14" si="3">C5*C10</f>
        <v>0.1</v>
      </c>
      <c r="D14" s="23">
        <f t="shared" si="3"/>
        <v>0.4</v>
      </c>
      <c r="E14" s="23">
        <f t="shared" si="3"/>
        <v>0.90000000000000013</v>
      </c>
      <c r="F14" s="23">
        <f t="shared" si="3"/>
        <v>1.5</v>
      </c>
      <c r="G14" s="23">
        <f>SUM(B14:F14)</f>
        <v>2.9000000000000004</v>
      </c>
      <c r="H14" s="1" t="s">
        <v>48</v>
      </c>
    </row>
    <row r="15" spans="1:11" x14ac:dyDescent="0.25">
      <c r="A15" s="27" t="s">
        <v>49</v>
      </c>
      <c r="B15" s="2"/>
      <c r="C15" s="2"/>
      <c r="D15" s="2"/>
      <c r="E15" s="2"/>
      <c r="F15" s="2"/>
      <c r="G15" s="2"/>
      <c r="H15" s="2"/>
    </row>
    <row r="16" spans="1:11" x14ac:dyDescent="0.25">
      <c r="A16" s="23" t="s">
        <v>51</v>
      </c>
      <c r="B16" s="23">
        <v>0</v>
      </c>
      <c r="C16" s="23">
        <v>0</v>
      </c>
      <c r="D16" s="23">
        <v>0</v>
      </c>
      <c r="E16" s="23">
        <f>E5-B1</f>
        <v>1</v>
      </c>
      <c r="F16" s="23">
        <f>F5-B1</f>
        <v>2</v>
      </c>
      <c r="G16" s="14" t="s">
        <v>47</v>
      </c>
      <c r="H16" s="1"/>
    </row>
    <row r="17" spans="1:8" x14ac:dyDescent="0.25">
      <c r="A17" s="23" t="s">
        <v>50</v>
      </c>
      <c r="B17" s="23">
        <f>B16*B10</f>
        <v>0</v>
      </c>
      <c r="C17" s="23">
        <f t="shared" ref="C17:F17" si="4">C16*C10</f>
        <v>0</v>
      </c>
      <c r="D17" s="23">
        <f t="shared" si="4"/>
        <v>0</v>
      </c>
      <c r="E17" s="23">
        <f t="shared" si="4"/>
        <v>0.30000000000000004</v>
      </c>
      <c r="F17" s="23">
        <f t="shared" si="4"/>
        <v>0.75</v>
      </c>
      <c r="G17" s="23">
        <f>SUM(B17:F17)</f>
        <v>1.05</v>
      </c>
      <c r="H17" s="1" t="s">
        <v>48</v>
      </c>
    </row>
    <row r="18" spans="1:8" x14ac:dyDescent="0.25">
      <c r="A18" s="23" t="s">
        <v>52</v>
      </c>
      <c r="B18" s="23">
        <f>B6*B10</f>
        <v>0.4</v>
      </c>
      <c r="C18" s="23">
        <f t="shared" ref="C18:F18" si="5">C6*C10</f>
        <v>1.6</v>
      </c>
      <c r="D18" s="23">
        <f t="shared" si="5"/>
        <v>2.4000000000000004</v>
      </c>
      <c r="E18" s="23">
        <f t="shared" si="5"/>
        <v>3.0000000000000004</v>
      </c>
      <c r="F18" s="23">
        <f t="shared" si="5"/>
        <v>0</v>
      </c>
      <c r="G18" s="23">
        <f>SUM(B18:F18)</f>
        <v>7.4</v>
      </c>
      <c r="H18" s="1" t="s">
        <v>36</v>
      </c>
    </row>
    <row r="19" spans="1:8" x14ac:dyDescent="0.25">
      <c r="A19" s="1" t="s">
        <v>53</v>
      </c>
      <c r="B19" s="1"/>
      <c r="C19" s="1"/>
      <c r="D19" s="1"/>
      <c r="E19" s="1"/>
      <c r="F19" s="1"/>
      <c r="G19" s="23">
        <f>B3-G18</f>
        <v>8.6</v>
      </c>
      <c r="H19" s="1" t="s">
        <v>36</v>
      </c>
    </row>
    <row r="20" spans="1:8" x14ac:dyDescent="0.25">
      <c r="A20" s="31" t="s">
        <v>54</v>
      </c>
      <c r="B20" s="23">
        <v>2000</v>
      </c>
      <c r="C20" s="23" t="s">
        <v>55</v>
      </c>
      <c r="D20" s="23"/>
      <c r="E20" s="1"/>
      <c r="F20" s="1"/>
      <c r="G20" s="1"/>
      <c r="H20" s="1"/>
    </row>
    <row r="21" spans="1:8" x14ac:dyDescent="0.25">
      <c r="A21" s="31" t="s">
        <v>56</v>
      </c>
      <c r="B21" s="23"/>
      <c r="C21" s="23">
        <f>G18*B20</f>
        <v>14800</v>
      </c>
      <c r="D21" s="23" t="s">
        <v>58</v>
      </c>
      <c r="E21" s="1"/>
      <c r="F21" s="1"/>
      <c r="G21" s="1"/>
      <c r="H21" s="1"/>
    </row>
    <row r="22" spans="1:8" x14ac:dyDescent="0.25">
      <c r="A22" s="31" t="s">
        <v>57</v>
      </c>
      <c r="B22" s="23"/>
      <c r="C22" s="23">
        <f>G19*B20</f>
        <v>17200</v>
      </c>
      <c r="D22" s="23" t="s">
        <v>58</v>
      </c>
      <c r="E22" s="1"/>
      <c r="F22" s="1"/>
      <c r="G22" s="1"/>
      <c r="H22" s="1"/>
    </row>
    <row r="23" spans="1:8" x14ac:dyDescent="0.25">
      <c r="A23" s="32" t="s">
        <v>59</v>
      </c>
      <c r="B23" s="2"/>
      <c r="C23" s="2"/>
      <c r="D23" s="2"/>
      <c r="E23" s="2"/>
      <c r="F23" s="2"/>
      <c r="G23" s="2"/>
      <c r="H23" s="2"/>
    </row>
    <row r="24" spans="1:8" x14ac:dyDescent="0.25">
      <c r="A24" s="25" t="s">
        <v>41</v>
      </c>
      <c r="B24" s="26">
        <v>0</v>
      </c>
      <c r="C24" s="26">
        <v>1</v>
      </c>
      <c r="D24" s="26">
        <v>2</v>
      </c>
      <c r="E24" s="26">
        <v>3</v>
      </c>
      <c r="F24" s="26">
        <v>4</v>
      </c>
      <c r="G24" s="1"/>
      <c r="H24" s="1"/>
    </row>
    <row r="25" spans="1:8" x14ac:dyDescent="0.25">
      <c r="A25" s="23" t="s">
        <v>60</v>
      </c>
      <c r="B25" s="23">
        <f>B2</f>
        <v>15</v>
      </c>
      <c r="C25" s="23">
        <f>B2</f>
        <v>15</v>
      </c>
      <c r="D25" s="23">
        <f>2*B2</f>
        <v>30</v>
      </c>
      <c r="E25" s="23">
        <f>2*B2</f>
        <v>30</v>
      </c>
      <c r="F25" s="23">
        <v>0</v>
      </c>
      <c r="G25" s="14" t="s">
        <v>47</v>
      </c>
      <c r="H25" s="1"/>
    </row>
    <row r="26" spans="1:8" x14ac:dyDescent="0.25">
      <c r="A26" s="23" t="s">
        <v>61</v>
      </c>
      <c r="B26" s="23">
        <f>B25*B10</f>
        <v>0.375</v>
      </c>
      <c r="C26" s="23">
        <f t="shared" ref="C26:F26" si="6">C25*C10</f>
        <v>1.5</v>
      </c>
      <c r="D26" s="23">
        <f t="shared" si="6"/>
        <v>6</v>
      </c>
      <c r="E26" s="23">
        <f t="shared" si="6"/>
        <v>9.0000000000000018</v>
      </c>
      <c r="F26" s="23">
        <f t="shared" si="6"/>
        <v>0</v>
      </c>
      <c r="G26" s="23">
        <f>SUM(B26:F26)</f>
        <v>16.875</v>
      </c>
      <c r="H26" s="1" t="s">
        <v>65</v>
      </c>
    </row>
    <row r="27" spans="1:8" x14ac:dyDescent="0.25">
      <c r="A27" s="2" t="s">
        <v>62</v>
      </c>
      <c r="B27" s="2"/>
      <c r="C27" s="2"/>
      <c r="D27" s="2"/>
      <c r="E27" s="2"/>
      <c r="F27" s="2"/>
      <c r="G27" s="2"/>
      <c r="H27" s="2"/>
    </row>
    <row r="28" spans="1:8" x14ac:dyDescent="0.25">
      <c r="A28" s="23" t="s">
        <v>63</v>
      </c>
      <c r="B28" s="23">
        <f>B25-$B$2</f>
        <v>0</v>
      </c>
      <c r="C28" s="23">
        <f t="shared" ref="C28:E28" si="7">C25-$B$2</f>
        <v>0</v>
      </c>
      <c r="D28" s="23">
        <f t="shared" si="7"/>
        <v>15</v>
      </c>
      <c r="E28" s="23">
        <f t="shared" si="7"/>
        <v>15</v>
      </c>
      <c r="F28" s="23">
        <v>0</v>
      </c>
      <c r="G28" s="14" t="s">
        <v>47</v>
      </c>
      <c r="H28" s="1"/>
    </row>
    <row r="29" spans="1:8" x14ac:dyDescent="0.25">
      <c r="A29" s="23" t="s">
        <v>64</v>
      </c>
      <c r="B29" s="23">
        <f>B28*B10</f>
        <v>0</v>
      </c>
      <c r="C29" s="23">
        <f t="shared" ref="C29:F29" si="8">C28*C10</f>
        <v>0</v>
      </c>
      <c r="D29" s="23">
        <f t="shared" si="8"/>
        <v>3</v>
      </c>
      <c r="E29" s="23">
        <f t="shared" si="8"/>
        <v>4.5000000000000009</v>
      </c>
      <c r="F29" s="23">
        <f t="shared" si="8"/>
        <v>0</v>
      </c>
      <c r="G29" s="23">
        <f>SUM(B29:F29)</f>
        <v>7.5000000000000009</v>
      </c>
      <c r="H29" s="1" t="s">
        <v>65</v>
      </c>
    </row>
    <row r="30" spans="1:8" x14ac:dyDescent="0.25">
      <c r="A30" s="2" t="s">
        <v>66</v>
      </c>
      <c r="B30" s="2"/>
      <c r="C30" s="2"/>
      <c r="D30" s="2"/>
      <c r="E30" s="2"/>
      <c r="F30" s="2"/>
      <c r="G30" s="2"/>
      <c r="H30" s="2"/>
    </row>
    <row r="31" spans="1:8" x14ac:dyDescent="0.25">
      <c r="A31" s="23" t="s">
        <v>67</v>
      </c>
      <c r="B31" s="36">
        <f>D10+E10</f>
        <v>0.5</v>
      </c>
      <c r="C31" s="1"/>
      <c r="D31" s="1"/>
      <c r="E31" s="1"/>
      <c r="F31" s="1"/>
      <c r="G31" s="1"/>
      <c r="H31" s="1"/>
    </row>
    <row r="32" spans="1:8" x14ac:dyDescent="0.25">
      <c r="A32" s="2" t="s">
        <v>68</v>
      </c>
      <c r="B32" s="2"/>
      <c r="C32" s="2"/>
      <c r="D32" s="2"/>
      <c r="E32" s="2"/>
      <c r="F32" s="2"/>
      <c r="G32" s="2"/>
      <c r="H32" s="2"/>
    </row>
    <row r="33" spans="1:8" x14ac:dyDescent="0.25">
      <c r="A33" s="23" t="s">
        <v>69</v>
      </c>
      <c r="B33" s="36">
        <f>F10</f>
        <v>0.375</v>
      </c>
      <c r="C33" s="1"/>
      <c r="D33" s="1"/>
      <c r="E33" s="1"/>
      <c r="F33" s="1"/>
      <c r="G33" s="1"/>
      <c r="H33" s="1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13" workbookViewId="0">
      <selection activeCell="A15" sqref="A15"/>
    </sheetView>
  </sheetViews>
  <sheetFormatPr baseColWidth="10" defaultRowHeight="15" x14ac:dyDescent="0.25"/>
  <cols>
    <col min="1" max="1" width="20.5703125" customWidth="1"/>
    <col min="8" max="8" width="24.28515625" customWidth="1"/>
  </cols>
  <sheetData>
    <row r="1" spans="1:8" x14ac:dyDescent="0.25">
      <c r="A1" s="1" t="s">
        <v>37</v>
      </c>
      <c r="B1" s="1">
        <v>1</v>
      </c>
      <c r="C1" s="1"/>
      <c r="D1" s="1"/>
      <c r="E1" s="1"/>
      <c r="F1" s="1"/>
    </row>
    <row r="2" spans="1:8" x14ac:dyDescent="0.25">
      <c r="A2" s="1" t="s">
        <v>38</v>
      </c>
      <c r="B2" s="1">
        <v>30</v>
      </c>
      <c r="C2" s="1" t="s">
        <v>70</v>
      </c>
      <c r="D2" s="1"/>
      <c r="E2" s="1"/>
      <c r="F2" s="1"/>
    </row>
    <row r="3" spans="1:8" x14ac:dyDescent="0.25">
      <c r="A3" s="24" t="s">
        <v>5</v>
      </c>
      <c r="B3" s="21">
        <v>3</v>
      </c>
      <c r="C3" s="21" t="s">
        <v>71</v>
      </c>
      <c r="D3" s="1"/>
      <c r="E3" s="1"/>
      <c r="F3" s="1"/>
    </row>
    <row r="4" spans="1:8" x14ac:dyDescent="0.25">
      <c r="A4" s="24" t="s">
        <v>24</v>
      </c>
      <c r="B4" s="21">
        <f>60/B2</f>
        <v>2</v>
      </c>
      <c r="C4" s="21" t="s">
        <v>71</v>
      </c>
      <c r="D4" s="1"/>
      <c r="E4" s="1"/>
      <c r="F4" s="1"/>
    </row>
    <row r="5" spans="1:8" x14ac:dyDescent="0.25">
      <c r="A5" s="34" t="s">
        <v>41</v>
      </c>
      <c r="B5" s="26">
        <v>0</v>
      </c>
      <c r="C5" s="26">
        <v>1</v>
      </c>
      <c r="D5" s="26">
        <v>2</v>
      </c>
      <c r="E5" s="26">
        <v>3</v>
      </c>
      <c r="F5" s="1"/>
    </row>
    <row r="6" spans="1:8" x14ac:dyDescent="0.25">
      <c r="A6" s="34" t="s">
        <v>39</v>
      </c>
      <c r="B6" s="23">
        <v>3</v>
      </c>
      <c r="C6" s="23">
        <f>$B$6-$B$6*C5/3</f>
        <v>2</v>
      </c>
      <c r="D6" s="23">
        <f t="shared" ref="D6:E6" si="0">$B$6-$B$6*D5/3</f>
        <v>1</v>
      </c>
      <c r="E6" s="23">
        <f t="shared" si="0"/>
        <v>0</v>
      </c>
      <c r="F6" s="1"/>
    </row>
    <row r="7" spans="1:8" x14ac:dyDescent="0.25">
      <c r="A7" s="34" t="s">
        <v>40</v>
      </c>
      <c r="B7" s="23">
        <v>0</v>
      </c>
      <c r="C7" s="23">
        <v>2</v>
      </c>
      <c r="D7" s="23">
        <v>2</v>
      </c>
      <c r="E7" s="23">
        <v>2</v>
      </c>
      <c r="F7" s="1"/>
    </row>
    <row r="8" spans="1:8" x14ac:dyDescent="0.25">
      <c r="A8" s="34" t="s">
        <v>42</v>
      </c>
      <c r="B8" s="23">
        <v>0</v>
      </c>
      <c r="C8" s="23">
        <f>B6/C7</f>
        <v>1.5</v>
      </c>
      <c r="D8" s="23">
        <f>C8*C6/D7</f>
        <v>1.5</v>
      </c>
      <c r="E8" s="23">
        <f>D8*D6/E7</f>
        <v>0.75</v>
      </c>
      <c r="F8" s="21"/>
      <c r="G8" s="18"/>
    </row>
    <row r="9" spans="1:8" x14ac:dyDescent="0.25">
      <c r="A9" s="34" t="s">
        <v>43</v>
      </c>
      <c r="B9" s="29">
        <f>1/(1+SUM(C8:F8))</f>
        <v>0.21052631578947367</v>
      </c>
      <c r="C9" s="30">
        <f>$B$9*C8</f>
        <v>0.31578947368421051</v>
      </c>
      <c r="D9" s="30">
        <f t="shared" ref="D9:E9" si="1">$B$9*D8</f>
        <v>0.31578947368421051</v>
      </c>
      <c r="E9" s="30">
        <f t="shared" si="1"/>
        <v>0.15789473684210525</v>
      </c>
      <c r="F9" s="30">
        <f>SUM(B9:E9)</f>
        <v>1</v>
      </c>
      <c r="G9" s="38"/>
    </row>
    <row r="10" spans="1:8" x14ac:dyDescent="0.25">
      <c r="A10" s="35" t="s">
        <v>44</v>
      </c>
      <c r="B10" s="28">
        <f>B9</f>
        <v>0.21052631578947367</v>
      </c>
      <c r="C10" s="28">
        <f t="shared" ref="C10:E10" si="2">C9</f>
        <v>0.31578947368421051</v>
      </c>
      <c r="D10" s="28">
        <f t="shared" si="2"/>
        <v>0.31578947368421051</v>
      </c>
      <c r="E10" s="28">
        <f t="shared" si="2"/>
        <v>0.15789473684210525</v>
      </c>
      <c r="F10" s="39"/>
      <c r="G10" s="18"/>
    </row>
    <row r="12" spans="1:8" x14ac:dyDescent="0.25">
      <c r="A12" s="27" t="s">
        <v>45</v>
      </c>
      <c r="B12" s="2"/>
      <c r="C12" s="2"/>
      <c r="D12" s="2"/>
      <c r="E12" s="2"/>
      <c r="F12" s="2"/>
      <c r="G12" s="2"/>
      <c r="H12" s="2"/>
    </row>
    <row r="13" spans="1:8" x14ac:dyDescent="0.25">
      <c r="A13" s="24"/>
      <c r="B13" s="1"/>
      <c r="C13" s="1"/>
      <c r="D13" s="1"/>
      <c r="E13" s="1"/>
      <c r="F13" s="1"/>
      <c r="G13" s="14" t="s">
        <v>47</v>
      </c>
      <c r="H13" s="1"/>
    </row>
    <row r="14" spans="1:8" x14ac:dyDescent="0.25">
      <c r="A14" s="33" t="s">
        <v>46</v>
      </c>
      <c r="B14" s="23">
        <f>B5*B10</f>
        <v>0</v>
      </c>
      <c r="C14" s="42">
        <f t="shared" ref="C14:E14" si="3">C5*C10</f>
        <v>0.31578947368421051</v>
      </c>
      <c r="D14" s="42">
        <f t="shared" si="3"/>
        <v>0.63157894736842102</v>
      </c>
      <c r="E14" s="45">
        <f t="shared" si="3"/>
        <v>0.47368421052631576</v>
      </c>
      <c r="F14" s="40"/>
      <c r="G14" s="42">
        <f>SUM(B14:F14)</f>
        <v>1.4210526315789473</v>
      </c>
      <c r="H14" s="1" t="s">
        <v>48</v>
      </c>
    </row>
    <row r="15" spans="1:8" x14ac:dyDescent="0.25">
      <c r="A15" s="27" t="s">
        <v>49</v>
      </c>
      <c r="B15" s="2"/>
      <c r="C15" s="2"/>
      <c r="D15" s="2"/>
      <c r="E15" s="2"/>
      <c r="F15" s="2"/>
      <c r="G15" s="2"/>
      <c r="H15" s="2"/>
    </row>
    <row r="16" spans="1:8" x14ac:dyDescent="0.25">
      <c r="A16" s="23" t="s">
        <v>51</v>
      </c>
      <c r="B16" s="23">
        <v>0</v>
      </c>
      <c r="C16" s="23">
        <v>0</v>
      </c>
      <c r="D16" s="23">
        <f>D5-B1</f>
        <v>1</v>
      </c>
      <c r="E16" s="37">
        <f>E5-B1</f>
        <v>2</v>
      </c>
      <c r="F16" s="44"/>
      <c r="G16" s="43" t="s">
        <v>47</v>
      </c>
      <c r="H16" s="1"/>
    </row>
    <row r="17" spans="1:8" x14ac:dyDescent="0.25">
      <c r="A17" s="23" t="s">
        <v>50</v>
      </c>
      <c r="B17" s="23">
        <f>B16*B10</f>
        <v>0</v>
      </c>
      <c r="C17" s="23">
        <f t="shared" ref="C17:E17" si="4">C16*C10</f>
        <v>0</v>
      </c>
      <c r="D17" s="42">
        <f t="shared" si="4"/>
        <v>0.31578947368421051</v>
      </c>
      <c r="E17" s="45">
        <f t="shared" si="4"/>
        <v>0.31578947368421051</v>
      </c>
      <c r="F17" s="44"/>
      <c r="G17" s="41">
        <f>SUM(B17:F17)</f>
        <v>0.63157894736842102</v>
      </c>
      <c r="H17" s="1" t="s">
        <v>48</v>
      </c>
    </row>
    <row r="18" spans="1:8" x14ac:dyDescent="0.25">
      <c r="A18" s="23" t="s">
        <v>52</v>
      </c>
      <c r="B18" s="42">
        <f>B6*B10</f>
        <v>0.63157894736842102</v>
      </c>
      <c r="C18" s="42">
        <f t="shared" ref="C18:E18" si="5">C6*C10</f>
        <v>0.63157894736842102</v>
      </c>
      <c r="D18" s="42">
        <f t="shared" si="5"/>
        <v>0.31578947368421051</v>
      </c>
      <c r="E18" s="37">
        <f t="shared" si="5"/>
        <v>0</v>
      </c>
      <c r="F18" s="44"/>
      <c r="G18" s="41">
        <f>SUM(B18:F18)</f>
        <v>1.5789473684210527</v>
      </c>
      <c r="H18" s="1" t="s">
        <v>71</v>
      </c>
    </row>
    <row r="19" spans="1:8" x14ac:dyDescent="0.25">
      <c r="A19" s="1" t="s">
        <v>53</v>
      </c>
      <c r="B19" s="1"/>
      <c r="C19" s="1"/>
      <c r="D19" s="1"/>
      <c r="E19" s="1"/>
      <c r="F19" s="1"/>
      <c r="G19" s="42">
        <f>B3-G18</f>
        <v>1.4210526315789473</v>
      </c>
      <c r="H19" s="1" t="s">
        <v>71</v>
      </c>
    </row>
    <row r="20" spans="1:8" x14ac:dyDescent="0.25">
      <c r="A20" s="31" t="s">
        <v>54</v>
      </c>
      <c r="B20" s="23">
        <v>1000</v>
      </c>
      <c r="C20" s="23" t="s">
        <v>55</v>
      </c>
      <c r="D20" s="23"/>
      <c r="E20" s="1"/>
      <c r="F20" s="1"/>
      <c r="G20" s="1"/>
      <c r="H20" s="1"/>
    </row>
    <row r="21" spans="1:8" x14ac:dyDescent="0.25">
      <c r="A21" s="31" t="s">
        <v>56</v>
      </c>
      <c r="B21" s="23"/>
      <c r="C21" s="23">
        <f>G18*B20</f>
        <v>1578.9473684210527</v>
      </c>
      <c r="D21" s="23" t="s">
        <v>72</v>
      </c>
      <c r="E21" s="23">
        <f>C21*60</f>
        <v>94736.84210526316</v>
      </c>
      <c r="F21" s="23" t="s">
        <v>58</v>
      </c>
      <c r="G21" s="23">
        <f>E21*10</f>
        <v>947368.42105263157</v>
      </c>
      <c r="H21" s="23" t="s">
        <v>73</v>
      </c>
    </row>
    <row r="22" spans="1:8" x14ac:dyDescent="0.25">
      <c r="A22" s="31" t="s">
        <v>57</v>
      </c>
      <c r="B22" s="23"/>
      <c r="C22" s="23">
        <f>G19*B20</f>
        <v>1421.0526315789473</v>
      </c>
      <c r="D22" s="23" t="s">
        <v>72</v>
      </c>
      <c r="E22" s="23">
        <f>C22*60</f>
        <v>85263.15789473684</v>
      </c>
      <c r="F22" s="23" t="s">
        <v>58</v>
      </c>
      <c r="G22" s="23">
        <f>E22*10</f>
        <v>852631.57894736843</v>
      </c>
      <c r="H22" s="23" t="s">
        <v>73</v>
      </c>
    </row>
    <row r="23" spans="1:8" x14ac:dyDescent="0.25">
      <c r="A23" s="32" t="s">
        <v>59</v>
      </c>
      <c r="B23" s="2"/>
      <c r="C23" s="2"/>
      <c r="D23" s="2"/>
      <c r="E23" s="2"/>
      <c r="F23" s="2"/>
      <c r="G23" s="2"/>
      <c r="H23" s="2"/>
    </row>
    <row r="24" spans="1:8" x14ac:dyDescent="0.25">
      <c r="A24" s="25" t="s">
        <v>41</v>
      </c>
      <c r="B24" s="26">
        <v>0</v>
      </c>
      <c r="C24" s="26">
        <v>1</v>
      </c>
      <c r="D24" s="26">
        <v>2</v>
      </c>
      <c r="E24" s="46">
        <v>3</v>
      </c>
      <c r="F24" s="40"/>
      <c r="G24" s="1"/>
      <c r="H24" s="1"/>
    </row>
    <row r="25" spans="1:8" x14ac:dyDescent="0.25">
      <c r="A25" s="23" t="s">
        <v>60</v>
      </c>
      <c r="B25" s="23">
        <f>B2</f>
        <v>30</v>
      </c>
      <c r="C25" s="23">
        <f>B2*2</f>
        <v>60</v>
      </c>
      <c r="D25" s="23">
        <f>3*B2</f>
        <v>90</v>
      </c>
      <c r="E25" s="37">
        <v>0</v>
      </c>
      <c r="F25" s="44"/>
      <c r="G25" s="43" t="s">
        <v>47</v>
      </c>
      <c r="H25" s="1"/>
    </row>
    <row r="26" spans="1:8" x14ac:dyDescent="0.25">
      <c r="A26" s="23" t="s">
        <v>61</v>
      </c>
      <c r="B26" s="42">
        <f>B25*B10</f>
        <v>6.3157894736842106</v>
      </c>
      <c r="C26" s="42">
        <f t="shared" ref="C26:E26" si="6">C25*C10</f>
        <v>18.94736842105263</v>
      </c>
      <c r="D26" s="42">
        <f t="shared" si="6"/>
        <v>28.421052631578945</v>
      </c>
      <c r="E26" s="37">
        <f t="shared" si="6"/>
        <v>0</v>
      </c>
      <c r="F26" s="44"/>
      <c r="G26" s="41">
        <f>SUM(B26:F26)</f>
        <v>53.684210526315788</v>
      </c>
      <c r="H26" s="1" t="s">
        <v>65</v>
      </c>
    </row>
    <row r="27" spans="1:8" x14ac:dyDescent="0.25">
      <c r="A27" s="2" t="s">
        <v>62</v>
      </c>
      <c r="B27" s="2"/>
      <c r="C27" s="2"/>
      <c r="D27" s="2"/>
      <c r="E27" s="2"/>
      <c r="F27" s="2"/>
      <c r="G27" s="2"/>
      <c r="H27" s="2"/>
    </row>
    <row r="28" spans="1:8" x14ac:dyDescent="0.25">
      <c r="A28" s="47" t="s">
        <v>63</v>
      </c>
      <c r="B28" s="47">
        <f>B25-$B$2</f>
        <v>0</v>
      </c>
      <c r="C28" s="47">
        <f t="shared" ref="C28:D28" si="7">C25-$B$2</f>
        <v>30</v>
      </c>
      <c r="D28" s="6">
        <f t="shared" si="7"/>
        <v>60</v>
      </c>
      <c r="E28" s="40"/>
      <c r="F28" s="22"/>
      <c r="G28" s="43" t="s">
        <v>47</v>
      </c>
      <c r="H28" s="1"/>
    </row>
    <row r="29" spans="1:8" x14ac:dyDescent="0.25">
      <c r="A29" s="23" t="s">
        <v>64</v>
      </c>
      <c r="B29" s="23">
        <f>B28*B10</f>
        <v>0</v>
      </c>
      <c r="C29" s="23">
        <f t="shared" ref="C29:D29" si="8">C28*C10</f>
        <v>9.473684210526315</v>
      </c>
      <c r="D29" s="23">
        <f t="shared" si="8"/>
        <v>18.94736842105263</v>
      </c>
      <c r="E29" s="21"/>
      <c r="F29" s="22"/>
      <c r="G29" s="48">
        <f>SUM(B29:F29)</f>
        <v>28.421052631578945</v>
      </c>
      <c r="H29" s="1" t="s">
        <v>65</v>
      </c>
    </row>
    <row r="30" spans="1:8" x14ac:dyDescent="0.25">
      <c r="A30" s="49" t="s">
        <v>74</v>
      </c>
      <c r="B30" s="49"/>
      <c r="C30" s="49"/>
      <c r="D30" s="49"/>
      <c r="E30" s="49"/>
      <c r="F30" s="49"/>
      <c r="G30" s="49"/>
      <c r="H30" s="49"/>
    </row>
    <row r="31" spans="1:8" x14ac:dyDescent="0.25">
      <c r="A31" s="23" t="s">
        <v>57</v>
      </c>
      <c r="B31" s="36"/>
      <c r="C31" s="23">
        <v>1421.0526315789473</v>
      </c>
      <c r="D31" s="23" t="s">
        <v>72</v>
      </c>
      <c r="E31" s="23">
        <v>85263.15789473684</v>
      </c>
      <c r="F31" s="23" t="s">
        <v>58</v>
      </c>
      <c r="G31" s="23">
        <v>852631.57894736843</v>
      </c>
      <c r="H31" s="23" t="s">
        <v>73</v>
      </c>
    </row>
    <row r="32" spans="1:8" x14ac:dyDescent="0.25">
      <c r="A32" s="18"/>
      <c r="B32" s="18"/>
      <c r="C32" s="18"/>
      <c r="D32" s="18"/>
      <c r="E32" s="18"/>
      <c r="F32" s="18"/>
      <c r="G32" s="18"/>
      <c r="H32" s="18"/>
    </row>
    <row r="33" spans="1:8" x14ac:dyDescent="0.25">
      <c r="A33" s="18"/>
      <c r="B33" s="19"/>
      <c r="C33" s="18"/>
      <c r="D33" s="18"/>
      <c r="E33" s="18"/>
      <c r="F33" s="18"/>
      <c r="G33" s="18"/>
      <c r="H3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22" sqref="B22"/>
    </sheetView>
  </sheetViews>
  <sheetFormatPr baseColWidth="10" defaultRowHeight="15" x14ac:dyDescent="0.25"/>
  <cols>
    <col min="1" max="1" width="11.85546875" customWidth="1"/>
    <col min="2" max="2" width="15" customWidth="1"/>
    <col min="3" max="3" width="12.5703125" customWidth="1"/>
    <col min="4" max="4" width="7" customWidth="1"/>
    <col min="5" max="5" width="6.85546875" customWidth="1"/>
    <col min="6" max="6" width="6.5703125" customWidth="1"/>
    <col min="7" max="7" width="6.140625" customWidth="1"/>
    <col min="8" max="8" width="6.42578125" customWidth="1"/>
    <col min="9" max="9" width="6.5703125" customWidth="1"/>
    <col min="10" max="10" width="6.42578125" customWidth="1"/>
    <col min="11" max="12" width="6.5703125" customWidth="1"/>
  </cols>
  <sheetData>
    <row r="1" spans="1:12" ht="15" customHeight="1" x14ac:dyDescent="0.25">
      <c r="A1" s="82" t="s">
        <v>75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x14ac:dyDescent="0.25">
      <c r="A2" s="21" t="s">
        <v>37</v>
      </c>
      <c r="B2" s="51">
        <v>1</v>
      </c>
      <c r="C2" s="2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1" t="s">
        <v>38</v>
      </c>
      <c r="B3" s="51">
        <v>2</v>
      </c>
      <c r="C3" s="21" t="s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4" t="s">
        <v>5</v>
      </c>
      <c r="B4" s="51">
        <v>24</v>
      </c>
      <c r="C4" s="21" t="s">
        <v>36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4" t="s">
        <v>24</v>
      </c>
      <c r="B5" s="51">
        <f>60/B3</f>
        <v>30</v>
      </c>
      <c r="C5" s="21" t="s">
        <v>36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21" t="s">
        <v>76</v>
      </c>
      <c r="B6" s="51">
        <f>B4/B5</f>
        <v>0.8</v>
      </c>
      <c r="C6" s="21" t="s">
        <v>77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1" t="s">
        <v>78</v>
      </c>
      <c r="B7" s="52">
        <f>1-B6</f>
        <v>0.19999999999999996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8"/>
      <c r="B8" s="80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25">
      <c r="A9" s="54" t="s">
        <v>8</v>
      </c>
      <c r="B9" s="54">
        <v>0</v>
      </c>
      <c r="C9" s="54">
        <v>1</v>
      </c>
      <c r="D9" s="54">
        <v>2</v>
      </c>
      <c r="E9" s="54">
        <v>3</v>
      </c>
      <c r="F9" s="54">
        <v>4</v>
      </c>
      <c r="G9" s="54">
        <v>5</v>
      </c>
      <c r="H9" s="54">
        <v>6</v>
      </c>
      <c r="I9" s="54">
        <v>7</v>
      </c>
      <c r="J9" s="54">
        <v>8</v>
      </c>
      <c r="K9" s="54">
        <v>9</v>
      </c>
      <c r="L9" s="53">
        <v>10</v>
      </c>
    </row>
    <row r="10" spans="1:12" x14ac:dyDescent="0.25">
      <c r="A10" s="26" t="s">
        <v>43</v>
      </c>
      <c r="B10" s="23">
        <f>B7</f>
        <v>0.19999999999999996</v>
      </c>
      <c r="C10" s="42">
        <f>$B$10*$B$6^C9</f>
        <v>0.15999999999999998</v>
      </c>
      <c r="D10" s="42">
        <f t="shared" ref="D10:L10" si="0">$B$10*$B$6^D9</f>
        <v>0.128</v>
      </c>
      <c r="E10" s="42">
        <f t="shared" si="0"/>
        <v>0.1024</v>
      </c>
      <c r="F10" s="42">
        <f t="shared" si="0"/>
        <v>8.1920000000000021E-2</v>
      </c>
      <c r="G10" s="42">
        <f t="shared" si="0"/>
        <v>6.5536000000000025E-2</v>
      </c>
      <c r="H10" s="42">
        <f t="shared" si="0"/>
        <v>5.2428800000000018E-2</v>
      </c>
      <c r="I10" s="42">
        <f t="shared" si="0"/>
        <v>4.1943040000000022E-2</v>
      </c>
      <c r="J10" s="42">
        <f t="shared" si="0"/>
        <v>3.3554432000000023E-2</v>
      </c>
      <c r="K10" s="42">
        <f t="shared" si="0"/>
        <v>2.6843545600000018E-2</v>
      </c>
      <c r="L10" s="42">
        <f t="shared" si="0"/>
        <v>2.147483648000002E-2</v>
      </c>
    </row>
    <row r="11" spans="1:12" x14ac:dyDescent="0.25">
      <c r="A11" s="26" t="s">
        <v>44</v>
      </c>
      <c r="B11" s="28">
        <f>B10</f>
        <v>0.19999999999999996</v>
      </c>
      <c r="C11" s="28">
        <f t="shared" ref="C11:L11" si="1">C10</f>
        <v>0.15999999999999998</v>
      </c>
      <c r="D11" s="28">
        <f t="shared" si="1"/>
        <v>0.128</v>
      </c>
      <c r="E11" s="28">
        <f t="shared" si="1"/>
        <v>0.1024</v>
      </c>
      <c r="F11" s="28">
        <f t="shared" si="1"/>
        <v>8.1920000000000021E-2</v>
      </c>
      <c r="G11" s="28">
        <f t="shared" si="1"/>
        <v>6.5536000000000025E-2</v>
      </c>
      <c r="H11" s="28">
        <f t="shared" si="1"/>
        <v>5.2428800000000018E-2</v>
      </c>
      <c r="I11" s="28">
        <f t="shared" si="1"/>
        <v>4.1943040000000022E-2</v>
      </c>
      <c r="J11" s="28">
        <f t="shared" si="1"/>
        <v>3.3554432000000023E-2</v>
      </c>
      <c r="K11" s="28">
        <f t="shared" si="1"/>
        <v>2.6843545600000018E-2</v>
      </c>
      <c r="L11" s="28">
        <f t="shared" si="1"/>
        <v>2.147483648000002E-2</v>
      </c>
    </row>
    <row r="13" spans="1:12" x14ac:dyDescent="0.25">
      <c r="A13" s="26" t="s">
        <v>46</v>
      </c>
      <c r="B13" s="55">
        <f>B6/B7</f>
        <v>4.0000000000000009</v>
      </c>
      <c r="C13" s="56" t="s">
        <v>79</v>
      </c>
      <c r="D13" s="52"/>
      <c r="E13" s="52"/>
      <c r="F13" s="1"/>
      <c r="G13" s="1"/>
      <c r="H13" s="1"/>
      <c r="I13" s="1"/>
      <c r="J13" s="1"/>
      <c r="K13" s="1"/>
      <c r="L13" s="1"/>
    </row>
    <row r="14" spans="1:12" x14ac:dyDescent="0.25">
      <c r="A14" s="26" t="s">
        <v>50</v>
      </c>
      <c r="B14" s="56">
        <f>B6^2/B7</f>
        <v>3.2000000000000015</v>
      </c>
      <c r="C14" s="56" t="s">
        <v>79</v>
      </c>
      <c r="D14" s="52"/>
      <c r="E14" s="52"/>
      <c r="F14" s="1"/>
      <c r="G14" s="1"/>
      <c r="H14" s="1"/>
      <c r="I14" s="1"/>
      <c r="J14" s="1"/>
      <c r="K14" s="1"/>
      <c r="L14" s="1"/>
    </row>
    <row r="15" spans="1:12" x14ac:dyDescent="0.25">
      <c r="A15" s="26" t="s">
        <v>80</v>
      </c>
      <c r="B15" s="55">
        <f>B13/B4</f>
        <v>0.16666666666666671</v>
      </c>
      <c r="C15" s="56" t="s">
        <v>4</v>
      </c>
      <c r="D15" s="56">
        <f>B15*60</f>
        <v>10.000000000000004</v>
      </c>
      <c r="E15" s="56" t="s">
        <v>65</v>
      </c>
      <c r="F15" s="1"/>
      <c r="G15" s="1"/>
      <c r="H15" s="1"/>
      <c r="I15" s="1"/>
      <c r="J15" s="1"/>
      <c r="K15" s="1"/>
      <c r="L15" s="1"/>
    </row>
    <row r="16" spans="1:12" x14ac:dyDescent="0.25">
      <c r="A16" s="26" t="s">
        <v>64</v>
      </c>
      <c r="B16" s="55">
        <f>B14/B4</f>
        <v>0.13333333333333339</v>
      </c>
      <c r="C16" s="56" t="s">
        <v>4</v>
      </c>
      <c r="D16" s="56">
        <f>B16*60</f>
        <v>8.0000000000000036</v>
      </c>
      <c r="E16" s="56" t="s">
        <v>65</v>
      </c>
      <c r="F16" s="1"/>
      <c r="G16" s="1"/>
      <c r="H16" s="1"/>
      <c r="I16" s="1"/>
      <c r="J16" s="1"/>
      <c r="K16" s="1"/>
      <c r="L16" s="1"/>
    </row>
    <row r="18" spans="1:12" x14ac:dyDescent="0.25">
      <c r="A18" s="49" t="s">
        <v>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1" t="s">
        <v>83</v>
      </c>
      <c r="B19" s="1" t="s">
        <v>82</v>
      </c>
      <c r="C19" s="1"/>
      <c r="D19" s="57">
        <f>1-SUM(B11:G11)</f>
        <v>0.26214400000000004</v>
      </c>
      <c r="E19" s="1"/>
      <c r="F19" s="1"/>
      <c r="G19" s="1"/>
      <c r="H19" s="1"/>
      <c r="I19" s="1"/>
      <c r="J19" s="1"/>
      <c r="K19" s="1"/>
      <c r="L19" s="1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B7" sqref="B7"/>
    </sheetView>
  </sheetViews>
  <sheetFormatPr baseColWidth="10" defaultRowHeight="15" x14ac:dyDescent="0.25"/>
  <cols>
    <col min="1" max="1" width="24.140625" customWidth="1"/>
    <col min="4" max="4" width="11.42578125" customWidth="1"/>
  </cols>
  <sheetData>
    <row r="1" spans="1:12" ht="15" customHeight="1" x14ac:dyDescent="0.25">
      <c r="A1" s="82" t="s">
        <v>84</v>
      </c>
      <c r="B1" s="82"/>
      <c r="C1" s="82"/>
      <c r="D1" s="82"/>
      <c r="E1" s="82"/>
      <c r="F1" s="82"/>
      <c r="G1" s="82"/>
      <c r="H1" s="66"/>
      <c r="I1" s="66"/>
      <c r="J1" s="66"/>
      <c r="K1" s="66"/>
      <c r="L1" s="66"/>
    </row>
    <row r="2" spans="1:12" ht="15" customHeight="1" x14ac:dyDescent="0.25">
      <c r="A2" s="59" t="s">
        <v>85</v>
      </c>
      <c r="B2" s="58">
        <v>4</v>
      </c>
      <c r="C2" s="58"/>
      <c r="D2" s="58"/>
      <c r="E2" s="58"/>
      <c r="F2" s="58"/>
      <c r="G2" s="58"/>
      <c r="H2" s="67"/>
      <c r="I2" s="67"/>
      <c r="J2" s="67"/>
      <c r="K2" s="67"/>
      <c r="L2" s="67"/>
    </row>
    <row r="3" spans="1:12" x14ac:dyDescent="0.25">
      <c r="A3" s="50" t="s">
        <v>37</v>
      </c>
      <c r="B3" s="51">
        <v>1</v>
      </c>
      <c r="C3" s="21"/>
      <c r="D3" s="1"/>
      <c r="E3" s="1"/>
      <c r="F3" s="1"/>
      <c r="G3" s="1"/>
      <c r="H3" s="4"/>
      <c r="I3" s="4"/>
      <c r="J3" s="4"/>
      <c r="K3" s="4"/>
      <c r="L3" s="4"/>
    </row>
    <row r="4" spans="1:12" x14ac:dyDescent="0.25">
      <c r="A4" s="50" t="s">
        <v>38</v>
      </c>
      <c r="B4" s="51">
        <v>2</v>
      </c>
      <c r="C4" s="21" t="s">
        <v>1</v>
      </c>
      <c r="D4" s="1"/>
      <c r="E4" s="1"/>
      <c r="F4" s="1"/>
      <c r="G4" s="1"/>
      <c r="H4" s="4"/>
      <c r="I4" s="4"/>
      <c r="J4" s="4"/>
      <c r="K4" s="4"/>
      <c r="L4" s="4"/>
    </row>
    <row r="5" spans="1:12" x14ac:dyDescent="0.25">
      <c r="A5" s="60" t="s">
        <v>5</v>
      </c>
      <c r="B5" s="51">
        <v>10</v>
      </c>
      <c r="C5" s="21" t="s">
        <v>86</v>
      </c>
      <c r="D5" s="1"/>
      <c r="E5" s="1"/>
      <c r="F5" s="1"/>
      <c r="G5" s="1"/>
      <c r="H5" s="4"/>
      <c r="I5" s="4"/>
      <c r="J5" s="4"/>
      <c r="K5" s="4"/>
      <c r="L5" s="4"/>
    </row>
    <row r="6" spans="1:12" x14ac:dyDescent="0.25">
      <c r="A6" s="60" t="s">
        <v>24</v>
      </c>
      <c r="B6" s="51">
        <f>60/B4</f>
        <v>30</v>
      </c>
      <c r="C6" s="21" t="s">
        <v>86</v>
      </c>
      <c r="D6" s="1"/>
      <c r="E6" s="1"/>
      <c r="F6" s="1"/>
      <c r="G6" s="1"/>
      <c r="H6" s="4"/>
      <c r="I6" s="4"/>
      <c r="J6" s="4"/>
      <c r="K6" s="4"/>
      <c r="L6" s="4"/>
    </row>
    <row r="7" spans="1:12" x14ac:dyDescent="0.25">
      <c r="A7" s="50" t="s">
        <v>76</v>
      </c>
      <c r="B7" s="61">
        <f>B5/B6</f>
        <v>0.33333333333333331</v>
      </c>
      <c r="C7" s="21" t="s">
        <v>77</v>
      </c>
      <c r="D7" s="1"/>
      <c r="E7" s="1"/>
      <c r="F7" s="1"/>
      <c r="G7" s="1"/>
      <c r="H7" s="4"/>
      <c r="I7" s="4"/>
      <c r="J7" s="4"/>
      <c r="K7" s="4"/>
      <c r="L7" s="4"/>
    </row>
    <row r="8" spans="1:12" s="4" customFormat="1" x14ac:dyDescent="0.25">
      <c r="A8" s="62"/>
      <c r="B8" s="63"/>
    </row>
    <row r="9" spans="1:12" x14ac:dyDescent="0.25">
      <c r="A9" s="64" t="s">
        <v>8</v>
      </c>
      <c r="B9" s="26">
        <v>0</v>
      </c>
      <c r="C9" s="26">
        <v>1</v>
      </c>
      <c r="D9" s="26">
        <v>2</v>
      </c>
      <c r="E9" s="26">
        <v>3</v>
      </c>
      <c r="F9" s="26">
        <v>4</v>
      </c>
      <c r="G9" s="2" t="s">
        <v>88</v>
      </c>
    </row>
    <row r="10" spans="1:12" x14ac:dyDescent="0.25">
      <c r="A10" s="64" t="s">
        <v>87</v>
      </c>
      <c r="B10" s="42">
        <f>(1-B7)/(1-B7^(B2+1))</f>
        <v>0.66942148760330589</v>
      </c>
      <c r="C10" s="42">
        <f>$B$10*$B$7^C9</f>
        <v>0.22314049586776863</v>
      </c>
      <c r="D10" s="42">
        <f t="shared" ref="D10:F10" si="0">$B$10*$B$7^D9</f>
        <v>7.43801652892562E-2</v>
      </c>
      <c r="E10" s="42">
        <f t="shared" si="0"/>
        <v>2.4793388429752067E-2</v>
      </c>
      <c r="F10" s="42">
        <f t="shared" si="0"/>
        <v>8.2644628099173556E-3</v>
      </c>
      <c r="G10" s="42">
        <f>SUM(B10:F10)</f>
        <v>1.0000000000000002</v>
      </c>
    </row>
    <row r="11" spans="1:12" x14ac:dyDescent="0.25">
      <c r="A11" s="26" t="s">
        <v>44</v>
      </c>
      <c r="B11" s="28">
        <f>B10</f>
        <v>0.66942148760330589</v>
      </c>
      <c r="C11" s="28">
        <f t="shared" ref="C11:F11" si="1">C10</f>
        <v>0.22314049586776863</v>
      </c>
      <c r="D11" s="28">
        <f t="shared" si="1"/>
        <v>7.43801652892562E-2</v>
      </c>
      <c r="E11" s="28">
        <f t="shared" si="1"/>
        <v>2.4793388429752067E-2</v>
      </c>
      <c r="F11" s="28">
        <f t="shared" si="1"/>
        <v>8.2644628099173556E-3</v>
      </c>
      <c r="G11" s="36">
        <f>SUM(B11:F11)</f>
        <v>1.0000000000000002</v>
      </c>
    </row>
    <row r="13" spans="1:12" x14ac:dyDescent="0.25">
      <c r="A13" s="26" t="s">
        <v>89</v>
      </c>
      <c r="B13" s="42">
        <f>B5*(1-F10)</f>
        <v>9.9173553719008272</v>
      </c>
      <c r="C13" s="23" t="s">
        <v>86</v>
      </c>
      <c r="D13" s="1"/>
      <c r="E13" s="1"/>
      <c r="F13" s="1"/>
      <c r="G13" s="1"/>
    </row>
    <row r="14" spans="1:12" x14ac:dyDescent="0.25">
      <c r="A14" s="26" t="s">
        <v>46</v>
      </c>
      <c r="B14" s="42">
        <f>(B7*(1-(B2+1)*B7^B2+B2*B7^(B2+1)))/((1-B7)*(1-B7^(B2+1)))</f>
        <v>0.47933884297520651</v>
      </c>
      <c r="C14" s="23" t="s">
        <v>90</v>
      </c>
      <c r="D14" s="1"/>
      <c r="E14" s="1"/>
      <c r="F14" s="1"/>
      <c r="G14" s="1"/>
    </row>
    <row r="15" spans="1:12" x14ac:dyDescent="0.25">
      <c r="A15" s="26" t="s">
        <v>50</v>
      </c>
      <c r="B15" s="42">
        <f>B14-(1-B10)</f>
        <v>0.1487603305785124</v>
      </c>
      <c r="C15" s="23" t="s">
        <v>90</v>
      </c>
      <c r="D15" s="1"/>
      <c r="E15" s="1"/>
      <c r="F15" s="1"/>
      <c r="G15" s="1"/>
    </row>
    <row r="16" spans="1:12" x14ac:dyDescent="0.25">
      <c r="A16" s="26" t="s">
        <v>80</v>
      </c>
      <c r="B16" s="65">
        <f>B14/B13</f>
        <v>4.8333333333333318E-2</v>
      </c>
      <c r="C16" s="23" t="s">
        <v>4</v>
      </c>
      <c r="D16" s="23">
        <f>B16*60</f>
        <v>2.899999999999999</v>
      </c>
      <c r="E16" s="23" t="s">
        <v>65</v>
      </c>
      <c r="F16" s="1"/>
      <c r="G16" s="1"/>
    </row>
    <row r="17" spans="1:7" x14ac:dyDescent="0.25">
      <c r="A17" s="26" t="s">
        <v>64</v>
      </c>
      <c r="B17" s="23">
        <f>B15/B13</f>
        <v>1.4999999999999999E-2</v>
      </c>
      <c r="C17" s="23" t="s">
        <v>4</v>
      </c>
      <c r="D17" s="23">
        <f>B17*60</f>
        <v>0.89999999999999991</v>
      </c>
      <c r="E17" s="23" t="s">
        <v>65</v>
      </c>
      <c r="F17" s="1"/>
      <c r="G17" s="1"/>
    </row>
    <row r="19" spans="1:7" x14ac:dyDescent="0.25">
      <c r="A19" s="26" t="s">
        <v>54</v>
      </c>
      <c r="B19" s="23">
        <v>300</v>
      </c>
      <c r="C19" s="23" t="s">
        <v>55</v>
      </c>
      <c r="D19" s="1"/>
      <c r="E19" s="1"/>
      <c r="F19" s="1"/>
      <c r="G19" s="1"/>
    </row>
    <row r="20" spans="1:7" x14ac:dyDescent="0.25">
      <c r="A20" s="26" t="s">
        <v>91</v>
      </c>
      <c r="B20" s="42">
        <f>B19*B13</f>
        <v>2975.2066115702482</v>
      </c>
      <c r="C20" s="23" t="s">
        <v>58</v>
      </c>
      <c r="D20" s="1"/>
      <c r="E20" s="1"/>
      <c r="F20" s="1"/>
      <c r="G20" s="1"/>
    </row>
    <row r="21" spans="1:7" x14ac:dyDescent="0.25">
      <c r="A21" s="26" t="s">
        <v>92</v>
      </c>
      <c r="B21" s="23">
        <f>B20*10</f>
        <v>29752.066115702481</v>
      </c>
      <c r="C21" s="23" t="s">
        <v>95</v>
      </c>
      <c r="D21" s="1"/>
      <c r="E21" s="1"/>
      <c r="F21" s="1"/>
      <c r="G21" s="1"/>
    </row>
    <row r="22" spans="1:7" x14ac:dyDescent="0.25">
      <c r="A22" s="26" t="s">
        <v>93</v>
      </c>
      <c r="B22" s="42">
        <f>B5-B13</f>
        <v>8.2644628099172834E-2</v>
      </c>
      <c r="C22" s="23"/>
      <c r="D22" s="1"/>
      <c r="E22" s="1"/>
      <c r="F22" s="1"/>
      <c r="G22" s="1"/>
    </row>
    <row r="23" spans="1:7" x14ac:dyDescent="0.25">
      <c r="A23" s="26" t="s">
        <v>94</v>
      </c>
      <c r="B23" s="42">
        <f>B19*B22</f>
        <v>24.79338842975185</v>
      </c>
      <c r="C23" s="23" t="s">
        <v>58</v>
      </c>
      <c r="D23" s="1"/>
      <c r="E23" s="1"/>
      <c r="F23" s="1"/>
      <c r="G23" s="1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5" sqref="B5"/>
    </sheetView>
  </sheetViews>
  <sheetFormatPr baseColWidth="10" defaultRowHeight="15" x14ac:dyDescent="0.25"/>
  <cols>
    <col min="1" max="1" width="14" customWidth="1"/>
  </cols>
  <sheetData>
    <row r="1" spans="1:12" x14ac:dyDescent="0.25">
      <c r="A1" s="84" t="s">
        <v>96</v>
      </c>
      <c r="B1" s="84"/>
      <c r="C1" s="84"/>
      <c r="D1" s="84"/>
      <c r="E1" s="84"/>
      <c r="F1" s="84"/>
      <c r="G1" s="84"/>
      <c r="H1" s="84"/>
      <c r="I1" s="84"/>
      <c r="J1" s="78"/>
      <c r="K1" s="78"/>
      <c r="L1" s="78"/>
    </row>
    <row r="2" spans="1:12" x14ac:dyDescent="0.25">
      <c r="A2" s="52" t="s">
        <v>37</v>
      </c>
      <c r="B2" s="1">
        <v>2</v>
      </c>
      <c r="C2" s="1"/>
      <c r="D2" s="1"/>
      <c r="E2" s="1"/>
      <c r="F2" s="1"/>
      <c r="G2" s="1"/>
      <c r="H2" s="1"/>
      <c r="I2" s="1"/>
      <c r="J2" s="4"/>
      <c r="K2" s="4"/>
      <c r="L2" s="4"/>
    </row>
    <row r="3" spans="1:12" x14ac:dyDescent="0.25">
      <c r="A3" s="74" t="s">
        <v>5</v>
      </c>
      <c r="B3" s="1">
        <v>100</v>
      </c>
      <c r="C3" s="1" t="s">
        <v>97</v>
      </c>
      <c r="D3" s="1"/>
      <c r="E3" s="1"/>
      <c r="F3" s="1"/>
      <c r="G3" s="1"/>
      <c r="H3" s="1"/>
      <c r="I3" s="1"/>
      <c r="J3" s="4"/>
      <c r="K3" s="83"/>
      <c r="L3" s="83"/>
    </row>
    <row r="4" spans="1:12" x14ac:dyDescent="0.25">
      <c r="A4" s="74" t="s">
        <v>24</v>
      </c>
      <c r="B4" s="1">
        <v>60</v>
      </c>
      <c r="C4" s="1" t="s">
        <v>97</v>
      </c>
      <c r="D4" s="1"/>
      <c r="E4" s="1"/>
      <c r="F4" s="1"/>
      <c r="G4" s="1"/>
      <c r="H4" s="1"/>
      <c r="I4" s="1"/>
      <c r="J4" s="4"/>
      <c r="K4" s="18"/>
      <c r="L4" s="18"/>
    </row>
    <row r="5" spans="1:12" x14ac:dyDescent="0.25">
      <c r="A5" s="51" t="s">
        <v>76</v>
      </c>
      <c r="B5" s="69">
        <f>B3/(B2*B4)</f>
        <v>0.83333333333333337</v>
      </c>
      <c r="C5" s="1" t="s">
        <v>77</v>
      </c>
      <c r="D5" s="1"/>
      <c r="E5" s="1"/>
      <c r="F5" s="1"/>
      <c r="G5" s="1"/>
      <c r="H5" s="1"/>
      <c r="I5" s="1"/>
      <c r="J5" s="4"/>
      <c r="K5" s="18"/>
      <c r="L5" s="18"/>
    </row>
    <row r="6" spans="1:12" x14ac:dyDescent="0.25">
      <c r="A6" s="51"/>
      <c r="B6" s="69"/>
      <c r="C6" s="1"/>
      <c r="D6" s="1"/>
      <c r="E6" s="1"/>
      <c r="F6" s="1"/>
      <c r="G6" s="1"/>
      <c r="H6" s="1"/>
      <c r="I6" s="21"/>
      <c r="J6" s="18"/>
      <c r="K6" s="4"/>
      <c r="L6" s="4"/>
    </row>
    <row r="7" spans="1:12" s="4" customFormat="1" x14ac:dyDescent="0.25">
      <c r="A7" s="75"/>
      <c r="B7" s="76"/>
      <c r="I7" s="18"/>
      <c r="J7" s="18"/>
    </row>
    <row r="8" spans="1:12" x14ac:dyDescent="0.25">
      <c r="A8" s="84" t="s">
        <v>110</v>
      </c>
      <c r="B8" s="84"/>
      <c r="C8" s="84"/>
    </row>
    <row r="9" spans="1:12" x14ac:dyDescent="0.25">
      <c r="A9" s="68" t="s">
        <v>105</v>
      </c>
      <c r="B9" s="23">
        <v>0</v>
      </c>
      <c r="C9" s="23">
        <v>1</v>
      </c>
    </row>
    <row r="10" spans="1:12" x14ac:dyDescent="0.25">
      <c r="A10" s="68" t="s">
        <v>104</v>
      </c>
      <c r="B10" s="23">
        <f>((($B$3/$B$4)^B9)/FACT(B9))</f>
        <v>1</v>
      </c>
      <c r="C10" s="42">
        <f>((($B$3/$B$4)^C9)/FACT(C9))</f>
        <v>1.6666666666666667</v>
      </c>
    </row>
    <row r="11" spans="1:12" x14ac:dyDescent="0.25">
      <c r="A11" s="68" t="s">
        <v>106</v>
      </c>
      <c r="B11" s="42">
        <f>SUM(B10:C10)</f>
        <v>2.666666666666667</v>
      </c>
      <c r="C11" s="1"/>
    </row>
    <row r="12" spans="1:12" x14ac:dyDescent="0.25">
      <c r="A12" s="68" t="s">
        <v>107</v>
      </c>
      <c r="B12" s="42">
        <f>(((B3/B4)^B2)/(FACT(B2)*(1-B5)))</f>
        <v>8.3333333333333357</v>
      </c>
      <c r="C12" s="1"/>
    </row>
    <row r="13" spans="1:12" x14ac:dyDescent="0.25">
      <c r="A13" s="68" t="s">
        <v>78</v>
      </c>
      <c r="B13" s="42">
        <f>1/(SUM(B11:B12))</f>
        <v>9.0909090909090884E-2</v>
      </c>
      <c r="C13" s="1"/>
    </row>
    <row r="15" spans="1:12" x14ac:dyDescent="0.25">
      <c r="A15" s="84" t="s">
        <v>108</v>
      </c>
      <c r="B15" s="84"/>
      <c r="C15" s="84"/>
    </row>
    <row r="16" spans="1:12" x14ac:dyDescent="0.25">
      <c r="A16" s="68" t="s">
        <v>8</v>
      </c>
      <c r="B16" s="23">
        <v>1</v>
      </c>
      <c r="C16" s="23">
        <v>2</v>
      </c>
    </row>
    <row r="17" spans="1:9" x14ac:dyDescent="0.25">
      <c r="A17" s="68" t="s">
        <v>43</v>
      </c>
      <c r="B17" s="42">
        <f>(($B$13*($B$3/$B$4)^B16)/(FACT(B16)))</f>
        <v>0.15151515151515149</v>
      </c>
      <c r="C17" s="42">
        <f>(($B$13*($B$3/$B$4)^C16)/(FACT(C16)))</f>
        <v>0.12626262626262624</v>
      </c>
    </row>
    <row r="18" spans="1:9" x14ac:dyDescent="0.25">
      <c r="A18" s="68" t="s">
        <v>44</v>
      </c>
      <c r="B18" s="28">
        <f>B17</f>
        <v>0.15151515151515149</v>
      </c>
      <c r="C18" s="28">
        <f>C17</f>
        <v>0.12626262626262624</v>
      </c>
    </row>
    <row r="20" spans="1:9" x14ac:dyDescent="0.25">
      <c r="A20" s="84" t="s">
        <v>109</v>
      </c>
      <c r="B20" s="84"/>
      <c r="C20" s="84"/>
      <c r="D20" s="84"/>
      <c r="E20" s="84"/>
      <c r="F20" s="84"/>
      <c r="G20" s="84"/>
      <c r="H20" s="84"/>
      <c r="I20" s="84"/>
    </row>
    <row r="21" spans="1:9" x14ac:dyDescent="0.25">
      <c r="A21" s="68" t="s">
        <v>8</v>
      </c>
      <c r="B21" s="23">
        <v>3</v>
      </c>
      <c r="C21" s="23">
        <v>4</v>
      </c>
      <c r="D21" s="23">
        <v>5</v>
      </c>
      <c r="E21" s="23">
        <v>6</v>
      </c>
      <c r="F21" s="23">
        <v>7</v>
      </c>
      <c r="G21" s="23">
        <v>8</v>
      </c>
      <c r="H21" s="23">
        <v>9</v>
      </c>
      <c r="I21" s="23">
        <v>10</v>
      </c>
    </row>
    <row r="22" spans="1:9" x14ac:dyDescent="0.25">
      <c r="A22" s="68" t="s">
        <v>43</v>
      </c>
      <c r="B22" s="70">
        <f>(($B$13*($B$3/$B$4)^B21)/(FACT($B$2)*$B$2^(B21-$B$2)))</f>
        <v>0.10521885521885521</v>
      </c>
      <c r="C22" s="70">
        <f t="shared" ref="C22:I22" si="0">(($B$13*($B$3/$B$4)^C21)/(FACT($B$2)*$B$2^(C21-$B$2)))</f>
        <v>8.7682379349046019E-2</v>
      </c>
      <c r="D22" s="70">
        <f t="shared" si="0"/>
        <v>7.306864945753834E-2</v>
      </c>
      <c r="E22" s="70">
        <f t="shared" si="0"/>
        <v>6.0890541214615297E-2</v>
      </c>
      <c r="F22" s="70">
        <f t="shared" si="0"/>
        <v>5.074211767884608E-2</v>
      </c>
      <c r="G22" s="70">
        <f t="shared" si="0"/>
        <v>4.2285098065705073E-2</v>
      </c>
      <c r="H22" s="70">
        <f t="shared" si="0"/>
        <v>3.5237581721420899E-2</v>
      </c>
      <c r="I22" s="70">
        <f t="shared" si="0"/>
        <v>2.9364651434517417E-2</v>
      </c>
    </row>
    <row r="23" spans="1:9" x14ac:dyDescent="0.25">
      <c r="A23" s="68" t="s">
        <v>44</v>
      </c>
      <c r="B23" s="28">
        <f>B22</f>
        <v>0.10521885521885521</v>
      </c>
      <c r="C23" s="28">
        <f t="shared" ref="C23:I23" si="1">C22</f>
        <v>8.7682379349046019E-2</v>
      </c>
      <c r="D23" s="28">
        <f t="shared" si="1"/>
        <v>7.306864945753834E-2</v>
      </c>
      <c r="E23" s="28">
        <f t="shared" si="1"/>
        <v>6.0890541214615297E-2</v>
      </c>
      <c r="F23" s="28">
        <f t="shared" si="1"/>
        <v>5.074211767884608E-2</v>
      </c>
      <c r="G23" s="28">
        <f t="shared" si="1"/>
        <v>4.2285098065705073E-2</v>
      </c>
      <c r="H23" s="28">
        <f t="shared" si="1"/>
        <v>3.5237581721420899E-2</v>
      </c>
      <c r="I23" s="28">
        <f t="shared" si="1"/>
        <v>2.9364651434517417E-2</v>
      </c>
    </row>
    <row r="25" spans="1:9" x14ac:dyDescent="0.25">
      <c r="A25" s="68" t="s">
        <v>50</v>
      </c>
      <c r="B25" s="42">
        <f>((B13*(B5^(B2+1))/(FACT(B2-1)*((B2-B5)^2))))</f>
        <v>3.8651824366110088E-2</v>
      </c>
      <c r="C25" s="56" t="s">
        <v>98</v>
      </c>
      <c r="D25" s="1"/>
      <c r="E25" s="1"/>
      <c r="F25" s="1"/>
      <c r="G25" s="1"/>
    </row>
    <row r="26" spans="1:9" x14ac:dyDescent="0.25">
      <c r="A26" s="68" t="s">
        <v>46</v>
      </c>
      <c r="B26" s="42">
        <f>B25+(B3/B4)</f>
        <v>1.7053184910327768</v>
      </c>
      <c r="C26" s="56" t="s">
        <v>98</v>
      </c>
      <c r="D26" s="1"/>
      <c r="E26" s="1"/>
      <c r="F26" s="1"/>
      <c r="G26" s="1"/>
    </row>
    <row r="27" spans="1:9" x14ac:dyDescent="0.25">
      <c r="A27" s="68" t="s">
        <v>64</v>
      </c>
      <c r="B27" s="77">
        <f>B25/B3</f>
        <v>3.8651824366110087E-4</v>
      </c>
      <c r="C27" s="56" t="s">
        <v>4</v>
      </c>
      <c r="D27" s="42">
        <f>B27*60</f>
        <v>2.3191094619666053E-2</v>
      </c>
      <c r="E27" s="56" t="s">
        <v>1</v>
      </c>
      <c r="F27" s="42">
        <f>D27*60</f>
        <v>1.3914656771799632</v>
      </c>
      <c r="G27" s="56" t="s">
        <v>70</v>
      </c>
    </row>
    <row r="28" spans="1:9" x14ac:dyDescent="0.25">
      <c r="A28" s="68" t="s">
        <v>80</v>
      </c>
      <c r="B28" s="42">
        <f>B27+(1/B4)</f>
        <v>1.7053184910327767E-2</v>
      </c>
      <c r="C28" s="56" t="s">
        <v>4</v>
      </c>
      <c r="D28" s="42">
        <f>B28*60</f>
        <v>1.0231910946196661</v>
      </c>
      <c r="E28" s="56" t="s">
        <v>1</v>
      </c>
      <c r="F28" s="42">
        <f>D28*60</f>
        <v>61.391465677179966</v>
      </c>
      <c r="G28" s="56" t="s">
        <v>70</v>
      </c>
    </row>
  </sheetData>
  <mergeCells count="5">
    <mergeCell ref="K3:L3"/>
    <mergeCell ref="A8:C8"/>
    <mergeCell ref="A15:C15"/>
    <mergeCell ref="A20:I20"/>
    <mergeCell ref="A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B6" sqref="B6"/>
    </sheetView>
  </sheetViews>
  <sheetFormatPr baseColWidth="10" defaultRowHeight="15" x14ac:dyDescent="0.25"/>
  <cols>
    <col min="3" max="3" width="13.140625" customWidth="1"/>
    <col min="6" max="6" width="11.85546875" bestFit="1" customWidth="1"/>
  </cols>
  <sheetData>
    <row r="1" spans="1:9" x14ac:dyDescent="0.25">
      <c r="A1" s="84" t="s">
        <v>99</v>
      </c>
      <c r="B1" s="84"/>
      <c r="C1" s="84"/>
      <c r="D1" s="84"/>
      <c r="E1" s="84"/>
      <c r="F1" s="84"/>
      <c r="G1" s="4"/>
    </row>
    <row r="2" spans="1:9" x14ac:dyDescent="0.25">
      <c r="A2" s="51" t="s">
        <v>37</v>
      </c>
      <c r="B2" s="21">
        <v>4</v>
      </c>
      <c r="C2" s="52"/>
      <c r="D2" s="52"/>
      <c r="E2" s="52"/>
      <c r="F2" s="52"/>
      <c r="G2" s="4"/>
    </row>
    <row r="3" spans="1:9" x14ac:dyDescent="0.25">
      <c r="A3" s="51" t="s">
        <v>85</v>
      </c>
      <c r="B3" s="21">
        <v>7</v>
      </c>
      <c r="C3" s="21" t="s">
        <v>90</v>
      </c>
      <c r="D3" s="21"/>
      <c r="E3" s="1"/>
      <c r="F3" s="1"/>
      <c r="G3" s="4"/>
    </row>
    <row r="4" spans="1:9" x14ac:dyDescent="0.25">
      <c r="A4" s="74" t="s">
        <v>5</v>
      </c>
      <c r="B4" s="21">
        <v>15</v>
      </c>
      <c r="C4" s="21" t="s">
        <v>86</v>
      </c>
      <c r="D4" s="21"/>
      <c r="E4" s="1"/>
      <c r="F4" s="1"/>
      <c r="G4" s="4"/>
    </row>
    <row r="5" spans="1:9" x14ac:dyDescent="0.25">
      <c r="A5" s="74" t="s">
        <v>111</v>
      </c>
      <c r="B5" s="21">
        <v>12</v>
      </c>
      <c r="C5" s="21" t="s">
        <v>1</v>
      </c>
      <c r="D5" s="21"/>
      <c r="E5" s="1"/>
      <c r="F5" s="1"/>
      <c r="G5" s="4"/>
    </row>
    <row r="6" spans="1:9" x14ac:dyDescent="0.25">
      <c r="A6" s="74" t="s">
        <v>24</v>
      </c>
      <c r="B6" s="21">
        <f>60/B5</f>
        <v>5</v>
      </c>
      <c r="C6" s="21" t="s">
        <v>86</v>
      </c>
      <c r="D6" s="21"/>
      <c r="E6" s="1"/>
      <c r="F6" s="1"/>
      <c r="G6" s="4"/>
    </row>
    <row r="7" spans="1:9" x14ac:dyDescent="0.25">
      <c r="A7" s="51" t="s">
        <v>76</v>
      </c>
      <c r="B7" s="71">
        <f>B4/(B2*B6)</f>
        <v>0.75</v>
      </c>
      <c r="C7" s="21" t="s">
        <v>100</v>
      </c>
      <c r="D7" s="21"/>
      <c r="E7" s="1"/>
      <c r="F7" s="1"/>
      <c r="G7" s="4"/>
    </row>
    <row r="8" spans="1:9" x14ac:dyDescent="0.25">
      <c r="A8" s="1"/>
      <c r="B8" s="1"/>
      <c r="C8" s="1"/>
      <c r="D8" s="21"/>
      <c r="E8" s="1"/>
      <c r="F8" s="1"/>
      <c r="G8" s="4"/>
    </row>
    <row r="9" spans="1:9" x14ac:dyDescent="0.25">
      <c r="A9" s="75"/>
      <c r="B9" s="72"/>
      <c r="C9" s="18"/>
      <c r="D9" s="18"/>
      <c r="E9" s="4"/>
      <c r="F9" s="4"/>
      <c r="G9" s="4"/>
    </row>
    <row r="10" spans="1:9" x14ac:dyDescent="0.25">
      <c r="A10" s="85" t="s">
        <v>110</v>
      </c>
      <c r="B10" s="85"/>
      <c r="C10" s="85"/>
      <c r="D10" s="85"/>
      <c r="E10" s="85"/>
      <c r="F10" s="4"/>
      <c r="G10" s="4"/>
      <c r="H10" s="18"/>
      <c r="I10" s="18"/>
    </row>
    <row r="11" spans="1:9" x14ac:dyDescent="0.25">
      <c r="A11" s="68" t="s">
        <v>105</v>
      </c>
      <c r="B11" s="23">
        <v>0</v>
      </c>
      <c r="C11" s="23">
        <v>1</v>
      </c>
      <c r="D11" s="23">
        <v>2</v>
      </c>
      <c r="E11" s="23">
        <v>3</v>
      </c>
    </row>
    <row r="12" spans="1:9" x14ac:dyDescent="0.25">
      <c r="A12" s="68" t="s">
        <v>104</v>
      </c>
      <c r="B12" s="23">
        <f>((($B$4/$B$6)^B11)/FACT(B11))</f>
        <v>1</v>
      </c>
      <c r="C12" s="23">
        <f t="shared" ref="C12:E12" si="0">((($B$4/$B$6)^C11)/FACT(C11))</f>
        <v>3</v>
      </c>
      <c r="D12" s="23">
        <f t="shared" si="0"/>
        <v>4.5</v>
      </c>
      <c r="E12" s="23">
        <f t="shared" si="0"/>
        <v>4.5</v>
      </c>
    </row>
    <row r="13" spans="1:9" x14ac:dyDescent="0.25">
      <c r="A13" s="68" t="s">
        <v>106</v>
      </c>
      <c r="B13" s="42">
        <f>SUM(B12:E12)</f>
        <v>13</v>
      </c>
      <c r="C13" s="1"/>
      <c r="D13" s="1"/>
      <c r="E13" s="1"/>
    </row>
    <row r="14" spans="1:9" x14ac:dyDescent="0.25">
      <c r="A14" s="68" t="s">
        <v>107</v>
      </c>
      <c r="B14" s="42">
        <f>((((B4/B6)^(B2)/(FACT(B2)))*(1-B7^(B3-B2+1)))/(1-B7))</f>
        <v>9.228515625</v>
      </c>
      <c r="C14" s="1"/>
      <c r="D14" s="1"/>
      <c r="E14" s="1"/>
    </row>
    <row r="15" spans="1:9" x14ac:dyDescent="0.25">
      <c r="A15" s="68" t="s">
        <v>78</v>
      </c>
      <c r="B15" s="42">
        <f>1/(SUM(B13:B14))</f>
        <v>4.4987259467533611E-2</v>
      </c>
      <c r="C15" s="1"/>
      <c r="D15" s="1"/>
      <c r="E15" s="1"/>
    </row>
    <row r="17" spans="1:6" x14ac:dyDescent="0.25">
      <c r="A17" s="85" t="s">
        <v>108</v>
      </c>
      <c r="B17" s="85"/>
      <c r="C17" s="85"/>
      <c r="D17" s="85"/>
      <c r="E17" s="85"/>
      <c r="F17" s="85"/>
    </row>
    <row r="18" spans="1:6" x14ac:dyDescent="0.25">
      <c r="A18" s="68" t="s">
        <v>8</v>
      </c>
      <c r="B18" s="26">
        <v>0</v>
      </c>
      <c r="C18" s="26">
        <v>1</v>
      </c>
      <c r="D18" s="26">
        <v>2</v>
      </c>
      <c r="E18" s="26">
        <v>3</v>
      </c>
      <c r="F18" s="26">
        <v>4</v>
      </c>
    </row>
    <row r="19" spans="1:6" x14ac:dyDescent="0.25">
      <c r="A19" s="68" t="s">
        <v>43</v>
      </c>
      <c r="B19" s="73">
        <f>B15</f>
        <v>4.4987259467533611E-2</v>
      </c>
      <c r="C19" s="42">
        <f>(($B$4/$B$6)^(C18)/FACT(C18))*$B$19</f>
        <v>0.13496177840260082</v>
      </c>
      <c r="D19" s="42">
        <f t="shared" ref="D19:F19" si="1">(($B$4/$B$6)^(D18)/FACT(D18))*$B$19</f>
        <v>0.20244266760390126</v>
      </c>
      <c r="E19" s="42">
        <f t="shared" si="1"/>
        <v>0.20244266760390126</v>
      </c>
      <c r="F19" s="42">
        <f t="shared" si="1"/>
        <v>0.15183200070292593</v>
      </c>
    </row>
    <row r="20" spans="1:6" x14ac:dyDescent="0.25">
      <c r="A20" s="68" t="s">
        <v>101</v>
      </c>
      <c r="B20" s="28">
        <f>B19</f>
        <v>4.4987259467533611E-2</v>
      </c>
      <c r="C20" s="28">
        <f>C19</f>
        <v>0.13496177840260082</v>
      </c>
      <c r="D20" s="28">
        <f>D19</f>
        <v>0.20244266760390126</v>
      </c>
      <c r="E20" s="28">
        <f>E19</f>
        <v>0.20244266760390126</v>
      </c>
      <c r="F20" s="28">
        <f>F19</f>
        <v>0.15183200070292593</v>
      </c>
    </row>
    <row r="22" spans="1:6" x14ac:dyDescent="0.25">
      <c r="A22" s="85" t="s">
        <v>109</v>
      </c>
      <c r="B22" s="85"/>
      <c r="C22" s="85"/>
      <c r="D22" s="85"/>
    </row>
    <row r="23" spans="1:6" x14ac:dyDescent="0.25">
      <c r="A23" s="68" t="s">
        <v>8</v>
      </c>
      <c r="B23" s="26">
        <v>5</v>
      </c>
      <c r="C23" s="26">
        <v>6</v>
      </c>
      <c r="D23" s="26">
        <v>7</v>
      </c>
      <c r="F23" s="68" t="s">
        <v>112</v>
      </c>
    </row>
    <row r="24" spans="1:6" x14ac:dyDescent="0.25">
      <c r="A24" s="68" t="s">
        <v>43</v>
      </c>
      <c r="B24" s="42">
        <f>((($B$4/$B$6)^(B23))/(FACT($B$2)*($B$2^(B23-$B$2))))*$B$19</f>
        <v>0.11387400052719446</v>
      </c>
      <c r="C24" s="42">
        <f>((($B$4/$B$6)^(C23))/(FACT($B$2)*($B$2^(C23-$B$2))))*$B$19</f>
        <v>8.5405500395395836E-2</v>
      </c>
      <c r="D24" s="42">
        <f>((($B$4/$B$6)^(D23))/(FACT($B$2)*($B$2^(D23-$B$2))))*$B$19</f>
        <v>6.4054125296546874E-2</v>
      </c>
      <c r="F24" s="55">
        <f>SUM(B19:F19,B24:D24)</f>
        <v>1</v>
      </c>
    </row>
    <row r="25" spans="1:6" x14ac:dyDescent="0.25">
      <c r="A25" s="68" t="s">
        <v>101</v>
      </c>
      <c r="B25" s="28">
        <f>B24</f>
        <v>0.11387400052719446</v>
      </c>
      <c r="C25" s="28">
        <f>C24</f>
        <v>8.5405500395395836E-2</v>
      </c>
      <c r="D25" s="28">
        <f>D24</f>
        <v>6.4054125296546874E-2</v>
      </c>
    </row>
    <row r="27" spans="1:6" x14ac:dyDescent="0.25">
      <c r="A27" s="79" t="s">
        <v>102</v>
      </c>
      <c r="B27" s="42">
        <f>B4*(1-D24)</f>
        <v>14.039188120551797</v>
      </c>
      <c r="C27" s="56" t="s">
        <v>36</v>
      </c>
      <c r="D27" s="1"/>
      <c r="E27" s="1"/>
    </row>
    <row r="28" spans="1:6" x14ac:dyDescent="0.25">
      <c r="A28" s="79" t="s">
        <v>103</v>
      </c>
      <c r="B28" s="42">
        <f>B4*D24</f>
        <v>0.96081187944820312</v>
      </c>
      <c r="C28" s="56" t="s">
        <v>36</v>
      </c>
      <c r="D28" s="1"/>
      <c r="E28" s="1"/>
    </row>
    <row r="29" spans="1:6" x14ac:dyDescent="0.25">
      <c r="A29" s="68" t="s">
        <v>50</v>
      </c>
      <c r="B29" s="42">
        <f>B19*(((B4/B6)^(B2+1))/(FACT(B2-1)*(B2-B4/B6)^2))*((1-B7^(B3-B2+1))-((1-B7)*(B7^(B3-B2))*(B3-B2+1)))</f>
        <v>0.47684737720762677</v>
      </c>
      <c r="C29" s="56" t="s">
        <v>79</v>
      </c>
      <c r="D29" s="1"/>
      <c r="E29" s="1"/>
    </row>
    <row r="30" spans="1:6" x14ac:dyDescent="0.25">
      <c r="A30" s="68" t="s">
        <v>46</v>
      </c>
      <c r="B30" s="42">
        <f>B29+(B27/B6)</f>
        <v>3.2846850013179862</v>
      </c>
      <c r="C30" s="56" t="s">
        <v>79</v>
      </c>
      <c r="D30" s="1"/>
      <c r="E30" s="1"/>
    </row>
    <row r="31" spans="1:6" x14ac:dyDescent="0.25">
      <c r="A31" s="68" t="s">
        <v>64</v>
      </c>
      <c r="B31" s="42">
        <f>B29/B27</f>
        <v>3.3965452497183628E-2</v>
      </c>
      <c r="C31" s="56" t="s">
        <v>4</v>
      </c>
      <c r="D31" s="42">
        <f>B31*60</f>
        <v>2.0379271498310176</v>
      </c>
      <c r="E31" s="56" t="s">
        <v>1</v>
      </c>
    </row>
    <row r="32" spans="1:6" x14ac:dyDescent="0.25">
      <c r="A32" s="68" t="s">
        <v>80</v>
      </c>
      <c r="B32" s="42">
        <f>B30/B27</f>
        <v>0.23396545249718362</v>
      </c>
      <c r="C32" s="56" t="s">
        <v>4</v>
      </c>
      <c r="D32" s="42">
        <f>B32*60</f>
        <v>14.037927149831017</v>
      </c>
      <c r="E32" s="56" t="s">
        <v>1</v>
      </c>
    </row>
  </sheetData>
  <mergeCells count="4">
    <mergeCell ref="A22:D22"/>
    <mergeCell ref="A1:F1"/>
    <mergeCell ref="A10:E10"/>
    <mergeCell ref="A17:F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D4" sqref="D4"/>
    </sheetView>
  </sheetViews>
  <sheetFormatPr baseColWidth="10" defaultRowHeight="15" x14ac:dyDescent="0.25"/>
  <sheetData>
    <row r="1" spans="1:19" x14ac:dyDescent="0.25">
      <c r="A1" s="84" t="s">
        <v>133</v>
      </c>
      <c r="B1" s="84"/>
      <c r="C1" s="84"/>
      <c r="D1" s="84"/>
      <c r="E1" s="84"/>
      <c r="F1" s="84"/>
      <c r="G1" s="84"/>
      <c r="H1" s="84"/>
      <c r="I1" s="84"/>
      <c r="J1" s="84"/>
    </row>
    <row r="3" spans="1:19" x14ac:dyDescent="0.25">
      <c r="A3" s="26" t="s">
        <v>113</v>
      </c>
      <c r="B3" s="79" t="s">
        <v>120</v>
      </c>
      <c r="C3" s="79" t="s">
        <v>121</v>
      </c>
      <c r="D3" s="79" t="s">
        <v>122</v>
      </c>
      <c r="E3" s="68" t="s">
        <v>123</v>
      </c>
      <c r="F3" s="68" t="s">
        <v>124</v>
      </c>
      <c r="G3" s="68" t="s">
        <v>115</v>
      </c>
      <c r="H3" s="68" t="s">
        <v>116</v>
      </c>
      <c r="I3" s="68" t="s">
        <v>117</v>
      </c>
      <c r="J3" s="68" t="s">
        <v>118</v>
      </c>
      <c r="K3" s="68" t="s">
        <v>119</v>
      </c>
      <c r="L3" s="68" t="s">
        <v>87</v>
      </c>
      <c r="M3" s="68" t="s">
        <v>125</v>
      </c>
      <c r="N3" s="68" t="s">
        <v>126</v>
      </c>
      <c r="O3" s="68" t="s">
        <v>127</v>
      </c>
      <c r="P3" s="68" t="s">
        <v>128</v>
      </c>
      <c r="Q3" s="68" t="s">
        <v>129</v>
      </c>
      <c r="R3" s="68" t="s">
        <v>130</v>
      </c>
      <c r="S3" s="68" t="s">
        <v>131</v>
      </c>
    </row>
    <row r="4" spans="1:19" x14ac:dyDescent="0.25">
      <c r="A4" s="26">
        <v>1</v>
      </c>
      <c r="B4" s="23">
        <v>40</v>
      </c>
      <c r="C4" s="23">
        <v>45</v>
      </c>
      <c r="D4" s="23">
        <f>60/C4</f>
        <v>1.3333333333333333</v>
      </c>
      <c r="E4" s="23">
        <v>99999</v>
      </c>
      <c r="F4" s="81">
        <f>B4/(E4*D4)</f>
        <v>3.0000300003000027E-4</v>
      </c>
      <c r="G4" s="23" t="s">
        <v>114</v>
      </c>
      <c r="H4" s="42">
        <v>30.000071982982508</v>
      </c>
      <c r="I4" s="42">
        <v>0</v>
      </c>
      <c r="J4" s="42">
        <v>0.75000187500468762</v>
      </c>
      <c r="K4" s="42">
        <v>0</v>
      </c>
      <c r="L4" s="42">
        <v>9.3569211716807078E-14</v>
      </c>
      <c r="M4" s="42">
        <v>2.8070833692126358E-12</v>
      </c>
      <c r="N4" s="42">
        <v>4.2106355804079048E-11</v>
      </c>
      <c r="O4" s="42">
        <v>4.2106461070231729E-10</v>
      </c>
      <c r="P4" s="42">
        <v>3.1579924752485679E-9</v>
      </c>
      <c r="Q4" s="42">
        <v>1.8948002221496964E-8</v>
      </c>
      <c r="R4" s="42">
        <v>9.4740247958104718E-8</v>
      </c>
      <c r="S4" s="42">
        <v>4.0603064918278602E-7</v>
      </c>
    </row>
    <row r="5" spans="1:19" x14ac:dyDescent="0.25">
      <c r="A5" s="26">
        <v>2</v>
      </c>
      <c r="B5" s="23">
        <v>40</v>
      </c>
      <c r="C5" s="23">
        <v>4</v>
      </c>
      <c r="D5" s="23">
        <f>60/C5</f>
        <v>15</v>
      </c>
      <c r="E5" s="23">
        <v>4</v>
      </c>
      <c r="F5" s="42">
        <f>B5/(E5*D5)</f>
        <v>0.66666666666666663</v>
      </c>
      <c r="G5" s="23" t="s">
        <v>114</v>
      </c>
      <c r="H5" s="42">
        <v>3.4234960522622493</v>
      </c>
      <c r="I5" s="42">
        <v>0.75683007624334153</v>
      </c>
      <c r="J5" s="42">
        <v>8.5587423473092061E-2</v>
      </c>
      <c r="K5" s="42">
        <v>1.8920756806425396E-2</v>
      </c>
      <c r="L5" s="42">
        <v>5.9866962359281829E-2</v>
      </c>
      <c r="M5" s="42">
        <v>0.15964523295808486</v>
      </c>
      <c r="N5" s="42">
        <v>0.21286031061077981</v>
      </c>
      <c r="O5" s="42">
        <v>0.18920916498735985</v>
      </c>
      <c r="P5" s="42">
        <v>0.12613944332490656</v>
      </c>
      <c r="Q5" s="42">
        <v>8.4092962216604367E-2</v>
      </c>
      <c r="R5" s="42">
        <v>5.606197481106958E-2</v>
      </c>
      <c r="S5" s="42">
        <v>3.7374649874046387E-2</v>
      </c>
    </row>
    <row r="7" spans="1:19" x14ac:dyDescent="0.25">
      <c r="G7" s="26" t="s">
        <v>132</v>
      </c>
      <c r="H7" s="42">
        <f>SUM(H4:H5)</f>
        <v>33.423568035244756</v>
      </c>
      <c r="I7" s="42">
        <f>SUM(I4:I5)</f>
        <v>0.75683007624334153</v>
      </c>
      <c r="J7" s="42">
        <f>SUM(J4:J5)</f>
        <v>0.83558929847777974</v>
      </c>
      <c r="K7" s="42">
        <f>SUM(K4:K5)</f>
        <v>1.8920756806425396E-2</v>
      </c>
      <c r="L7" s="42">
        <f t="shared" ref="L7:S7" si="0">SUM(L4:L5)</f>
        <v>5.98669623593754E-2</v>
      </c>
      <c r="M7" s="42">
        <f t="shared" si="0"/>
        <v>0.15964523296089195</v>
      </c>
      <c r="N7" s="42">
        <f t="shared" si="0"/>
        <v>0.21286031065288616</v>
      </c>
      <c r="O7" s="42">
        <f t="shared" si="0"/>
        <v>0.18920916540842445</v>
      </c>
      <c r="P7" s="42">
        <f t="shared" si="0"/>
        <v>0.12613944648289904</v>
      </c>
      <c r="Q7" s="42">
        <f t="shared" si="0"/>
        <v>8.4092981164606589E-2</v>
      </c>
      <c r="R7" s="42">
        <f t="shared" si="0"/>
        <v>5.6062069551317539E-2</v>
      </c>
      <c r="S7" s="42">
        <f t="shared" si="0"/>
        <v>3.7375055904695573E-2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G20" sqref="G20"/>
    </sheetView>
  </sheetViews>
  <sheetFormatPr baseColWidth="10" defaultRowHeight="15" x14ac:dyDescent="0.25"/>
  <sheetData>
    <row r="1" spans="1:19" x14ac:dyDescent="0.25">
      <c r="A1" s="84" t="s">
        <v>134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3" spans="1:19" x14ac:dyDescent="0.25">
      <c r="A3" s="86" t="s">
        <v>135</v>
      </c>
      <c r="B3" s="26" t="s">
        <v>137</v>
      </c>
      <c r="C3" s="26" t="s">
        <v>138</v>
      </c>
      <c r="D3" s="26" t="s">
        <v>139</v>
      </c>
      <c r="E3" s="26" t="s">
        <v>140</v>
      </c>
      <c r="F3" s="26" t="s">
        <v>141</v>
      </c>
      <c r="G3" s="26" t="s">
        <v>142</v>
      </c>
      <c r="H3" s="26" t="s">
        <v>88</v>
      </c>
    </row>
    <row r="4" spans="1:19" x14ac:dyDescent="0.25">
      <c r="A4" s="26" t="s">
        <v>136</v>
      </c>
      <c r="B4" s="23">
        <v>1</v>
      </c>
      <c r="C4" s="23"/>
      <c r="D4" s="23"/>
      <c r="E4" s="23"/>
      <c r="F4" s="23"/>
      <c r="G4" s="23"/>
      <c r="H4" s="23">
        <f>SUM(B4:G4)</f>
        <v>1</v>
      </c>
    </row>
    <row r="5" spans="1:19" x14ac:dyDescent="0.25">
      <c r="A5" s="26" t="s">
        <v>137</v>
      </c>
      <c r="B5" s="23"/>
      <c r="C5" s="23">
        <v>0.6</v>
      </c>
      <c r="D5" s="23">
        <v>0.4</v>
      </c>
      <c r="E5" s="23"/>
      <c r="F5" s="23"/>
      <c r="G5" s="23"/>
      <c r="H5" s="23">
        <f t="shared" ref="H5:H9" si="0">SUM(B5:G5)</f>
        <v>1</v>
      </c>
    </row>
    <row r="6" spans="1:19" x14ac:dyDescent="0.25">
      <c r="A6" s="26" t="s">
        <v>138</v>
      </c>
      <c r="B6" s="23"/>
      <c r="C6" s="23"/>
      <c r="D6" s="23"/>
      <c r="E6" s="23">
        <v>0.3</v>
      </c>
      <c r="F6" s="23">
        <v>0.7</v>
      </c>
      <c r="G6" s="23"/>
      <c r="H6" s="23">
        <f t="shared" si="0"/>
        <v>1</v>
      </c>
    </row>
    <row r="7" spans="1:19" x14ac:dyDescent="0.25">
      <c r="A7" s="26" t="s">
        <v>139</v>
      </c>
      <c r="B7" s="23"/>
      <c r="C7" s="23"/>
      <c r="D7" s="23"/>
      <c r="E7" s="23">
        <v>0.3</v>
      </c>
      <c r="F7" s="23">
        <v>0.7</v>
      </c>
      <c r="G7" s="23"/>
      <c r="H7" s="23">
        <f t="shared" si="0"/>
        <v>1</v>
      </c>
    </row>
    <row r="8" spans="1:19" x14ac:dyDescent="0.25">
      <c r="A8" s="26" t="s">
        <v>140</v>
      </c>
      <c r="B8" s="23"/>
      <c r="C8" s="23"/>
      <c r="D8" s="23"/>
      <c r="E8" s="23"/>
      <c r="F8" s="23"/>
      <c r="G8" s="23">
        <v>1</v>
      </c>
      <c r="H8" s="23">
        <f t="shared" si="0"/>
        <v>1</v>
      </c>
    </row>
    <row r="9" spans="1:19" x14ac:dyDescent="0.25">
      <c r="A9" s="26" t="s">
        <v>141</v>
      </c>
      <c r="B9" s="23"/>
      <c r="C9" s="23"/>
      <c r="D9" s="23"/>
      <c r="E9" s="23"/>
      <c r="F9" s="23"/>
      <c r="G9" s="23">
        <v>1</v>
      </c>
      <c r="H9" s="23">
        <f t="shared" si="0"/>
        <v>1</v>
      </c>
    </row>
    <row r="11" spans="1:19" x14ac:dyDescent="0.25">
      <c r="A11" s="86" t="s">
        <v>113</v>
      </c>
      <c r="B11" s="79" t="s">
        <v>120</v>
      </c>
      <c r="C11" s="79" t="s">
        <v>121</v>
      </c>
      <c r="D11" s="79" t="s">
        <v>122</v>
      </c>
      <c r="E11" s="68" t="s">
        <v>123</v>
      </c>
      <c r="F11" s="68" t="s">
        <v>124</v>
      </c>
      <c r="G11" s="68" t="s">
        <v>115</v>
      </c>
      <c r="H11" s="68" t="s">
        <v>116</v>
      </c>
      <c r="I11" s="68" t="s">
        <v>117</v>
      </c>
      <c r="J11" s="68" t="s">
        <v>118</v>
      </c>
      <c r="K11" s="68" t="s">
        <v>119</v>
      </c>
      <c r="L11" s="68" t="s">
        <v>87</v>
      </c>
      <c r="M11" s="68" t="s">
        <v>125</v>
      </c>
      <c r="N11" s="68" t="s">
        <v>126</v>
      </c>
      <c r="O11" s="68" t="s">
        <v>127</v>
      </c>
      <c r="P11" s="68" t="s">
        <v>128</v>
      </c>
      <c r="Q11" s="68" t="s">
        <v>129</v>
      </c>
      <c r="R11" s="68" t="s">
        <v>130</v>
      </c>
      <c r="S11" s="68" t="s">
        <v>131</v>
      </c>
    </row>
    <row r="12" spans="1:19" x14ac:dyDescent="0.25">
      <c r="A12" s="26" t="s">
        <v>136</v>
      </c>
      <c r="B12" s="23">
        <v>10</v>
      </c>
      <c r="C12" s="23"/>
      <c r="D12" s="23"/>
      <c r="E12" s="23"/>
      <c r="F12" s="23"/>
      <c r="G12" s="23"/>
      <c r="H12" s="87">
        <f>[1]Sheet1!H$8</f>
        <v>10.163003211028554</v>
      </c>
      <c r="I12" s="87">
        <f>[1]Sheet1!J$8</f>
        <v>4.8998491396166441</v>
      </c>
      <c r="J12" s="87">
        <f>[1]Sheet1!H$9</f>
        <v>1.4518586562517133</v>
      </c>
      <c r="K12" s="87">
        <f>[1]Sheet1!J$9</f>
        <v>0.69997895700359303</v>
      </c>
      <c r="L12" s="87">
        <f>[1]Sheet1!H$11</f>
        <v>2.8536087163312136E-3</v>
      </c>
      <c r="M12" s="87">
        <f>[1]Sheet1!H$12</f>
        <v>1.5018993243848491E-2</v>
      </c>
      <c r="N12" s="87">
        <f>[1]Sheet1!H$13</f>
        <v>3.9523666431180236E-2</v>
      </c>
      <c r="O12" s="87">
        <f>[1]Sheet1!H$14</f>
        <v>6.9339765668737244E-2</v>
      </c>
      <c r="P12" s="87">
        <f>[1]Sheet1!H$15</f>
        <v>9.1236533774654266E-2</v>
      </c>
      <c r="Q12" s="87">
        <f>[1]Sheet1!H$16</f>
        <v>9.6038456604899222E-2</v>
      </c>
      <c r="R12" s="87">
        <f>[1]Sheet1!H$17</f>
        <v>8.4244260179736158E-2</v>
      </c>
      <c r="S12" s="87">
        <f>[1]Sheet1!H$18</f>
        <v>7.3898473841873813E-2</v>
      </c>
    </row>
    <row r="13" spans="1:19" x14ac:dyDescent="0.25">
      <c r="A13" s="26" t="s">
        <v>137</v>
      </c>
      <c r="B13" s="23">
        <f>B4*B12</f>
        <v>10</v>
      </c>
      <c r="C13" s="23">
        <v>10</v>
      </c>
      <c r="D13" s="23">
        <f>60/C13</f>
        <v>6</v>
      </c>
      <c r="E13" s="23">
        <v>3</v>
      </c>
      <c r="F13" s="42">
        <f>B13/(E13*D13)</f>
        <v>0.55555555555555558</v>
      </c>
      <c r="G13" s="23" t="s">
        <v>143</v>
      </c>
      <c r="H13" s="42">
        <v>2.0413632707429827</v>
      </c>
      <c r="I13" s="42">
        <v>0.37469697400977708</v>
      </c>
      <c r="J13" s="42">
        <v>0.20413637238442314</v>
      </c>
      <c r="K13" s="42">
        <v>3.7469705717756457E-2</v>
      </c>
      <c r="L13" s="42">
        <v>0.17266187085455112</v>
      </c>
      <c r="M13" s="42">
        <v>0.28776978475758519</v>
      </c>
      <c r="N13" s="42">
        <v>0.23980815396465435</v>
      </c>
      <c r="O13" s="42">
        <v>0.13322675220258576</v>
      </c>
      <c r="P13" s="42">
        <v>7.4014862334769865E-2</v>
      </c>
      <c r="Q13" s="42">
        <v>4.111936796376104E-2</v>
      </c>
      <c r="R13" s="42">
        <v>2.2844093313200579E-2</v>
      </c>
      <c r="S13" s="42">
        <v>1.2691162951778103E-2</v>
      </c>
    </row>
    <row r="14" spans="1:19" x14ac:dyDescent="0.25">
      <c r="A14" s="26" t="s">
        <v>138</v>
      </c>
      <c r="B14" s="23">
        <f>C5*B13</f>
        <v>6</v>
      </c>
      <c r="C14" s="23">
        <v>20</v>
      </c>
      <c r="D14" s="23">
        <f t="shared" ref="D14:D17" si="1">60/C14</f>
        <v>3</v>
      </c>
      <c r="E14" s="23">
        <v>3</v>
      </c>
      <c r="F14" s="42">
        <f t="shared" ref="F14:F17" si="2">B14/(E14*D14)</f>
        <v>0.66666666666666663</v>
      </c>
      <c r="G14" s="23" t="s">
        <v>143</v>
      </c>
      <c r="H14" s="42">
        <v>2.8888831958428143</v>
      </c>
      <c r="I14" s="42">
        <v>0.88888359967592978</v>
      </c>
      <c r="J14" s="42">
        <v>0.48148062985938045</v>
      </c>
      <c r="K14" s="42">
        <v>0.14814729652604711</v>
      </c>
      <c r="L14" s="42">
        <v>0.11111111128536978</v>
      </c>
      <c r="M14" s="42">
        <v>0.22222222257073956</v>
      </c>
      <c r="N14" s="42">
        <v>0.22222222257073956</v>
      </c>
      <c r="O14" s="42">
        <v>0.14814814838049303</v>
      </c>
      <c r="P14" s="42">
        <v>9.8765432253662022E-2</v>
      </c>
      <c r="Q14" s="42">
        <v>6.5843621502441343E-2</v>
      </c>
      <c r="R14" s="42">
        <v>4.3895747668294231E-2</v>
      </c>
      <c r="S14" s="42">
        <v>2.9263831778862825E-2</v>
      </c>
    </row>
    <row r="15" spans="1:19" x14ac:dyDescent="0.25">
      <c r="A15" s="26" t="s">
        <v>139</v>
      </c>
      <c r="B15" s="23">
        <f>D5*B13</f>
        <v>4</v>
      </c>
      <c r="C15" s="23">
        <v>12</v>
      </c>
      <c r="D15" s="23">
        <f t="shared" si="1"/>
        <v>5</v>
      </c>
      <c r="E15" s="23">
        <v>1</v>
      </c>
      <c r="F15" s="42">
        <f t="shared" si="2"/>
        <v>0.8</v>
      </c>
      <c r="G15" s="23" t="s">
        <v>143</v>
      </c>
      <c r="H15" s="42">
        <v>3.9999772104276312</v>
      </c>
      <c r="I15" s="42">
        <v>3.1999775260256369</v>
      </c>
      <c r="J15" s="42">
        <v>0.99999469710232292</v>
      </c>
      <c r="K15" s="42">
        <v>0.79999469710232296</v>
      </c>
      <c r="L15" s="42">
        <v>0.20000000144740104</v>
      </c>
      <c r="M15" s="42">
        <v>0.16000000115792085</v>
      </c>
      <c r="N15" s="42">
        <v>0.1280000009263367</v>
      </c>
      <c r="O15" s="42">
        <v>0.10240000074106936</v>
      </c>
      <c r="P15" s="42">
        <v>8.1920000592855508E-2</v>
      </c>
      <c r="Q15" s="42">
        <v>6.5536000474284414E-2</v>
      </c>
      <c r="R15" s="42">
        <v>5.2428800379427529E-2</v>
      </c>
      <c r="S15" s="42">
        <v>4.1943040303542033E-2</v>
      </c>
    </row>
    <row r="16" spans="1:19" x14ac:dyDescent="0.25">
      <c r="A16" s="26" t="s">
        <v>140</v>
      </c>
      <c r="B16" s="23">
        <f>(E6*B14)+(E7*B15)</f>
        <v>3</v>
      </c>
      <c r="C16" s="23">
        <v>30</v>
      </c>
      <c r="D16" s="23">
        <f t="shared" si="1"/>
        <v>2</v>
      </c>
      <c r="E16" s="23">
        <v>2</v>
      </c>
      <c r="F16" s="42">
        <f t="shared" si="2"/>
        <v>0.75</v>
      </c>
      <c r="G16" s="23" t="s">
        <v>143</v>
      </c>
      <c r="H16" s="42">
        <v>3.4285561503970459</v>
      </c>
      <c r="I16" s="42">
        <v>1.9285566910196323</v>
      </c>
      <c r="J16" s="42">
        <v>1.1428524620335847</v>
      </c>
      <c r="K16" s="42">
        <v>0.64285246203358459</v>
      </c>
      <c r="L16" s="42">
        <v>0.14285714337840941</v>
      </c>
      <c r="M16" s="42">
        <v>0.21428571506761412</v>
      </c>
      <c r="N16" s="42">
        <v>0.16071428630071058</v>
      </c>
      <c r="O16" s="42">
        <v>0.12053571472553294</v>
      </c>
      <c r="P16" s="42">
        <v>9.040178604414971E-2</v>
      </c>
      <c r="Q16" s="42">
        <v>6.7801339533112279E-2</v>
      </c>
      <c r="R16" s="42">
        <v>5.0851004649834206E-2</v>
      </c>
      <c r="S16" s="42">
        <v>3.8138253487375658E-2</v>
      </c>
    </row>
    <row r="17" spans="1:19" x14ac:dyDescent="0.25">
      <c r="A17" s="26" t="s">
        <v>141</v>
      </c>
      <c r="B17" s="23">
        <f>(F6*B14)+(F7*B15)</f>
        <v>6.9999999999999991</v>
      </c>
      <c r="C17" s="23">
        <v>45</v>
      </c>
      <c r="D17" s="42">
        <f t="shared" si="1"/>
        <v>1.3333333333333333</v>
      </c>
      <c r="E17" s="23">
        <v>6</v>
      </c>
      <c r="F17" s="42">
        <f t="shared" si="2"/>
        <v>0.87499999999999989</v>
      </c>
      <c r="G17" s="23" t="s">
        <v>143</v>
      </c>
      <c r="H17" s="42">
        <v>10.163003211028554</v>
      </c>
      <c r="I17" s="42">
        <v>4.8998491396166441</v>
      </c>
      <c r="J17" s="42">
        <v>1.4518586562517133</v>
      </c>
      <c r="K17" s="42">
        <v>0.69997895700359303</v>
      </c>
      <c r="L17" s="42">
        <v>2.8536087163312136E-3</v>
      </c>
      <c r="M17" s="42">
        <v>1.5018993243848491E-2</v>
      </c>
      <c r="N17" s="42">
        <v>3.9523666431180236E-2</v>
      </c>
      <c r="O17" s="42">
        <v>6.9339765668737244E-2</v>
      </c>
      <c r="P17" s="42">
        <v>9.1236533774654266E-2</v>
      </c>
      <c r="Q17" s="42">
        <v>9.6038456604899222E-2</v>
      </c>
      <c r="R17" s="42">
        <v>8.4244260179736158E-2</v>
      </c>
      <c r="S17" s="42">
        <v>7.3898473841873813E-2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P1</vt:lpstr>
      <vt:lpstr>P2</vt:lpstr>
      <vt:lpstr>Balance</vt:lpstr>
      <vt:lpstr>P3</vt:lpstr>
      <vt:lpstr>P4 (Modelo1)</vt:lpstr>
      <vt:lpstr>P4(Modelo 2)</vt:lpstr>
      <vt:lpstr>P5(Modelo3)</vt:lpstr>
      <vt:lpstr>P5(Modelo4)</vt:lpstr>
      <vt:lpstr>P6</vt:lpstr>
      <vt:lpstr>P6 Parte 2</vt:lpstr>
    </vt:vector>
  </TitlesOfParts>
  <Company>UCAB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lab_a611</dc:creator>
  <cp:lastModifiedBy>DTI</cp:lastModifiedBy>
  <dcterms:created xsi:type="dcterms:W3CDTF">2017-03-13T11:59:08Z</dcterms:created>
  <dcterms:modified xsi:type="dcterms:W3CDTF">2017-05-05T13:02:11Z</dcterms:modified>
</cp:coreProperties>
</file>